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955"/>
  </bookViews>
  <sheets>
    <sheet name="TPS5401" sheetId="1" r:id="rId1"/>
  </sheets>
  <calcPr calcId="125725"/>
</workbook>
</file>

<file path=xl/calcChain.xml><?xml version="1.0" encoding="utf-8"?>
<calcChain xmlns="http://schemas.openxmlformats.org/spreadsheetml/2006/main">
  <c r="F56" i="1"/>
  <c r="F55"/>
  <c r="F54"/>
  <c r="F53"/>
  <c r="F51"/>
  <c r="F50"/>
  <c r="F49"/>
  <c r="F48"/>
  <c r="F47"/>
  <c r="F45"/>
  <c r="F44"/>
  <c r="F43"/>
  <c r="F42"/>
  <c r="F41"/>
  <c r="F40"/>
  <c r="F39"/>
  <c r="F38"/>
  <c r="F37"/>
  <c r="F36"/>
  <c r="F33"/>
  <c r="F32"/>
  <c r="F27"/>
  <c r="F26"/>
  <c r="F29" s="1"/>
  <c r="F25"/>
  <c r="F23"/>
  <c r="F22"/>
  <c r="B22"/>
  <c r="F21"/>
  <c r="B21"/>
  <c r="F20"/>
  <c r="F17"/>
  <c r="F16"/>
  <c r="F13"/>
  <c r="F15" s="1"/>
  <c r="F11"/>
  <c r="F10"/>
  <c r="F7"/>
  <c r="F6"/>
  <c r="F9" s="1"/>
  <c r="F4"/>
  <c r="F3"/>
  <c r="F14" l="1"/>
  <c r="F18"/>
  <c r="F28"/>
  <c r="F30" s="1"/>
  <c r="F31" s="1"/>
</calcChain>
</file>

<file path=xl/comments1.xml><?xml version="1.0" encoding="utf-8"?>
<comments xmlns="http://schemas.openxmlformats.org/spreadsheetml/2006/main">
  <authors>
    <author xml:space="preserve"> Jim Gavin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Selected input capacitor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Selected inductor value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Selected capacitor value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Selected value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Slow start time based on selected capacitor value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This was selected by me and the compensation resistors were calculated based on the 180uH inductor (also selected by me) and the 100uF cap.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 xml:space="preserve"> Jim Gavin:</t>
        </r>
        <r>
          <rPr>
            <sz val="8"/>
            <color indexed="81"/>
            <rFont val="Tahoma"/>
            <family val="2"/>
          </rPr>
          <t xml:space="preserve">
ESR: 0.360
</t>
        </r>
      </text>
    </comment>
  </commentList>
</comments>
</file>

<file path=xl/sharedStrings.xml><?xml version="1.0" encoding="utf-8"?>
<sst xmlns="http://schemas.openxmlformats.org/spreadsheetml/2006/main" count="83" uniqueCount="59">
  <si>
    <t>Vin_min</t>
  </si>
  <si>
    <t>Rt</t>
  </si>
  <si>
    <t>Vin_max</t>
  </si>
  <si>
    <t>R6</t>
  </si>
  <si>
    <t>Vin</t>
  </si>
  <si>
    <t>R7</t>
  </si>
  <si>
    <t>Vin_rpl</t>
  </si>
  <si>
    <t>I_in_rms</t>
  </si>
  <si>
    <t>Vout</t>
  </si>
  <si>
    <t>Cin</t>
  </si>
  <si>
    <t>Vf</t>
  </si>
  <si>
    <t>f</t>
  </si>
  <si>
    <t>Io_max</t>
  </si>
  <si>
    <t>L_min</t>
  </si>
  <si>
    <t>Io_min</t>
  </si>
  <si>
    <t>L_max</t>
  </si>
  <si>
    <t>Iripple</t>
  </si>
  <si>
    <t>L</t>
  </si>
  <si>
    <t>Vripple</t>
  </si>
  <si>
    <t>ΔIL</t>
  </si>
  <si>
    <t>DCR</t>
  </si>
  <si>
    <t>IL_rms</t>
  </si>
  <si>
    <r>
      <t>R</t>
    </r>
    <r>
      <rPr>
        <vertAlign val="subscript"/>
        <sz val="11"/>
        <color theme="1"/>
        <rFont val="Calibri"/>
        <family val="2"/>
        <scheme val="minor"/>
      </rPr>
      <t>DSON</t>
    </r>
  </si>
  <si>
    <t>IL_pk</t>
  </si>
  <si>
    <t>ESR</t>
  </si>
  <si>
    <t>Co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</si>
  <si>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Iout</t>
    </r>
  </si>
  <si>
    <t>Vtransient</t>
  </si>
  <si>
    <t>SS current</t>
  </si>
  <si>
    <r>
      <rPr>
        <i/>
        <sz val="10"/>
        <rFont val="Times New Roman"/>
        <family val="1"/>
      </rPr>
      <t>f</t>
    </r>
    <r>
      <rPr>
        <i/>
        <vertAlign val="subscript"/>
        <sz val="10"/>
        <rFont val="Times New Roman"/>
        <family val="1"/>
      </rPr>
      <t>C</t>
    </r>
  </si>
  <si>
    <t>Fsw(max)</t>
  </si>
  <si>
    <t>Ico_rms</t>
  </si>
  <si>
    <r>
      <t>t</t>
    </r>
    <r>
      <rPr>
        <vertAlign val="subscript"/>
        <sz val="11"/>
        <color theme="1"/>
        <rFont val="Calibri"/>
        <family val="2"/>
        <scheme val="minor"/>
      </rPr>
      <t>SS</t>
    </r>
  </si>
  <si>
    <r>
      <t>c</t>
    </r>
    <r>
      <rPr>
        <vertAlign val="subscript"/>
        <sz val="11"/>
        <color theme="1"/>
        <rFont val="Calibri"/>
        <family val="2"/>
        <scheme val="minor"/>
      </rPr>
      <t>SS</t>
    </r>
  </si>
  <si>
    <t>Inductor</t>
  </si>
  <si>
    <t>Cost (5k)</t>
  </si>
  <si>
    <t>From SwitcherPro</t>
  </si>
  <si>
    <t>MSS1038-184</t>
  </si>
  <si>
    <r>
      <t>f</t>
    </r>
    <r>
      <rPr>
        <vertAlign val="subscript"/>
        <sz val="11"/>
        <color theme="1"/>
        <rFont val="Calibri"/>
        <family val="2"/>
        <scheme val="minor"/>
      </rPr>
      <t>Pmod</t>
    </r>
  </si>
  <si>
    <r>
      <t>R</t>
    </r>
    <r>
      <rPr>
        <vertAlign val="subscript"/>
        <sz val="11"/>
        <color theme="1"/>
        <rFont val="Calibri"/>
        <family val="2"/>
        <scheme val="minor"/>
      </rPr>
      <t>C</t>
    </r>
  </si>
  <si>
    <r>
      <t>f</t>
    </r>
    <r>
      <rPr>
        <vertAlign val="subscript"/>
        <sz val="11"/>
        <color theme="1"/>
        <rFont val="Calibri"/>
        <family val="2"/>
        <scheme val="minor"/>
      </rPr>
      <t>Zmod</t>
    </r>
  </si>
  <si>
    <r>
      <t>C</t>
    </r>
    <r>
      <rPr>
        <vertAlign val="subscript"/>
        <sz val="11"/>
        <color theme="1"/>
        <rFont val="Calibri"/>
        <family val="2"/>
        <scheme val="minor"/>
      </rPr>
      <t>C</t>
    </r>
  </si>
  <si>
    <r>
      <t>f</t>
    </r>
    <r>
      <rPr>
        <vertAlign val="subscript"/>
        <sz val="11"/>
        <color theme="1"/>
        <rFont val="Calibri"/>
        <family val="2"/>
        <scheme val="minor"/>
      </rPr>
      <t>co</t>
    </r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</si>
  <si>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</si>
  <si>
    <t>TPS54040</t>
  </si>
  <si>
    <t>fpmod</t>
  </si>
  <si>
    <t>fzmod</t>
  </si>
  <si>
    <t>fco</t>
  </si>
  <si>
    <t>Rc</t>
  </si>
  <si>
    <t>Cc</t>
  </si>
  <si>
    <t>Cp</t>
  </si>
  <si>
    <t>2200pF</t>
  </si>
  <si>
    <t>82nF</t>
  </si>
  <si>
    <t>16k</t>
  </si>
  <si>
    <t>TPS54140</t>
  </si>
  <si>
    <t>FcMax</t>
  </si>
  <si>
    <t>FcMin</t>
  </si>
  <si>
    <t>Fc</t>
  </si>
  <si>
    <t>Gmodfc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</si>
</sst>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0E+0"/>
    <numFmt numFmtId="166" formatCode="##0.00E+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6" tint="-0.499984740745262"/>
      <name val="Calibri"/>
      <family val="2"/>
      <scheme val="minor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u/>
      <sz val="11"/>
      <color theme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0" fillId="0" borderId="0" xfId="0" applyNumberFormat="1"/>
    <xf numFmtId="48" fontId="0" fillId="0" borderId="0" xfId="0" applyNumberFormat="1"/>
    <xf numFmtId="165" fontId="0" fillId="0" borderId="0" xfId="0" applyNumberFormat="1"/>
    <xf numFmtId="9" fontId="0" fillId="0" borderId="0" xfId="1" applyFont="1"/>
    <xf numFmtId="9" fontId="0" fillId="0" borderId="0" xfId="0" applyNumberFormat="1"/>
    <xf numFmtId="165" fontId="4" fillId="0" borderId="0" xfId="0" applyNumberFormat="1" applyFont="1"/>
    <xf numFmtId="0" fontId="5" fillId="0" borderId="0" xfId="0" applyFont="1"/>
    <xf numFmtId="166" fontId="0" fillId="0" borderId="0" xfId="0" applyNumberFormat="1"/>
    <xf numFmtId="11" fontId="4" fillId="0" borderId="0" xfId="0" applyNumberFormat="1" applyFont="1"/>
    <xf numFmtId="0" fontId="7" fillId="0" borderId="0" xfId="2" applyAlignment="1" applyProtection="1"/>
    <xf numFmtId="166" fontId="4" fillId="0" borderId="0" xfId="0" applyNumberFormat="1" applyFont="1"/>
    <xf numFmtId="166" fontId="10" fillId="0" borderId="0" xfId="0" applyNumberFormat="1" applyFont="1"/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8333</xdr:rowOff>
    </xdr:from>
    <xdr:to>
      <xdr:col>18</xdr:col>
      <xdr:colOff>485775</xdr:colOff>
      <xdr:row>20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198833"/>
          <a:ext cx="7534275" cy="3649267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popUp('../../mss1038.cfm')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60"/>
  <sheetViews>
    <sheetView tabSelected="1" topLeftCell="A31" workbookViewId="0">
      <selection activeCell="I40" sqref="I40"/>
    </sheetView>
  </sheetViews>
  <sheetFormatPr defaultRowHeight="15"/>
  <cols>
    <col min="1" max="1" width="12.42578125" bestFit="1" customWidth="1"/>
    <col min="2" max="2" width="9.5703125" bestFit="1" customWidth="1"/>
    <col min="3" max="3" width="10" bestFit="1" customWidth="1"/>
    <col min="6" max="6" width="10.140625" bestFit="1" customWidth="1"/>
    <col min="7" max="7" width="9.5703125" bestFit="1" customWidth="1"/>
    <col min="8" max="8" width="11" bestFit="1" customWidth="1"/>
    <col min="11" max="11" width="12.42578125" bestFit="1" customWidth="1"/>
  </cols>
  <sheetData>
    <row r="3" spans="1:7">
      <c r="A3" t="s">
        <v>0</v>
      </c>
      <c r="B3" s="1">
        <v>22.5</v>
      </c>
      <c r="E3" t="s">
        <v>1</v>
      </c>
      <c r="F3" s="1">
        <f>206003/((B9/1000)^1.0888)</f>
        <v>165.00018771577655</v>
      </c>
    </row>
    <row r="4" spans="1:7">
      <c r="A4" t="s">
        <v>2</v>
      </c>
      <c r="B4" s="1">
        <v>38.5</v>
      </c>
      <c r="E4" t="s">
        <v>3</v>
      </c>
      <c r="F4" s="2">
        <f>(B7/0.8-1)*F5</f>
        <v>69825</v>
      </c>
    </row>
    <row r="5" spans="1:7">
      <c r="A5" t="s">
        <v>4</v>
      </c>
      <c r="B5">
        <v>27</v>
      </c>
      <c r="E5" t="s">
        <v>5</v>
      </c>
      <c r="F5" s="2">
        <v>13300</v>
      </c>
    </row>
    <row r="6" spans="1:7">
      <c r="A6" t="s">
        <v>6</v>
      </c>
      <c r="B6">
        <v>0.05</v>
      </c>
      <c r="E6" t="s">
        <v>7</v>
      </c>
      <c r="F6" s="2">
        <f>B10*SQRT(B7/B3*(B3-B7)/B3)</f>
        <v>0.16629588385661964</v>
      </c>
    </row>
    <row r="7" spans="1:7">
      <c r="A7" t="s">
        <v>8</v>
      </c>
      <c r="B7">
        <v>5</v>
      </c>
      <c r="E7" t="s">
        <v>9</v>
      </c>
      <c r="F7" s="2">
        <f>B10*F6/(B9*B6)</f>
        <v>1.9059727461686293E-6</v>
      </c>
    </row>
    <row r="8" spans="1:7">
      <c r="A8" t="s">
        <v>10</v>
      </c>
      <c r="B8">
        <v>0.35</v>
      </c>
      <c r="E8" t="s">
        <v>9</v>
      </c>
      <c r="F8" s="2">
        <v>4.6999999999999999E-6</v>
      </c>
    </row>
    <row r="9" spans="1:7">
      <c r="A9" t="s">
        <v>11</v>
      </c>
      <c r="B9" s="3">
        <v>697999</v>
      </c>
      <c r="E9" t="s">
        <v>6</v>
      </c>
      <c r="F9" s="3">
        <f>(B10*F6)/(F8*B9)</f>
        <v>2.0276305810304568E-2</v>
      </c>
    </row>
    <row r="10" spans="1:7">
      <c r="A10" t="s">
        <v>12</v>
      </c>
      <c r="B10">
        <v>0.4</v>
      </c>
      <c r="E10" t="s">
        <v>13</v>
      </c>
      <c r="F10" s="3">
        <f>(B4-B7)/(B10*B12)*B7/(B4*B9)</f>
        <v>7.7912886527225499E-5</v>
      </c>
    </row>
    <row r="11" spans="1:7">
      <c r="A11" t="s">
        <v>14</v>
      </c>
      <c r="B11">
        <v>0.03</v>
      </c>
      <c r="E11" t="s">
        <v>15</v>
      </c>
      <c r="F11" s="3">
        <f>(B3-B7)/0.03*B7/(B3*B9)</f>
        <v>1.8571606783051214E-4</v>
      </c>
      <c r="G11" s="3"/>
    </row>
    <row r="12" spans="1:7">
      <c r="A12" t="s">
        <v>16</v>
      </c>
      <c r="B12" s="4">
        <v>0.2</v>
      </c>
      <c r="E12" t="s">
        <v>17</v>
      </c>
      <c r="F12" s="3">
        <v>1.8000000000000001E-4</v>
      </c>
    </row>
    <row r="13" spans="1:7">
      <c r="A13" t="s">
        <v>18</v>
      </c>
      <c r="B13" s="4">
        <v>0.01</v>
      </c>
      <c r="E13" t="s">
        <v>19</v>
      </c>
      <c r="F13" s="3">
        <f>(B4-B7)*B7/(B4*F12*B9)</f>
        <v>3.4627949567655789E-2</v>
      </c>
    </row>
    <row r="14" spans="1:7">
      <c r="A14" t="s">
        <v>20</v>
      </c>
      <c r="B14">
        <v>0.254</v>
      </c>
      <c r="E14" t="s">
        <v>21</v>
      </c>
      <c r="F14" s="3">
        <f>SQRT(B10^2+1/12*(F13^2))</f>
        <v>0.40012488622212905</v>
      </c>
    </row>
    <row r="15" spans="1:7" ht="18">
      <c r="A15" t="s">
        <v>22</v>
      </c>
      <c r="B15">
        <v>0.4</v>
      </c>
      <c r="E15" t="s">
        <v>23</v>
      </c>
      <c r="F15" s="3">
        <f>B10+F13/2</f>
        <v>0.41731397478382792</v>
      </c>
    </row>
    <row r="16" spans="1:7">
      <c r="A16" t="s">
        <v>24</v>
      </c>
      <c r="B16">
        <v>0.36</v>
      </c>
      <c r="E16" t="s">
        <v>25</v>
      </c>
      <c r="F16" s="3">
        <f>2*B17/(B9*(B18*B7-B17*B16))</f>
        <v>1.3389409429703144E-6</v>
      </c>
    </row>
    <row r="17" spans="1:10">
      <c r="A17" t="s">
        <v>26</v>
      </c>
      <c r="B17" s="2">
        <v>0.1</v>
      </c>
      <c r="E17" t="s">
        <v>25</v>
      </c>
      <c r="F17" s="3">
        <f>F12*(B10^2-B11^2)/((B7*(1+B18))^2-B7^2)</f>
        <v>1.1175804878048783E-5</v>
      </c>
    </row>
    <row r="18" spans="1:10">
      <c r="A18" t="s">
        <v>27</v>
      </c>
      <c r="B18" s="5">
        <v>0.05</v>
      </c>
      <c r="E18" t="s">
        <v>25</v>
      </c>
      <c r="F18" s="3">
        <f>1/(8*B9)*(1/(B13*B7/F13-B16))</f>
        <v>1.652181880130426E-7</v>
      </c>
    </row>
    <row r="19" spans="1:10">
      <c r="A19" t="s">
        <v>28</v>
      </c>
      <c r="B19" s="2">
        <v>0.1</v>
      </c>
      <c r="E19" t="s">
        <v>25</v>
      </c>
      <c r="F19" s="6">
        <v>1E-4</v>
      </c>
    </row>
    <row r="20" spans="1:10">
      <c r="E20" s="7" t="s">
        <v>29</v>
      </c>
      <c r="F20" s="2">
        <f>1/(2*PI()*SQRT(F12*F19))</f>
        <v>1186.2709056952951</v>
      </c>
    </row>
    <row r="21" spans="1:10">
      <c r="A21" t="s">
        <v>30</v>
      </c>
      <c r="B21" s="8">
        <f>(1/0.00000013)*(B10*B14+B7+B8)/(B4-B10*B15+B8)</f>
        <v>1083881.7424498477</v>
      </c>
      <c r="E21" t="s">
        <v>31</v>
      </c>
      <c r="F21" s="3">
        <f>(B7*(B4-B7))/(SQRT(12)*B4*F12*B9)</f>
        <v>9.9962280021854266E-3</v>
      </c>
    </row>
    <row r="22" spans="1:10" ht="18">
      <c r="A22" t="s">
        <v>30</v>
      </c>
      <c r="B22" s="8">
        <f>(8/0.00000013)*(0.94*B14+0.1+B8)/(B4-0.94*B15+B8)</f>
        <v>1101659.0624637615</v>
      </c>
      <c r="E22" t="s">
        <v>32</v>
      </c>
      <c r="F22" s="8">
        <f>(F19*B7*0.8)/B19</f>
        <v>4.0000000000000001E-3</v>
      </c>
    </row>
    <row r="23" spans="1:10" ht="18">
      <c r="E23" t="s">
        <v>33</v>
      </c>
      <c r="F23" s="8">
        <f>F22*0.000002/0.8*0.8</f>
        <v>8.0000000000000005E-9</v>
      </c>
    </row>
    <row r="24" spans="1:10" ht="18">
      <c r="A24" t="s">
        <v>34</v>
      </c>
      <c r="B24" t="s">
        <v>35</v>
      </c>
      <c r="E24" t="s">
        <v>33</v>
      </c>
      <c r="F24" s="9">
        <v>4.6999999999999999E-9</v>
      </c>
      <c r="I24" s="13" t="s">
        <v>36</v>
      </c>
      <c r="J24" s="13"/>
    </row>
    <row r="25" spans="1:10" ht="18">
      <c r="A25" s="10" t="s">
        <v>37</v>
      </c>
      <c r="B25">
        <v>0.33</v>
      </c>
      <c r="E25" t="s">
        <v>32</v>
      </c>
      <c r="F25" s="9">
        <f>F24/(0.000002/0.8*0.8)</f>
        <v>2.3500000000000001E-3</v>
      </c>
      <c r="I25" s="8" t="s">
        <v>25</v>
      </c>
      <c r="J25" s="2">
        <v>1E-4</v>
      </c>
    </row>
    <row r="26" spans="1:10" ht="18">
      <c r="E26" t="s">
        <v>38</v>
      </c>
      <c r="F26" s="8">
        <f>B10/(2*PI()*B7*F19)</f>
        <v>127.32395447351627</v>
      </c>
      <c r="H26" s="2"/>
      <c r="I26" t="s">
        <v>39</v>
      </c>
      <c r="J26" s="2">
        <v>84500</v>
      </c>
    </row>
    <row r="27" spans="1:10" ht="18">
      <c r="E27" t="s">
        <v>40</v>
      </c>
      <c r="F27" s="8">
        <f>1/(2*PI()*B16*F19)</f>
        <v>4420.9706414415368</v>
      </c>
      <c r="H27" s="8"/>
      <c r="I27" t="s">
        <v>41</v>
      </c>
      <c r="J27" s="3">
        <v>3.9E-10</v>
      </c>
    </row>
    <row r="28" spans="1:10" ht="18">
      <c r="E28" t="s">
        <v>42</v>
      </c>
      <c r="F28" s="8">
        <f>SQRT(F26*F27)</f>
        <v>750.26359679758832</v>
      </c>
      <c r="H28" s="8"/>
      <c r="I28" t="s">
        <v>43</v>
      </c>
      <c r="J28" s="3">
        <v>1.2E-10</v>
      </c>
    </row>
    <row r="29" spans="1:10" ht="18">
      <c r="C29" s="8"/>
      <c r="E29" t="s">
        <v>42</v>
      </c>
      <c r="F29" s="8">
        <f>SQRT(F26*B9/2)</f>
        <v>6666.0330369178291</v>
      </c>
      <c r="H29" s="8"/>
      <c r="I29" s="2"/>
    </row>
    <row r="30" spans="1:10" ht="18">
      <c r="C30" s="8"/>
      <c r="E30" t="s">
        <v>42</v>
      </c>
      <c r="F30" s="11">
        <f>MIN(F28:F29)</f>
        <v>750.26359679758832</v>
      </c>
    </row>
    <row r="31" spans="1:10" ht="18">
      <c r="E31" t="s">
        <v>39</v>
      </c>
      <c r="F31" s="8">
        <f>(2*PI()*F30*F19)/1.9*B7/(0.8*0.000097)</f>
        <v>15986.317172783221</v>
      </c>
      <c r="G31" s="8">
        <v>16200</v>
      </c>
      <c r="H31" s="3"/>
    </row>
    <row r="32" spans="1:10" ht="18">
      <c r="E32" t="s">
        <v>41</v>
      </c>
      <c r="F32" s="12">
        <f>1/(2*PI()*F26)</f>
        <v>1.25E-3</v>
      </c>
      <c r="G32" s="8"/>
      <c r="H32" s="8"/>
    </row>
    <row r="33" spans="4:8" ht="18">
      <c r="E33" t="s">
        <v>43</v>
      </c>
      <c r="F33" s="12">
        <f>1/(2*PI()*F27)</f>
        <v>3.6000000000000008E-5</v>
      </c>
      <c r="G33" s="8"/>
      <c r="H33" s="8"/>
    </row>
    <row r="34" spans="4:8">
      <c r="F34" s="3"/>
      <c r="H34" s="8"/>
    </row>
    <row r="35" spans="4:8">
      <c r="F35" s="8"/>
    </row>
    <row r="36" spans="4:8">
      <c r="D36" t="s">
        <v>44</v>
      </c>
      <c r="E36" t="s">
        <v>45</v>
      </c>
      <c r="F36" s="2">
        <f>0.4/(2*PI()*5*0.0001)</f>
        <v>127.32395447351627</v>
      </c>
      <c r="G36" s="8"/>
    </row>
    <row r="37" spans="4:8">
      <c r="E37" t="s">
        <v>46</v>
      </c>
      <c r="F37" s="2">
        <f>1/(2*PI()*0.36*0.0001)</f>
        <v>4420.9706414415368</v>
      </c>
      <c r="G37" s="8"/>
    </row>
    <row r="38" spans="4:8">
      <c r="E38" t="s">
        <v>47</v>
      </c>
      <c r="F38">
        <f>SQRT(F36*F37)</f>
        <v>750.26359679758832</v>
      </c>
    </row>
    <row r="39" spans="4:8">
      <c r="E39" t="s">
        <v>47</v>
      </c>
      <c r="F39" s="2">
        <f>SQRT(F36*698000/2)</f>
        <v>6666.0378120182595</v>
      </c>
    </row>
    <row r="40" spans="4:8">
      <c r="E40" t="s">
        <v>47</v>
      </c>
      <c r="F40">
        <f>MIN(F38:F39)</f>
        <v>750.26359679758832</v>
      </c>
    </row>
    <row r="41" spans="4:8">
      <c r="E41" t="s">
        <v>48</v>
      </c>
      <c r="F41" s="2">
        <f>(2*PI()*F40*0.0001)/1.9*(5/(0.8*0.000097))</f>
        <v>15986.31717278322</v>
      </c>
      <c r="G41" t="s">
        <v>53</v>
      </c>
    </row>
    <row r="42" spans="4:8">
      <c r="E42" t="s">
        <v>49</v>
      </c>
      <c r="F42" s="2">
        <f>1/(2*PI()*F41*F36)</f>
        <v>7.8191867863608453E-8</v>
      </c>
      <c r="G42" t="s">
        <v>52</v>
      </c>
    </row>
    <row r="43" spans="4:8">
      <c r="E43" t="s">
        <v>50</v>
      </c>
      <c r="F43" s="2">
        <f>0.0001*0.36/F41</f>
        <v>2.251925794471923E-9</v>
      </c>
    </row>
    <row r="44" spans="4:8">
      <c r="E44" t="s">
        <v>50</v>
      </c>
      <c r="F44" s="2">
        <f>1/(F41*698000*PI())</f>
        <v>2.8526354796748653E-11</v>
      </c>
    </row>
    <row r="45" spans="4:8">
      <c r="E45" t="s">
        <v>50</v>
      </c>
      <c r="F45" s="2">
        <f>MAX(F43:F44)</f>
        <v>2.251925794471923E-9</v>
      </c>
      <c r="G45" t="s">
        <v>51</v>
      </c>
    </row>
    <row r="47" spans="4:8">
      <c r="D47" t="s">
        <v>54</v>
      </c>
      <c r="E47" t="s">
        <v>45</v>
      </c>
      <c r="F47" s="2">
        <f>0.4/(2*PI()*5*0.0001)</f>
        <v>127.32395447351627</v>
      </c>
    </row>
    <row r="48" spans="4:8">
      <c r="E48" t="s">
        <v>46</v>
      </c>
      <c r="F48" s="2">
        <f>1/(2*PI()*0.36*0.0001)</f>
        <v>4420.9706414415368</v>
      </c>
    </row>
    <row r="49" spans="5:6">
      <c r="E49" t="s">
        <v>55</v>
      </c>
      <c r="F49" s="2">
        <f>51442/SQRT(5)</f>
        <v>23005.561779708834</v>
      </c>
    </row>
    <row r="50" spans="5:6">
      <c r="E50" t="s">
        <v>55</v>
      </c>
      <c r="F50" s="2">
        <f>698000/5</f>
        <v>139600</v>
      </c>
    </row>
    <row r="51" spans="5:6">
      <c r="E51" t="s">
        <v>56</v>
      </c>
      <c r="F51" s="2">
        <f>5*F47</f>
        <v>636.61977236758139</v>
      </c>
    </row>
    <row r="52" spans="5:6">
      <c r="E52" t="s">
        <v>57</v>
      </c>
      <c r="F52" s="2">
        <v>15000</v>
      </c>
    </row>
    <row r="53" spans="5:6">
      <c r="E53" t="s">
        <v>58</v>
      </c>
      <c r="F53" s="8">
        <f>(6.6*5/0.4*(2*PI()*F52*0.0001*0.36+1)/(2*PI()*F52*0.0001*(5/0.4+0.36)+1))</f>
        <v>2.9656960918792366</v>
      </c>
    </row>
    <row r="54" spans="5:6">
      <c r="E54" t="s">
        <v>48</v>
      </c>
      <c r="F54" s="2">
        <f>(5*F52)/(F53*F48*0.00008)</f>
        <v>71503.450639454808</v>
      </c>
    </row>
    <row r="55" spans="5:6">
      <c r="E55" t="s">
        <v>49</v>
      </c>
      <c r="F55" s="2">
        <f>1/(PI()*F54*F47)</f>
        <v>3.4963347609696024E-8</v>
      </c>
    </row>
    <row r="56" spans="5:6">
      <c r="E56" t="s">
        <v>50</v>
      </c>
      <c r="F56" s="2">
        <f>1/(2*PI()*F54*F48)</f>
        <v>5.0347220557962285E-10</v>
      </c>
    </row>
    <row r="57" spans="5:6">
      <c r="F57" s="2"/>
    </row>
    <row r="58" spans="5:6">
      <c r="F58" s="2"/>
    </row>
    <row r="59" spans="5:6">
      <c r="F59" s="2"/>
    </row>
    <row r="60" spans="5:6">
      <c r="F60" s="2"/>
    </row>
  </sheetData>
  <mergeCells count="1">
    <mergeCell ref="I24:J24"/>
  </mergeCells>
  <hyperlinks>
    <hyperlink ref="A25" r:id="rId1" display="javascript:popUp('../../mss1038.cfm')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TPS5401</vt:lpstr>
    </vt:vector>
  </TitlesOfParts>
  <Company>Research Products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Jim Gavin</dc:creator>
  <cp:lastModifiedBy> Jim Gavin</cp:lastModifiedBy>
  <dcterms:created xsi:type="dcterms:W3CDTF">2011-05-11T21:13:27Z</dcterms:created>
  <dcterms:modified xsi:type="dcterms:W3CDTF">2011-05-11T22:21:26Z</dcterms:modified>
</cp:coreProperties>
</file>