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480" yWindow="75" windowWidth="19440" windowHeight="9165" activeTab="2"/>
  </bookViews>
  <sheets>
    <sheet name="Instructions" sheetId="3" r:id="rId1"/>
    <sheet name="Schematic" sheetId="1" r:id="rId2"/>
    <sheet name="Calculations" sheetId="2" r:id="rId3"/>
    <sheet name="Internal IC Parameters" sheetId="6" r:id="rId4"/>
    <sheet name="E_Series_Values" sheetId="7" r:id="rId5"/>
    <sheet name="Diagrams" sheetId="8" r:id="rId6"/>
  </sheets>
  <definedNames>
    <definedName name="Ae">Calculations!$C$40</definedName>
    <definedName name="Al">Calculations!$E$55</definedName>
    <definedName name="Bpk">Calculations!$C$39</definedName>
    <definedName name="Cbias">Calculations!$E$58</definedName>
    <definedName name="Cbulk">Calculations!$H$16</definedName>
    <definedName name="Cout">Calculations!$C$35</definedName>
    <definedName name="Cx_cap">Calculations!$C$44</definedName>
    <definedName name="Eff">Calculations!$D$17</definedName>
    <definedName name="Fac_min">Calculations!$C$10</definedName>
    <definedName name="Fsw_min">'Internal IC Parameters'!$C$7</definedName>
    <definedName name="Fsw_nom">'Internal IC Parameters'!$C$8</definedName>
    <definedName name="I_cout_limit">Calculations!$C$68</definedName>
    <definedName name="Idd_run">'Internal IC Parameters'!$C$13</definedName>
    <definedName name="Imax">Calculations!$E$19</definedName>
    <definedName name="Inom">Calculations!$D$19</definedName>
    <definedName name="Iout_limit">Calculations!$C$67</definedName>
    <definedName name="Ipk_max">Calculations!$E$51</definedName>
    <definedName name="Kcc_1">'Internal IC Parameters'!$C$14</definedName>
    <definedName name="Kcc_2">'Internal IC Parameters'!$C$15</definedName>
    <definedName name="Kline">'Internal IC Parameters'!$C$16</definedName>
    <definedName name="Llk_sb">Calculations!$C$41</definedName>
    <definedName name="Lmag">Calculations!$E$48</definedName>
    <definedName name="N">Calculations!$E$47</definedName>
    <definedName name="Nbias">Calculations!$E$54</definedName>
    <definedName name="Npri">Calculations!$E$52</definedName>
    <definedName name="Nsec">Calculations!$E$53</definedName>
    <definedName name="P_ol">Calculations!$D$20</definedName>
    <definedName name="P_preload_min">Calculations!$E$64</definedName>
    <definedName name="Pmax">Calculations!$H$13</definedName>
    <definedName name="pnfr">'Internal IC Parameters'!$C$18</definedName>
    <definedName name="pnir">'Internal IC Parameters'!$C$19</definedName>
    <definedName name="Pnom">Calculations!$D$12</definedName>
    <definedName name="pnpr">'Internal IC Parameters'!$C$20</definedName>
    <definedName name="Qg_tot">Calculations!$C$42</definedName>
    <definedName name="Ra">Calculations!$E$61</definedName>
    <definedName name="Rb">Calculations!$E$62</definedName>
    <definedName name="Rcs">Calculations!$E$50</definedName>
    <definedName name="Rectifier_Derating">Calculations!$C$38</definedName>
    <definedName name="Rectifier_Rating">Calculations!$C$56</definedName>
    <definedName name="Rext">Calculations!$D$21</definedName>
    <definedName name="Root_nom">Calculations!$E$26</definedName>
    <definedName name="Root_pol">Calculations!$E$28</definedName>
    <definedName name="Root_surge">Calculations!$E$30</definedName>
    <definedName name="Rp">Calculations!$D$22</definedName>
    <definedName name="solver_adj" localSheetId="2" hidden="1">Calculations!#REF!</definedName>
    <definedName name="solver_cvg" localSheetId="2" hidden="1">0.0001</definedName>
    <definedName name="solver_drv" localSheetId="2" hidden="1">1</definedName>
    <definedName name="solver_est" localSheetId="2" hidden="1">1</definedName>
    <definedName name="solver_itr" localSheetId="2" hidden="1">100</definedName>
    <definedName name="solver_lin" localSheetId="2" hidden="1">2</definedName>
    <definedName name="solver_neg" localSheetId="2" hidden="1">2</definedName>
    <definedName name="solver_num" localSheetId="2" hidden="1">0</definedName>
    <definedName name="solver_nwt" localSheetId="2" hidden="1">1</definedName>
    <definedName name="solver_opt" localSheetId="2" hidden="1">Calculations!$N$6</definedName>
    <definedName name="solver_pre" localSheetId="2" hidden="1">0.000001</definedName>
    <definedName name="solver_scl" localSheetId="2" hidden="1">2</definedName>
    <definedName name="solver_sho" localSheetId="2" hidden="1">2</definedName>
    <definedName name="solver_tim" localSheetId="2" hidden="1">100</definedName>
    <definedName name="solver_tol" localSheetId="2" hidden="1">0.05</definedName>
    <definedName name="solver_typ" localSheetId="2" hidden="1">3</definedName>
    <definedName name="solver_val" localSheetId="2" hidden="1">0</definedName>
    <definedName name="T_pmax">Calculations!$F$14</definedName>
    <definedName name="t_smp">'Internal IC Parameters'!$C$22</definedName>
    <definedName name="T_start">Calculations!$E$59</definedName>
    <definedName name="Tmax">Calculations!$D$14</definedName>
    <definedName name="ton_min">'Internal IC Parameters'!$C$21</definedName>
    <definedName name="tstart_del">'Internal IC Parameters'!$C$23</definedName>
    <definedName name="V_LED">Calculations!$C$43</definedName>
    <definedName name="V_rect">Calculations!$C$37</definedName>
    <definedName name="V_reflected">Calculations!$C$36</definedName>
    <definedName name="V_selv">Calculations!$D$23</definedName>
    <definedName name="Vac_max">Calculations!$E$9</definedName>
    <definedName name="Vac_min">Calculations!$C$9</definedName>
    <definedName name="Vac_nom">Calculations!$D$9</definedName>
    <definedName name="Vacpk_max">Calculations!$E$18</definedName>
    <definedName name="Vacpk_min">Calculations!$C$18</definedName>
    <definedName name="Vacpk_nom">Calculations!$D$18</definedName>
    <definedName name="Vbias">Calculations!$C$33</definedName>
    <definedName name="Vbias_diode">Calculations!$C$34</definedName>
    <definedName name="Vbulkmin_nom">Calculations!$C$27</definedName>
    <definedName name="Vbulkmin_OL">Calculations!$C$29</definedName>
    <definedName name="Vbulkmin_surge">Calculations!$C$31</definedName>
    <definedName name="Vcs_max">'Internal IC Parameters'!$C$3</definedName>
    <definedName name="Vcs_min">'Internal IC Parameters'!$C$4</definedName>
    <definedName name="Vddreset_max">'Internal IC Parameters'!$C$12</definedName>
    <definedName name="Vddstart_max">'Internal IC Parameters'!$C$6</definedName>
    <definedName name="Vddstart_min">'Internal IC Parameters'!$C$5</definedName>
    <definedName name="Vddstop_max">'Internal IC Parameters'!$C$11</definedName>
    <definedName name="Vout">Calculations!$D$11</definedName>
    <definedName name="Vout_ref">'Internal IC Parameters'!$C$10</definedName>
    <definedName name="wt2_nom">Calculations!$C$26</definedName>
    <definedName name="wt2_pol">Calculations!$C$28</definedName>
    <definedName name="wt2_surge">Calculations!$C$30</definedName>
    <definedName name="Xcap_max">Calculations!$C$69</definedName>
    <definedName name="δmax">'Internal IC Parameters'!$C$17</definedName>
  </definedNames>
  <calcPr calcId="145621"/>
</workbook>
</file>

<file path=xl/calcChain.xml><?xml version="1.0" encoding="utf-8"?>
<calcChain xmlns="http://schemas.openxmlformats.org/spreadsheetml/2006/main">
  <c r="C47" i="2" l="1"/>
  <c r="F16" i="2"/>
  <c r="F13" i="2"/>
  <c r="F14" i="2"/>
  <c r="H16" i="2" l="1"/>
  <c r="D20" i="2" l="1"/>
  <c r="D19" i="2"/>
  <c r="E18" i="2"/>
  <c r="D18" i="2"/>
  <c r="H13" i="2"/>
  <c r="C49"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3" i="7"/>
  <c r="C4" i="7"/>
  <c r="C2"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4" i="7"/>
  <c r="B5" i="7"/>
  <c r="B3" i="7"/>
  <c r="B2" i="7"/>
  <c r="C75" i="2" l="1"/>
  <c r="C18" i="2"/>
  <c r="C31" i="2" s="1"/>
  <c r="E30" i="2" s="1"/>
  <c r="C27" i="2" l="1"/>
  <c r="E26" i="2" s="1"/>
  <c r="C29" i="2"/>
  <c r="E28" i="2" s="1"/>
  <c r="E47" i="2"/>
  <c r="E31" i="2" l="1"/>
  <c r="E27" i="2"/>
  <c r="E29" i="2"/>
  <c r="C48" i="2"/>
  <c r="E48" i="2" l="1"/>
  <c r="C49" i="2" s="1"/>
  <c r="E49" i="2" l="1"/>
  <c r="C50" i="2" s="1" a="1"/>
  <c r="C50" i="2" s="1"/>
  <c r="E50" i="2" l="1"/>
  <c r="C77" i="2" s="1"/>
  <c r="C79" i="2" l="1"/>
  <c r="C68" i="2"/>
  <c r="E68" i="2" s="1"/>
  <c r="C67" i="2"/>
  <c r="C51" i="2"/>
  <c r="E51" i="2" s="1"/>
  <c r="C52" i="2" s="1"/>
  <c r="C64" i="2"/>
  <c r="E64" i="2" s="1"/>
  <c r="C57" i="2" l="1"/>
  <c r="E67" i="2"/>
  <c r="E19" i="2"/>
  <c r="E52" i="2"/>
  <c r="C55" i="2" s="1"/>
  <c r="E55" i="2" s="1"/>
  <c r="C53" i="2"/>
  <c r="E53" i="2" s="1"/>
  <c r="C65" i="2"/>
  <c r="C54" i="2" l="1"/>
  <c r="E54" i="2" s="1"/>
  <c r="C60" i="2" s="1"/>
  <c r="E60" i="2" s="1"/>
  <c r="C61" i="2" s="1" a="1"/>
  <c r="C61" i="2" s="1"/>
  <c r="C56" i="2"/>
  <c r="E56" i="2" s="1"/>
  <c r="E65" i="2"/>
  <c r="E57" i="2"/>
  <c r="C66" i="2" l="1" a="1"/>
  <c r="C66" i="2" s="1"/>
  <c r="E66" i="2" s="1"/>
  <c r="C58" i="2" a="1"/>
  <c r="C58" i="2" s="1"/>
  <c r="E58" i="2" s="1"/>
  <c r="C73" i="2" s="1"/>
  <c r="E61" i="2"/>
  <c r="C62" i="2" l="1"/>
  <c r="E62" i="2" s="1"/>
  <c r="C71" i="2" s="1"/>
  <c r="C59" i="2"/>
  <c r="E59" i="2" s="1"/>
  <c r="C69" i="2"/>
  <c r="E69" i="2" s="1"/>
  <c r="C63" i="2" l="1"/>
</calcChain>
</file>

<file path=xl/comments1.xml><?xml version="1.0" encoding="utf-8"?>
<comments xmlns="http://schemas.openxmlformats.org/spreadsheetml/2006/main">
  <authors>
    <author>Billy Long</author>
  </authors>
  <commentList>
    <comment ref="A47" authorId="0">
      <text>
        <r>
          <rPr>
            <b/>
            <sz val="9"/>
            <color indexed="81"/>
            <rFont val="Tahoma"/>
            <family val="2"/>
          </rPr>
          <t>(Datasheet section 9.2.4.2)</t>
        </r>
      </text>
    </comment>
    <comment ref="A48" authorId="0">
      <text>
        <r>
          <rPr>
            <b/>
            <sz val="9"/>
            <color indexed="81"/>
            <rFont val="Tahoma"/>
            <family val="2"/>
          </rPr>
          <t>(Datasheet section 9.2.4.3)</t>
        </r>
      </text>
    </comment>
    <comment ref="A49" authorId="0">
      <text>
        <r>
          <rPr>
            <b/>
            <sz val="9"/>
            <color indexed="81"/>
            <rFont val="Tahoma"/>
            <family val="2"/>
          </rPr>
          <t xml:space="preserve"> (Datasheet section 9.2.4.4)</t>
        </r>
      </text>
    </comment>
    <comment ref="A52" authorId="0">
      <text>
        <r>
          <rPr>
            <b/>
            <sz val="9"/>
            <color indexed="81"/>
            <rFont val="Tahoma"/>
            <family val="2"/>
          </rPr>
          <t>(Datasheet section 9.2.4.6)</t>
        </r>
      </text>
    </comment>
    <comment ref="A53" authorId="0">
      <text>
        <r>
          <rPr>
            <b/>
            <sz val="9"/>
            <color indexed="81"/>
            <rFont val="Tahoma"/>
            <family val="2"/>
          </rPr>
          <t>(Datasheet section 9.2.4.6)</t>
        </r>
      </text>
    </comment>
    <comment ref="A54" authorId="0">
      <text>
        <r>
          <rPr>
            <b/>
            <sz val="9"/>
            <color indexed="81"/>
            <rFont val="Tahoma"/>
            <family val="2"/>
          </rPr>
          <t>(Datasheet section 9.2.4.6)</t>
        </r>
      </text>
    </comment>
    <comment ref="A55" authorId="0">
      <text>
        <r>
          <rPr>
            <b/>
            <sz val="9"/>
            <color indexed="81"/>
            <rFont val="Tahoma"/>
            <family val="2"/>
          </rPr>
          <t>(Datasheet section 9.2.4.6)</t>
        </r>
      </text>
    </comment>
    <comment ref="A57" authorId="0">
      <text>
        <r>
          <rPr>
            <b/>
            <sz val="9"/>
            <color indexed="81"/>
            <rFont val="Tahoma"/>
            <family val="2"/>
          </rPr>
          <t>(Datasheet section 9.2.4.11)</t>
        </r>
      </text>
    </comment>
    <comment ref="A60" authorId="0">
      <text>
        <r>
          <rPr>
            <b/>
            <sz val="9"/>
            <color indexed="81"/>
            <rFont val="Tahoma"/>
            <family val="2"/>
          </rPr>
          <t>(Datasheet section 9.2.4.12)</t>
        </r>
      </text>
    </comment>
    <comment ref="A62" authorId="0">
      <text>
        <r>
          <rPr>
            <b/>
            <sz val="9"/>
            <color indexed="81"/>
            <rFont val="Tahoma"/>
            <family val="2"/>
          </rPr>
          <t>(Datasheet section 9.2.4.12)</t>
        </r>
      </text>
    </comment>
    <comment ref="A64" authorId="0">
      <text>
        <r>
          <rPr>
            <b/>
            <sz val="9"/>
            <color indexed="81"/>
            <rFont val="Tahoma"/>
            <family val="2"/>
          </rPr>
          <t>(Datasheet section 9.2.4.13)</t>
        </r>
      </text>
    </comment>
    <comment ref="A65" authorId="0">
      <text>
        <r>
          <rPr>
            <b/>
            <sz val="9"/>
            <color indexed="81"/>
            <rFont val="Tahoma"/>
            <family val="2"/>
          </rPr>
          <t>(Datasheet section 9.2.4.13)</t>
        </r>
      </text>
    </comment>
    <comment ref="A67" authorId="0">
      <text>
        <r>
          <rPr>
            <b/>
            <sz val="9"/>
            <color indexed="81"/>
            <rFont val="Tahoma"/>
            <family val="2"/>
          </rPr>
          <t>(Datasheet section 9.2.4.10)</t>
        </r>
      </text>
    </comment>
    <comment ref="A68" authorId="0">
      <text>
        <r>
          <rPr>
            <b/>
            <sz val="9"/>
            <color indexed="81"/>
            <rFont val="Tahoma"/>
            <family val="2"/>
          </rPr>
          <t>(Datasheet section 9.2.4.9)</t>
        </r>
      </text>
    </comment>
    <comment ref="A69" authorId="0">
      <text>
        <r>
          <rPr>
            <b/>
            <sz val="9"/>
            <color indexed="81"/>
            <rFont val="Tahoma"/>
            <family val="2"/>
          </rPr>
          <t>(Datasheet section 8.3.3.1)</t>
        </r>
      </text>
    </comment>
    <comment ref="A71" authorId="0">
      <text>
        <r>
          <rPr>
            <b/>
            <sz val="9"/>
            <color indexed="81"/>
            <rFont val="Tahoma"/>
            <family val="2"/>
          </rPr>
          <t>(Datasheet section 8.3.6.4)</t>
        </r>
      </text>
    </comment>
    <comment ref="A73" authorId="0">
      <text>
        <r>
          <rPr>
            <b/>
            <sz val="9"/>
            <color indexed="81"/>
            <rFont val="Tahoma"/>
            <family val="2"/>
          </rPr>
          <t>(Datasheet section 8.3.3.1)</t>
        </r>
      </text>
    </comment>
    <comment ref="A75" authorId="0">
      <text>
        <r>
          <rPr>
            <b/>
            <sz val="9"/>
            <color indexed="81"/>
            <rFont val="Tahoma"/>
            <family val="2"/>
          </rPr>
          <t>(Datasheet section 8.3.3.1)</t>
        </r>
      </text>
    </comment>
    <comment ref="A77" authorId="0">
      <text>
        <r>
          <rPr>
            <b/>
            <sz val="9"/>
            <color indexed="81"/>
            <rFont val="Tahoma"/>
            <family val="2"/>
          </rPr>
          <t>(Datasheet section 8.3.7)</t>
        </r>
      </text>
    </comment>
    <comment ref="A79" authorId="0">
      <text>
        <r>
          <rPr>
            <b/>
            <sz val="9"/>
            <color indexed="81"/>
            <rFont val="Tahoma"/>
            <family val="2"/>
          </rPr>
          <t>(Datasheet section 8.3.7)</t>
        </r>
      </text>
    </comment>
  </commentList>
</comments>
</file>

<file path=xl/sharedStrings.xml><?xml version="1.0" encoding="utf-8"?>
<sst xmlns="http://schemas.openxmlformats.org/spreadsheetml/2006/main" count="231" uniqueCount="190">
  <si>
    <t>1. The Macros must be ENABLED.</t>
  </si>
  <si>
    <t>Enter Design Parameters and Chosen Component Values in Yellow Cells</t>
  </si>
  <si>
    <t>Design Specifications</t>
  </si>
  <si>
    <t>Description</t>
  </si>
  <si>
    <t xml:space="preserve">Minimum </t>
  </si>
  <si>
    <t>Maximum</t>
  </si>
  <si>
    <t>Unit</t>
  </si>
  <si>
    <t>V</t>
  </si>
  <si>
    <t>Output Voltage</t>
  </si>
  <si>
    <t>W</t>
  </si>
  <si>
    <t xml:space="preserve"> </t>
  </si>
  <si>
    <t>RMS Input Voltage</t>
  </si>
  <si>
    <t>Output Current</t>
  </si>
  <si>
    <t>A</t>
  </si>
  <si>
    <t>Hz</t>
  </si>
  <si>
    <t>%</t>
  </si>
  <si>
    <t>Full Load Efficiency Typical</t>
  </si>
  <si>
    <t>Line Voltage Frequency</t>
  </si>
  <si>
    <t>Nominal Output Power</t>
  </si>
  <si>
    <t>Transient Maximum Output Power</t>
  </si>
  <si>
    <t>uF</t>
  </si>
  <si>
    <r>
      <t xml:space="preserve">Bulk Capacitance </t>
    </r>
    <r>
      <rPr>
        <sz val="10"/>
        <rFont val="Arial"/>
        <family val="2"/>
      </rPr>
      <t>(~1.5-2uF/W of Pnom recommended)</t>
    </r>
  </si>
  <si>
    <t>Nominal</t>
  </si>
  <si>
    <t>Duration of Maximum Power delivery</t>
  </si>
  <si>
    <t>ms</t>
  </si>
  <si>
    <t>Minimum bulk voltage at nominal load</t>
  </si>
  <si>
    <t>Peak Input voltage</t>
  </si>
  <si>
    <t>Minimum bulk voltage when load is stepped from 
Pnominal to Pmax for time Tmax</t>
  </si>
  <si>
    <t>Vbulkmin_surge</t>
  </si>
  <si>
    <t>Parameter Entry</t>
  </si>
  <si>
    <t>N</t>
  </si>
  <si>
    <t>Rectifier Derating</t>
  </si>
  <si>
    <t>Vbulkmin_nom</t>
  </si>
  <si>
    <t>Lmag</t>
  </si>
  <si>
    <t>uH</t>
  </si>
  <si>
    <t>pnir</t>
  </si>
  <si>
    <t>Rcs</t>
  </si>
  <si>
    <t>E6</t>
  </si>
  <si>
    <t>E12</t>
  </si>
  <si>
    <t>E24</t>
  </si>
  <si>
    <r>
      <t>Vdd</t>
    </r>
    <r>
      <rPr>
        <vertAlign val="subscript"/>
        <sz val="11"/>
        <color theme="1"/>
        <rFont val="Calibri"/>
        <family val="2"/>
        <scheme val="minor"/>
      </rPr>
      <t>start_min</t>
    </r>
    <r>
      <rPr>
        <sz val="11"/>
        <color theme="1"/>
        <rFont val="Calibri"/>
        <family val="2"/>
        <scheme val="minor"/>
      </rPr>
      <t xml:space="preserve"> (V)</t>
    </r>
  </si>
  <si>
    <r>
      <t>Vdd</t>
    </r>
    <r>
      <rPr>
        <vertAlign val="subscript"/>
        <sz val="11"/>
        <color theme="1"/>
        <rFont val="Calibri"/>
        <family val="2"/>
        <scheme val="minor"/>
      </rPr>
      <t>start_max</t>
    </r>
    <r>
      <rPr>
        <sz val="11"/>
        <color theme="1"/>
        <rFont val="Calibri"/>
        <family val="2"/>
        <scheme val="minor"/>
      </rPr>
      <t xml:space="preserve"> (V)</t>
    </r>
  </si>
  <si>
    <r>
      <t>fsw</t>
    </r>
    <r>
      <rPr>
        <vertAlign val="subscript"/>
        <sz val="11"/>
        <color theme="1"/>
        <rFont val="Calibri"/>
        <family val="2"/>
        <scheme val="minor"/>
      </rPr>
      <t>min</t>
    </r>
    <r>
      <rPr>
        <sz val="11"/>
        <color theme="1"/>
        <rFont val="Calibri"/>
        <family val="2"/>
        <scheme val="minor"/>
      </rPr>
      <t xml:space="preserve"> (kHz)</t>
    </r>
  </si>
  <si>
    <r>
      <t>fsw</t>
    </r>
    <r>
      <rPr>
        <vertAlign val="subscript"/>
        <sz val="11"/>
        <color theme="1"/>
        <rFont val="Calibri"/>
        <family val="2"/>
        <scheme val="minor"/>
      </rPr>
      <t>nom</t>
    </r>
    <r>
      <rPr>
        <sz val="11"/>
        <color theme="1"/>
        <rFont val="Calibri"/>
        <family val="2"/>
        <scheme val="minor"/>
      </rPr>
      <t xml:space="preserve"> (kHz)</t>
    </r>
  </si>
  <si>
    <r>
      <t>fsw</t>
    </r>
    <r>
      <rPr>
        <vertAlign val="subscript"/>
        <sz val="11"/>
        <color theme="1"/>
        <rFont val="Calibri"/>
        <family val="2"/>
        <scheme val="minor"/>
      </rPr>
      <t>max</t>
    </r>
    <r>
      <rPr>
        <sz val="11"/>
        <color theme="1"/>
        <rFont val="Calibri"/>
        <family val="2"/>
        <scheme val="minor"/>
      </rPr>
      <t xml:space="preserve"> (kHz)</t>
    </r>
  </si>
  <si>
    <r>
      <t>V</t>
    </r>
    <r>
      <rPr>
        <vertAlign val="subscript"/>
        <sz val="11"/>
        <color theme="1"/>
        <rFont val="Calibri"/>
        <family val="2"/>
      </rPr>
      <t>out_ref</t>
    </r>
    <r>
      <rPr>
        <sz val="11"/>
        <color theme="1"/>
        <rFont val="Calibri"/>
        <family val="2"/>
      </rPr>
      <t xml:space="preserve"> (V)</t>
    </r>
  </si>
  <si>
    <r>
      <t>Vdd</t>
    </r>
    <r>
      <rPr>
        <vertAlign val="subscript"/>
        <sz val="11"/>
        <color theme="1"/>
        <rFont val="Calibri"/>
        <family val="2"/>
      </rPr>
      <t>stop_max</t>
    </r>
    <r>
      <rPr>
        <sz val="11"/>
        <color theme="1"/>
        <rFont val="Calibri"/>
        <family val="2"/>
      </rPr>
      <t xml:space="preserve"> (V)</t>
    </r>
  </si>
  <si>
    <r>
      <t>Vdd</t>
    </r>
    <r>
      <rPr>
        <vertAlign val="subscript"/>
        <sz val="11"/>
        <color theme="1"/>
        <rFont val="Calibri"/>
        <family val="2"/>
      </rPr>
      <t>reset_max</t>
    </r>
    <r>
      <rPr>
        <sz val="11"/>
        <color theme="1"/>
        <rFont val="Calibri"/>
        <family val="2"/>
      </rPr>
      <t xml:space="preserve"> (V)</t>
    </r>
  </si>
  <si>
    <r>
      <t>Idd</t>
    </r>
    <r>
      <rPr>
        <vertAlign val="subscript"/>
        <sz val="11"/>
        <color theme="1"/>
        <rFont val="Calibri"/>
        <family val="2"/>
      </rPr>
      <t>run</t>
    </r>
    <r>
      <rPr>
        <sz val="11"/>
        <color theme="1"/>
        <rFont val="Calibri"/>
        <family val="2"/>
      </rPr>
      <t xml:space="preserve"> (mA)</t>
    </r>
  </si>
  <si>
    <r>
      <t>Kcc</t>
    </r>
    <r>
      <rPr>
        <vertAlign val="subscript"/>
        <sz val="11"/>
        <color theme="1"/>
        <rFont val="Calibri"/>
        <family val="2"/>
      </rPr>
      <t>1</t>
    </r>
  </si>
  <si>
    <r>
      <t>Kcc</t>
    </r>
    <r>
      <rPr>
        <vertAlign val="subscript"/>
        <sz val="11"/>
        <color theme="1"/>
        <rFont val="Calibri"/>
        <family val="2"/>
      </rPr>
      <t>2</t>
    </r>
  </si>
  <si>
    <r>
      <t>K</t>
    </r>
    <r>
      <rPr>
        <vertAlign val="subscript"/>
        <sz val="11"/>
        <color theme="1"/>
        <rFont val="Calibri"/>
        <family val="2"/>
      </rPr>
      <t>line</t>
    </r>
  </si>
  <si>
    <r>
      <rPr>
        <sz val="11"/>
        <color theme="1"/>
        <rFont val="Times New Roman"/>
        <family val="1"/>
      </rPr>
      <t>δ</t>
    </r>
    <r>
      <rPr>
        <vertAlign val="subscript"/>
        <sz val="11"/>
        <color theme="1"/>
        <rFont val="Calibri"/>
        <family val="2"/>
      </rPr>
      <t>max</t>
    </r>
  </si>
  <si>
    <t>pnfr</t>
  </si>
  <si>
    <t>pnpr</t>
  </si>
  <si>
    <r>
      <t>ton</t>
    </r>
    <r>
      <rPr>
        <vertAlign val="subscript"/>
        <sz val="11"/>
        <color theme="1"/>
        <rFont val="Calibri"/>
        <family val="2"/>
      </rPr>
      <t xml:space="preserve">min </t>
    </r>
    <r>
      <rPr>
        <sz val="11"/>
        <color theme="1"/>
        <rFont val="Calibri"/>
        <family val="2"/>
      </rPr>
      <t>(ns)</t>
    </r>
  </si>
  <si>
    <r>
      <t>t</t>
    </r>
    <r>
      <rPr>
        <vertAlign val="subscript"/>
        <sz val="11"/>
        <color theme="1"/>
        <rFont val="Calibri"/>
        <family val="2"/>
      </rPr>
      <t xml:space="preserve">smp </t>
    </r>
    <r>
      <rPr>
        <sz val="11"/>
        <color theme="1"/>
        <rFont val="Calibri"/>
        <family val="2"/>
      </rPr>
      <t>(us)</t>
    </r>
  </si>
  <si>
    <r>
      <t>t</t>
    </r>
    <r>
      <rPr>
        <vertAlign val="subscript"/>
        <sz val="11"/>
        <color theme="1"/>
        <rFont val="Calibri"/>
        <family val="2"/>
      </rPr>
      <t xml:space="preserve">start_del </t>
    </r>
    <r>
      <rPr>
        <sz val="11"/>
        <color theme="1"/>
        <rFont val="Calibri"/>
        <family val="2"/>
      </rPr>
      <t>(ms)</t>
    </r>
  </si>
  <si>
    <r>
      <t>Vcs</t>
    </r>
    <r>
      <rPr>
        <vertAlign val="subscript"/>
        <sz val="11"/>
        <color theme="1"/>
        <rFont val="Calibri"/>
        <family val="2"/>
        <scheme val="minor"/>
      </rPr>
      <t>max</t>
    </r>
    <r>
      <rPr>
        <sz val="11"/>
        <color theme="1"/>
        <rFont val="Calibri"/>
        <family val="2"/>
        <scheme val="minor"/>
      </rPr>
      <t xml:space="preserve"> (mV)</t>
    </r>
  </si>
  <si>
    <r>
      <t>Vcs</t>
    </r>
    <r>
      <rPr>
        <vertAlign val="subscript"/>
        <sz val="11"/>
        <color theme="1"/>
        <rFont val="Calibri"/>
        <family val="2"/>
        <scheme val="minor"/>
      </rPr>
      <t>min</t>
    </r>
    <r>
      <rPr>
        <sz val="11"/>
        <color theme="1"/>
        <rFont val="Calibri"/>
        <family val="2"/>
        <scheme val="minor"/>
      </rPr>
      <t xml:space="preserve"> (mV)</t>
    </r>
  </si>
  <si>
    <t>Maximum Primary Current</t>
  </si>
  <si>
    <t>Ipk_max</t>
  </si>
  <si>
    <t>Npri</t>
  </si>
  <si>
    <t xml:space="preserve">Transformer Core Maximum Flux density </t>
  </si>
  <si>
    <t>Transformer Core Cross Sectional area</t>
  </si>
  <si>
    <t>Bpk</t>
  </si>
  <si>
    <t>mT</t>
  </si>
  <si>
    <t>Ae</t>
  </si>
  <si>
    <t>Nsec</t>
  </si>
  <si>
    <t>Number of Bias Turns</t>
  </si>
  <si>
    <t>Nbias</t>
  </si>
  <si>
    <t>Vbias</t>
  </si>
  <si>
    <t>Output Rectifier Forward Voltage Drop</t>
  </si>
  <si>
    <t>Bias Diode Forward Voltage Drop</t>
  </si>
  <si>
    <t>Vbias_diode</t>
  </si>
  <si>
    <t>nH</t>
  </si>
  <si>
    <t>Transformer Al</t>
  </si>
  <si>
    <t>Al</t>
  </si>
  <si>
    <t>Cbias</t>
  </si>
  <si>
    <t>MosFET total Gate Charge</t>
  </si>
  <si>
    <t>Qg_tot</t>
  </si>
  <si>
    <t>nC</t>
  </si>
  <si>
    <t>Startup Time</t>
  </si>
  <si>
    <t>Tstart</t>
  </si>
  <si>
    <t>External startup resistor</t>
  </si>
  <si>
    <t>Rext</t>
  </si>
  <si>
    <t>Output Capacitor</t>
  </si>
  <si>
    <t>Cout</t>
  </si>
  <si>
    <t>Current Sense Resistance calculation
(for boundary mode operation at Vbulkmin_nom)</t>
  </si>
  <si>
    <t>Pull up resistor from Drv pin to Bias voltage divider</t>
  </si>
  <si>
    <t>Rp</t>
  </si>
  <si>
    <t>E96</t>
  </si>
  <si>
    <t>E48</t>
  </si>
  <si>
    <r>
      <t>k</t>
    </r>
    <r>
      <rPr>
        <sz val="12"/>
        <color theme="1"/>
        <rFont val="Times New Roman"/>
        <family val="1"/>
      </rPr>
      <t>Ω</t>
    </r>
  </si>
  <si>
    <t>Secondary to Bias Leakage inductance 
(as a percentage of the secondary inductance)</t>
  </si>
  <si>
    <t>Rb Calculation</t>
  </si>
  <si>
    <t>mW</t>
  </si>
  <si>
    <t>LED Diode Drop</t>
  </si>
  <si>
    <t>Output Constant Current limit</t>
  </si>
  <si>
    <t>Ra</t>
  </si>
  <si>
    <t>Minimum load power to maintain regulation</t>
  </si>
  <si>
    <t>Output Capacitor Ripple Current</t>
  </si>
  <si>
    <r>
      <t>I</t>
    </r>
    <r>
      <rPr>
        <vertAlign val="subscript"/>
        <sz val="12"/>
        <color theme="1"/>
        <rFont val="Calibri"/>
        <family val="2"/>
        <scheme val="minor"/>
      </rPr>
      <t>Cout_limit</t>
    </r>
  </si>
  <si>
    <r>
      <t>I</t>
    </r>
    <r>
      <rPr>
        <vertAlign val="subscript"/>
        <sz val="12"/>
        <rFont val="Arial"/>
        <family val="2"/>
      </rPr>
      <t>out_limit</t>
    </r>
  </si>
  <si>
    <t>Safe Extra Low Voltage level</t>
  </si>
  <si>
    <t>nF</t>
  </si>
  <si>
    <t>Maximum X-capacitance value that cap be 
discharged using the current value of Cbias</t>
  </si>
  <si>
    <t>Xcap_max</t>
  </si>
  <si>
    <t>Input X-capacitor value</t>
  </si>
  <si>
    <t xml:space="preserve">Does the Rcs, Lpri ratio satisfy the Volt second contraint required for output sampling </t>
  </si>
  <si>
    <t>Does the Rcs, Lpri ratio satisfy the Volt second contraint required for tonmin</t>
  </si>
  <si>
    <t>Is the bulk capacitor below the level at which it will discharge the X-cap to the SELV 
level in 1 second when the power is above the threshold at which X-cap discharge is disabled.</t>
  </si>
  <si>
    <t>It is recommended that you read this datasheet before using this design tool</t>
  </si>
  <si>
    <t>This design tool was generated based on the information in datasheet</t>
  </si>
  <si>
    <t>3. The spreadsheet will calculate the component values and power supply parameters and display the results in red type.</t>
  </si>
  <si>
    <t xml:space="preserve">Overload threshold (Continuous) (% of Pnom) </t>
  </si>
  <si>
    <t xml:space="preserve">20uF/W of nominal output power is suggested as a starting point for Cout. </t>
  </si>
  <si>
    <t>Shottky Rectifier</t>
  </si>
  <si>
    <t>Internal IC Parameters</t>
  </si>
  <si>
    <t>Next Highest Standard E-series value for Cbias (E6)</t>
  </si>
  <si>
    <t>Standard E-series value for Ra (E96)</t>
  </si>
  <si>
    <t>UCC28630 Excel Design Tool</t>
  </si>
  <si>
    <t>This is the maximum power the unit can supply continuously with the chosen Overload Threshold</t>
  </si>
  <si>
    <t>T_pmax</t>
  </si>
  <si>
    <t>Vbulkmin_OL</t>
  </si>
  <si>
    <t>Return</t>
  </si>
  <si>
    <r>
      <t>Maximum Steady State Output power (P</t>
    </r>
    <r>
      <rPr>
        <vertAlign val="subscript"/>
        <sz val="12"/>
        <rFont val="Arial"/>
        <family val="2"/>
      </rPr>
      <t>OL</t>
    </r>
    <r>
      <rPr>
        <sz val="12"/>
        <rFont val="Arial"/>
        <family val="2"/>
      </rPr>
      <t>)</t>
    </r>
  </si>
  <si>
    <r>
      <t>k</t>
    </r>
    <r>
      <rPr>
        <sz val="12"/>
        <rFont val="Times New Roman"/>
        <family val="1"/>
      </rPr>
      <t>Ω</t>
    </r>
  </si>
  <si>
    <r>
      <t>V</t>
    </r>
    <r>
      <rPr>
        <vertAlign val="subscript"/>
        <sz val="12"/>
        <rFont val="Arial"/>
        <family val="2"/>
      </rPr>
      <t>SELV</t>
    </r>
  </si>
  <si>
    <r>
      <t>V</t>
    </r>
    <r>
      <rPr>
        <vertAlign val="subscript"/>
        <sz val="12"/>
        <color theme="1"/>
        <rFont val="Arial"/>
        <family val="2"/>
      </rPr>
      <t>rect</t>
    </r>
  </si>
  <si>
    <r>
      <t>V</t>
    </r>
    <r>
      <rPr>
        <vertAlign val="subscript"/>
        <sz val="12"/>
        <color theme="1"/>
        <rFont val="Arial"/>
        <family val="2"/>
      </rPr>
      <t>Rect_Rating</t>
    </r>
  </si>
  <si>
    <r>
      <t>V</t>
    </r>
    <r>
      <rPr>
        <vertAlign val="subscript"/>
        <sz val="12"/>
        <color theme="1"/>
        <rFont val="Arial"/>
        <family val="2"/>
      </rPr>
      <t>Rect_Derating</t>
    </r>
  </si>
  <si>
    <r>
      <t>mm</t>
    </r>
    <r>
      <rPr>
        <vertAlign val="superscript"/>
        <sz val="12"/>
        <rFont val="Arial"/>
        <family val="2"/>
      </rPr>
      <t>2</t>
    </r>
  </si>
  <si>
    <r>
      <t>%L</t>
    </r>
    <r>
      <rPr>
        <vertAlign val="subscript"/>
        <sz val="12"/>
        <color theme="1"/>
        <rFont val="Arial"/>
        <family val="2"/>
      </rPr>
      <t>lk_sb</t>
    </r>
  </si>
  <si>
    <r>
      <t>C</t>
    </r>
    <r>
      <rPr>
        <vertAlign val="subscript"/>
        <sz val="12"/>
        <color theme="1"/>
        <rFont val="Arial"/>
        <family val="2"/>
      </rPr>
      <t>X-cap</t>
    </r>
  </si>
  <si>
    <r>
      <t>m</t>
    </r>
    <r>
      <rPr>
        <sz val="12"/>
        <rFont val="Times New Roman"/>
        <family val="1"/>
      </rPr>
      <t>Ω</t>
    </r>
  </si>
  <si>
    <r>
      <t>Next lowest standard E-series value for R</t>
    </r>
    <r>
      <rPr>
        <vertAlign val="subscript"/>
        <sz val="12"/>
        <rFont val="Arial"/>
        <family val="2"/>
      </rPr>
      <t>preload</t>
    </r>
  </si>
  <si>
    <r>
      <t>R</t>
    </r>
    <r>
      <rPr>
        <vertAlign val="subscript"/>
        <sz val="11"/>
        <color theme="1"/>
        <rFont val="Calibri"/>
        <family val="2"/>
        <scheme val="minor"/>
      </rPr>
      <t>preload</t>
    </r>
    <r>
      <rPr>
        <sz val="11"/>
        <color theme="1"/>
        <rFont val="Calibri"/>
        <family val="2"/>
        <scheme val="minor"/>
      </rPr>
      <t xml:space="preserve"> </t>
    </r>
  </si>
  <si>
    <t>Is the bias capacitor large enough to discharge the X-cap beow the SELV voltage level of 60V, without it's voltage rising about the IC start threshold.</t>
  </si>
  <si>
    <t>Used</t>
  </si>
  <si>
    <t>User 
Override</t>
  </si>
  <si>
    <t>Suggested</t>
  </si>
  <si>
    <t>If the unit has a surge load requirement, enter the 
duration of the surge load here, if not set to zero.</t>
  </si>
  <si>
    <t>Units</t>
  </si>
  <si>
    <t>It is suggested that Rb be implemented as two resistors 
in parallel to get as close to this value as possible.</t>
  </si>
  <si>
    <t>Component and paramter calculation</t>
  </si>
  <si>
    <t>See "Line and bulk voltage" explanatory diagram</t>
  </si>
  <si>
    <t>5. Note this design tool was generated to accompany datasheet UCC28630.pdf. It is recommended to read this datasheet before using this tool</t>
  </si>
  <si>
    <t>UCC28630 Design Calculator</t>
  </si>
  <si>
    <t>This sets the maximum percentage of the nominal 
output power that the unit can supply continuously. See datasheet for full explanation of Overload timer.</t>
  </si>
  <si>
    <t>UCC28630.pdf</t>
  </si>
  <si>
    <r>
      <t>Minimum bulk voltage at P</t>
    </r>
    <r>
      <rPr>
        <vertAlign val="subscript"/>
        <sz val="12"/>
        <rFont val="Arial"/>
        <family val="2"/>
      </rPr>
      <t>OL</t>
    </r>
  </si>
  <si>
    <t>Target Bias Voltage</t>
  </si>
  <si>
    <t>Maximum load resistance to maintain regultaion</t>
  </si>
  <si>
    <t>Disclaimer</t>
  </si>
  <si>
    <t>This product is designed as an aid for customers of Texas Instruments.  No warranties, either express</t>
  </si>
  <si>
    <t>or implied, with respect to this software or its fitness for any particular purpose is claimed by Texas</t>
  </si>
  <si>
    <t>Instruments or the author.  The software is licensed solely on an "as is" basis.  The entire risk as to its</t>
  </si>
  <si>
    <t>quality and performance is with the customer.</t>
  </si>
  <si>
    <t>2. Enter the desired design parameters in the YELLOW shaded boxes..</t>
  </si>
  <si>
    <t>4. For some parameters, prosivion is made for the user to override the suggested values with their own values. These cells are a lighter yellow.</t>
  </si>
  <si>
    <t>If this cell is Red, the bulk capacitance is too low to supply the nominal output power</t>
  </si>
  <si>
    <t>If this cell is Red, the bulk capacitance is too low to supply the speicifed overload power</t>
  </si>
  <si>
    <t>If this cell is Red, the bulk voltage is too low to keep the output voltage in constant voltage regulation, the output will be in constant current regulation. 
Note that when Vbulk &lt; Vbulkmin_nom the output may enter constant current regulation depending on the load power. 
This calculation assumes that the max load is applied at the peak of line. To calculate the Vbulkmin_surge when the max load is applied at an arbitrary phase angle, please use the accompaying mathcad design file.</t>
  </si>
  <si>
    <t>ωt2_pol</t>
  </si>
  <si>
    <r>
      <rPr>
        <sz val="12"/>
        <rFont val="Times New Roman"/>
        <family val="1"/>
      </rPr>
      <t>ω</t>
    </r>
    <r>
      <rPr>
        <sz val="12"/>
        <rFont val="Arial"/>
        <family val="2"/>
      </rPr>
      <t>t2_nom</t>
    </r>
  </si>
  <si>
    <t>Time at which the falling bulk cap voltage equals the rectified line votlage at nominal output power.</t>
  </si>
  <si>
    <t>Time at which the falling bulk cap voltage equals the rectified line votlage at the overload power threshold.</t>
  </si>
  <si>
    <t>Time at which the falling bulk cap voltage equals the rectified line votlage at the maximum power.</t>
  </si>
  <si>
    <t>Bulk voltage calculation (Datasheet section 9.2.4.1)</t>
  </si>
  <si>
    <t xml:space="preserve">Number of Primary Turns </t>
  </si>
  <si>
    <t xml:space="preserve">Number of Secondary Turns </t>
  </si>
  <si>
    <t xml:space="preserve">Turns Ratio </t>
  </si>
  <si>
    <t>Primary Inductance  
(for boundary mode operation at Vbulkmin_nom)</t>
  </si>
  <si>
    <t xml:space="preserve">Bias Capacitance Calculation </t>
  </si>
  <si>
    <t xml:space="preserve">Ra Calculation </t>
  </si>
  <si>
    <t>6. There are comment boxes in the descriptions column of the Components and parameter calculations section which refer the user to the relevant section of the datasheet for that calculation.</t>
  </si>
  <si>
    <t>Click Here to Start</t>
  </si>
  <si>
    <t>ωt2_surge</t>
  </si>
  <si>
    <t>Secondary Side Reflected Voltage</t>
  </si>
  <si>
    <r>
      <t>V</t>
    </r>
    <r>
      <rPr>
        <vertAlign val="subscript"/>
        <sz val="12"/>
        <color theme="1"/>
        <rFont val="Arial"/>
        <family val="2"/>
      </rPr>
      <t>reflected</t>
    </r>
  </si>
  <si>
    <t>Standard E24 E-series value for Rcs</t>
  </si>
  <si>
    <t>- Recommended reflected output voltage, reflected output voltages of &lt; ~115V may result in the design
 violating inductance to current sense resistance ratio required to stay above the minimum on time.</t>
  </si>
  <si>
    <r>
      <t>Is the thevenin equivalent resistance of the Ra,Rb resistor divider between 10k</t>
    </r>
    <r>
      <rPr>
        <sz val="12"/>
        <color theme="1"/>
        <rFont val="Times New Roman"/>
        <family val="1"/>
      </rPr>
      <t>Ω</t>
    </r>
    <r>
      <rPr>
        <sz val="10.8"/>
        <color theme="1"/>
        <rFont val="Calibri"/>
        <family val="2"/>
      </rPr>
      <t xml:space="preserve"> and 20k</t>
    </r>
    <r>
      <rPr>
        <sz val="10.8"/>
        <color theme="1"/>
        <rFont val="Times New Roman"/>
        <family val="1"/>
      </rPr>
      <t>Ω</t>
    </r>
    <r>
      <rPr>
        <sz val="9.6999999999999993"/>
        <color theme="1"/>
        <rFont val="Calibri"/>
        <family val="2"/>
      </rPr>
      <t xml:space="preserve">. </t>
    </r>
    <r>
      <rPr>
        <b/>
        <i/>
        <sz val="12"/>
        <color rgb="FF9A0000"/>
        <rFont val="Calibri"/>
        <family val="2"/>
      </rPr>
      <t>If Rth is outside this range it will trigger a pin fault on startup and the IC will not start!!!</t>
    </r>
  </si>
  <si>
    <t>RTH Verification</t>
  </si>
  <si>
    <t>Rb</t>
  </si>
  <si>
    <t>Rth</t>
  </si>
  <si>
    <t>EPC34</t>
  </si>
  <si>
    <t>Estimate</t>
  </si>
  <si>
    <t>Rectifier - Required Reverse Voltage Rating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</si>
</sst>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11"/>
      <color theme="1"/>
      <name val="Calibri"/>
      <family val="2"/>
      <scheme val="minor"/>
    </font>
    <font>
      <b/>
      <sz val="26"/>
      <color indexed="10"/>
      <name val="Arial"/>
      <family val="2"/>
    </font>
    <font>
      <sz val="20"/>
      <name val="Arial"/>
      <family val="2"/>
    </font>
    <font>
      <b/>
      <sz val="12"/>
      <name val="Arial"/>
      <family val="2"/>
    </font>
    <font>
      <b/>
      <sz val="12"/>
      <color indexed="9"/>
      <name val="Arial"/>
      <family val="2"/>
    </font>
    <font>
      <b/>
      <sz val="12"/>
      <color indexed="8"/>
      <name val="Arial"/>
      <family val="2"/>
    </font>
    <font>
      <sz val="10"/>
      <name val="Arial"/>
      <family val="2"/>
    </font>
    <font>
      <sz val="12"/>
      <color theme="1"/>
      <name val="Calibri"/>
      <family val="2"/>
      <scheme val="minor"/>
    </font>
    <font>
      <b/>
      <sz val="11"/>
      <color theme="1"/>
      <name val="Calibri"/>
      <family val="2"/>
      <scheme val="minor"/>
    </font>
    <font>
      <vertAlign val="subscript"/>
      <sz val="11"/>
      <color theme="1"/>
      <name val="Calibri"/>
      <family val="2"/>
      <scheme val="minor"/>
    </font>
    <font>
      <sz val="11"/>
      <color theme="1"/>
      <name val="Calibri"/>
      <family val="2"/>
    </font>
    <font>
      <vertAlign val="subscript"/>
      <sz val="11"/>
      <color theme="1"/>
      <name val="Calibri"/>
      <family val="2"/>
    </font>
    <font>
      <sz val="11"/>
      <color theme="1"/>
      <name val="Times New Roman"/>
      <family val="1"/>
    </font>
    <font>
      <sz val="12"/>
      <color theme="1"/>
      <name val="Times New Roman"/>
      <family val="1"/>
    </font>
    <font>
      <vertAlign val="subscript"/>
      <sz val="12"/>
      <color theme="1"/>
      <name val="Calibri"/>
      <family val="2"/>
      <scheme val="minor"/>
    </font>
    <font>
      <vertAlign val="subscript"/>
      <sz val="12"/>
      <name val="Arial"/>
      <family val="2"/>
    </font>
    <font>
      <u/>
      <sz val="11"/>
      <color theme="10"/>
      <name val="Calibri"/>
      <family val="2"/>
    </font>
    <font>
      <b/>
      <u/>
      <sz val="12"/>
      <color theme="0"/>
      <name val="Arial"/>
      <family val="2"/>
    </font>
    <font>
      <sz val="12"/>
      <name val="Arial"/>
      <family val="2"/>
    </font>
    <font>
      <sz val="12"/>
      <color rgb="FFFF0000"/>
      <name val="Arial"/>
      <family val="2"/>
    </font>
    <font>
      <sz val="12"/>
      <name val="Times New Roman"/>
      <family val="1"/>
    </font>
    <font>
      <sz val="12"/>
      <color theme="1"/>
      <name val="Arial"/>
      <family val="2"/>
    </font>
    <font>
      <vertAlign val="subscript"/>
      <sz val="12"/>
      <color theme="1"/>
      <name val="Arial"/>
      <family val="2"/>
    </font>
    <font>
      <vertAlign val="superscript"/>
      <sz val="12"/>
      <name val="Arial"/>
      <family val="2"/>
    </font>
    <font>
      <u/>
      <sz val="20"/>
      <color theme="10"/>
      <name val="Calibri"/>
      <family val="2"/>
    </font>
    <font>
      <u/>
      <sz val="12"/>
      <color theme="10"/>
      <name val="Calibri"/>
      <family val="2"/>
    </font>
    <font>
      <sz val="16"/>
      <color theme="1"/>
      <name val="Calibri"/>
      <family val="2"/>
      <scheme val="minor"/>
    </font>
    <font>
      <b/>
      <sz val="16"/>
      <color theme="1"/>
      <name val="Arial"/>
      <family val="2"/>
    </font>
    <font>
      <b/>
      <sz val="9"/>
      <color indexed="81"/>
      <name val="Tahoma"/>
      <family val="2"/>
    </font>
    <font>
      <u/>
      <sz val="20"/>
      <color theme="0"/>
      <name val="Calibri"/>
      <family val="2"/>
    </font>
    <font>
      <sz val="10.8"/>
      <color theme="1"/>
      <name val="Calibri"/>
      <family val="2"/>
    </font>
    <font>
      <sz val="10.8"/>
      <color theme="1"/>
      <name val="Times New Roman"/>
      <family val="1"/>
    </font>
    <font>
      <sz val="9.6999999999999993"/>
      <color theme="1"/>
      <name val="Calibri"/>
      <family val="2"/>
    </font>
    <font>
      <b/>
      <i/>
      <sz val="12"/>
      <color rgb="FF9A0000"/>
      <name val="Calibri"/>
      <family val="2"/>
    </font>
    <font>
      <sz val="8"/>
      <color rgb="FF000000"/>
      <name val="Tahoma"/>
      <family val="2"/>
    </font>
  </fonts>
  <fills count="13">
    <fill>
      <patternFill patternType="none"/>
    </fill>
    <fill>
      <patternFill patternType="gray125"/>
    </fill>
    <fill>
      <patternFill patternType="solid">
        <fgColor indexed="43"/>
        <bgColor indexed="64"/>
      </patternFill>
    </fill>
    <fill>
      <patternFill patternType="solid">
        <fgColor indexed="34"/>
        <bgColor indexed="64"/>
      </patternFill>
    </fill>
    <fill>
      <patternFill patternType="solid">
        <fgColor indexed="13"/>
        <bgColor indexed="64"/>
      </patternFill>
    </fill>
    <fill>
      <patternFill patternType="solid">
        <fgColor indexed="10"/>
        <bgColor indexed="64"/>
      </patternFill>
    </fill>
    <fill>
      <patternFill patternType="solid">
        <fgColor indexed="23"/>
        <bgColor indexed="64"/>
      </patternFill>
    </fill>
    <fill>
      <patternFill patternType="solid">
        <fgColor indexed="8"/>
        <bgColor indexed="64"/>
      </patternFill>
    </fill>
    <fill>
      <patternFill patternType="solid">
        <fgColor rgb="FFFFFF00"/>
        <bgColor indexed="64"/>
      </patternFill>
    </fill>
    <fill>
      <patternFill patternType="solid">
        <fgColor theme="0"/>
        <bgColor indexed="64"/>
      </patternFill>
    </fill>
    <fill>
      <patternFill patternType="solid">
        <fgColor rgb="FF86B0E2"/>
        <bgColor indexed="64"/>
      </patternFill>
    </fill>
    <fill>
      <patternFill patternType="solid">
        <fgColor rgb="FFFFFFAF"/>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72">
    <xf numFmtId="0" fontId="0" fillId="0" borderId="0" xfId="0"/>
    <xf numFmtId="0" fontId="2" fillId="2" borderId="0" xfId="0" applyFont="1" applyFill="1" applyAlignment="1">
      <alignment vertical="center"/>
    </xf>
    <xf numFmtId="0" fontId="2" fillId="2" borderId="0" xfId="0" applyFont="1" applyFill="1" applyAlignment="1">
      <alignment horizontal="left" vertical="center" wrapText="1"/>
    </xf>
    <xf numFmtId="0" fontId="3" fillId="0" borderId="1" xfId="0" applyFont="1" applyBorder="1" applyAlignment="1" applyProtection="1">
      <alignment horizontal="left"/>
    </xf>
    <xf numFmtId="0" fontId="7" fillId="0" borderId="0" xfId="0" applyFont="1" applyProtection="1"/>
    <xf numFmtId="14" fontId="3" fillId="0" borderId="1" xfId="0" applyNumberFormat="1" applyFont="1" applyBorder="1" applyAlignment="1" applyProtection="1">
      <alignment horizontal="left"/>
    </xf>
    <xf numFmtId="0" fontId="4" fillId="5" borderId="1" xfId="0" applyFont="1" applyFill="1" applyBorder="1" applyAlignment="1" applyProtection="1">
      <alignment horizontal="left"/>
    </xf>
    <xf numFmtId="14" fontId="4" fillId="5" borderId="1" xfId="0" applyNumberFormat="1" applyFont="1" applyFill="1" applyBorder="1" applyAlignment="1" applyProtection="1">
      <alignment horizontal="left"/>
    </xf>
    <xf numFmtId="0" fontId="5" fillId="4" borderId="1" xfId="0" applyFont="1" applyFill="1" applyBorder="1" applyAlignment="1" applyProtection="1">
      <alignment horizontal="left"/>
    </xf>
    <xf numFmtId="14" fontId="5" fillId="4" borderId="1" xfId="0" applyNumberFormat="1" applyFont="1" applyFill="1" applyBorder="1" applyAlignment="1" applyProtection="1">
      <alignment horizontal="left"/>
    </xf>
    <xf numFmtId="0" fontId="4" fillId="6" borderId="1" xfId="0" applyFont="1" applyFill="1" applyBorder="1" applyAlignment="1" applyProtection="1">
      <alignment horizontal="left"/>
    </xf>
    <xf numFmtId="14" fontId="4" fillId="6" borderId="1" xfId="0" applyNumberFormat="1" applyFont="1" applyFill="1" applyBorder="1" applyAlignment="1" applyProtection="1">
      <alignment horizontal="left"/>
    </xf>
    <xf numFmtId="0" fontId="3" fillId="7" borderId="1" xfId="0" applyFont="1" applyFill="1" applyBorder="1" applyAlignment="1" applyProtection="1">
      <alignment horizontal="left"/>
    </xf>
    <xf numFmtId="2" fontId="7" fillId="0" borderId="0" xfId="0" applyNumberFormat="1" applyFont="1" applyProtection="1"/>
    <xf numFmtId="2" fontId="7" fillId="0" borderId="0" xfId="0" applyNumberFormat="1" applyFont="1" applyAlignment="1" applyProtection="1">
      <alignment vertical="center"/>
    </xf>
    <xf numFmtId="2" fontId="7" fillId="9" borderId="0" xfId="0" applyNumberFormat="1" applyFont="1" applyFill="1" applyProtection="1"/>
    <xf numFmtId="0" fontId="8" fillId="0" borderId="0" xfId="0" applyFont="1" applyAlignment="1">
      <alignment horizontal="center" vertical="center"/>
    </xf>
    <xf numFmtId="0" fontId="10" fillId="0" borderId="0" xfId="0" applyFont="1"/>
    <xf numFmtId="9" fontId="0" fillId="0" borderId="0" xfId="0" applyNumberFormat="1"/>
    <xf numFmtId="1" fontId="7" fillId="0" borderId="0" xfId="0" applyNumberFormat="1" applyFont="1" applyProtection="1"/>
    <xf numFmtId="0" fontId="0" fillId="0" borderId="0" xfId="0" applyAlignment="1">
      <alignment vertical="center"/>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2" borderId="0" xfId="0" applyFont="1" applyFill="1" applyAlignment="1">
      <alignment horizontal="left" vertical="center" wrapText="1"/>
    </xf>
    <xf numFmtId="0" fontId="3" fillId="0" borderId="0" xfId="0" applyFont="1" applyBorder="1" applyAlignment="1" applyProtection="1">
      <alignment horizontal="left"/>
    </xf>
    <xf numFmtId="0" fontId="7" fillId="0" borderId="0" xfId="0" applyFont="1" applyAlignment="1" applyProtection="1">
      <alignment wrapText="1"/>
    </xf>
    <xf numFmtId="0" fontId="7" fillId="0" borderId="1" xfId="0" applyFont="1" applyBorder="1" applyProtection="1"/>
    <xf numFmtId="0" fontId="3" fillId="0" borderId="0" xfId="0" applyFont="1" applyBorder="1" applyAlignment="1" applyProtection="1">
      <alignment horizontal="left" wrapText="1"/>
    </xf>
    <xf numFmtId="0" fontId="0" fillId="0" borderId="0" xfId="0" applyBorder="1"/>
    <xf numFmtId="0" fontId="16" fillId="0" borderId="0" xfId="1" applyAlignment="1" applyProtection="1"/>
    <xf numFmtId="0" fontId="18" fillId="0" borderId="1" xfId="0" applyFont="1" applyBorder="1" applyAlignment="1" applyProtection="1">
      <alignment horizontal="left"/>
    </xf>
    <xf numFmtId="0" fontId="18" fillId="0" borderId="1" xfId="0" applyFont="1" applyBorder="1" applyAlignment="1" applyProtection="1">
      <alignment horizontal="left" wrapText="1"/>
    </xf>
    <xf numFmtId="2" fontId="18" fillId="0" borderId="1" xfId="0" applyNumberFormat="1" applyFont="1" applyBorder="1" applyAlignment="1" applyProtection="1">
      <alignment horizontal="left" vertical="center" wrapText="1"/>
    </xf>
    <xf numFmtId="2" fontId="18" fillId="0" borderId="1" xfId="0" applyNumberFormat="1" applyFont="1" applyBorder="1" applyAlignment="1" applyProtection="1">
      <alignment horizontal="left" wrapText="1"/>
    </xf>
    <xf numFmtId="0" fontId="18" fillId="3" borderId="1" xfId="0" applyFont="1" applyFill="1" applyBorder="1" applyAlignment="1" applyProtection="1">
      <alignment horizontal="left"/>
      <protection locked="0"/>
    </xf>
    <xf numFmtId="0" fontId="18" fillId="9" borderId="1" xfId="0" applyFont="1" applyFill="1" applyBorder="1" applyAlignment="1" applyProtection="1">
      <alignment horizontal="left"/>
      <protection locked="0"/>
    </xf>
    <xf numFmtId="2" fontId="18" fillId="3" borderId="1" xfId="0" applyNumberFormat="1" applyFont="1" applyFill="1" applyBorder="1" applyAlignment="1" applyProtection="1">
      <alignment horizontal="left"/>
      <protection locked="0"/>
    </xf>
    <xf numFmtId="2" fontId="18" fillId="9" borderId="1" xfId="0" applyNumberFormat="1" applyFont="1" applyFill="1" applyBorder="1" applyAlignment="1" applyProtection="1">
      <alignment horizontal="left"/>
      <protection locked="0"/>
    </xf>
    <xf numFmtId="2" fontId="18" fillId="0" borderId="1" xfId="0" applyNumberFormat="1" applyFont="1" applyBorder="1" applyAlignment="1" applyProtection="1">
      <alignment horizontal="left"/>
    </xf>
    <xf numFmtId="0" fontId="18" fillId="0" borderId="1" xfId="0" applyFont="1" applyFill="1" applyBorder="1" applyAlignment="1" applyProtection="1">
      <alignment horizontal="left"/>
    </xf>
    <xf numFmtId="2" fontId="18" fillId="9" borderId="1" xfId="0" applyNumberFormat="1" applyFont="1" applyFill="1" applyBorder="1" applyAlignment="1" applyProtection="1">
      <alignment horizontal="left" vertical="center"/>
    </xf>
    <xf numFmtId="9" fontId="18" fillId="8" borderId="1" xfId="0" applyNumberFormat="1" applyFont="1" applyFill="1" applyBorder="1" applyAlignment="1" applyProtection="1">
      <alignment horizontal="left"/>
      <protection locked="0"/>
    </xf>
    <xf numFmtId="1" fontId="18" fillId="0" borderId="1" xfId="0" applyNumberFormat="1" applyFont="1" applyFill="1" applyBorder="1" applyAlignment="1" applyProtection="1">
      <alignment horizontal="left"/>
    </xf>
    <xf numFmtId="2" fontId="18" fillId="0" borderId="1" xfId="0" applyNumberFormat="1" applyFont="1" applyFill="1" applyBorder="1" applyAlignment="1" applyProtection="1">
      <alignment horizontal="left"/>
    </xf>
    <xf numFmtId="0" fontId="18" fillId="0" borderId="1" xfId="0" applyFont="1" applyBorder="1" applyAlignment="1" applyProtection="1">
      <alignment horizontal="left" vertical="center"/>
    </xf>
    <xf numFmtId="0" fontId="21" fillId="0" borderId="1" xfId="0" applyFont="1" applyBorder="1" applyProtection="1"/>
    <xf numFmtId="9" fontId="18" fillId="3" borderId="1" xfId="0" applyNumberFormat="1" applyFont="1" applyFill="1" applyBorder="1" applyAlignment="1" applyProtection="1">
      <alignment horizontal="left"/>
      <protection locked="0"/>
    </xf>
    <xf numFmtId="1" fontId="18" fillId="0" borderId="1" xfId="0" applyNumberFormat="1" applyFont="1" applyBorder="1" applyAlignment="1" applyProtection="1">
      <alignment horizontal="left"/>
    </xf>
    <xf numFmtId="1" fontId="18" fillId="0" borderId="1" xfId="0" applyNumberFormat="1" applyFont="1" applyBorder="1" applyAlignment="1" applyProtection="1">
      <alignment horizontal="left" wrapText="1"/>
    </xf>
    <xf numFmtId="164" fontId="0" fillId="0" borderId="1" xfId="0" applyNumberFormat="1" applyFont="1" applyBorder="1" applyAlignment="1">
      <alignment vertical="center" wrapText="1"/>
    </xf>
    <xf numFmtId="2" fontId="7" fillId="0" borderId="0" xfId="0" applyNumberFormat="1" applyFont="1" applyAlignment="1" applyProtection="1">
      <alignment wrapText="1"/>
    </xf>
    <xf numFmtId="2" fontId="7" fillId="0" borderId="0" xfId="0" applyNumberFormat="1" applyFont="1" applyAlignment="1" applyProtection="1">
      <alignment vertical="center" wrapText="1"/>
    </xf>
    <xf numFmtId="1" fontId="7" fillId="0" borderId="0" xfId="0" applyNumberFormat="1" applyFont="1" applyAlignment="1" applyProtection="1">
      <alignment wrapText="1"/>
    </xf>
    <xf numFmtId="0" fontId="7" fillId="0" borderId="0" xfId="0" applyFont="1" applyAlignment="1" applyProtection="1"/>
    <xf numFmtId="0" fontId="21" fillId="0" borderId="1" xfId="0" applyFont="1" applyBorder="1" applyAlignment="1" applyProtection="1">
      <alignment vertical="center"/>
    </xf>
    <xf numFmtId="0" fontId="18" fillId="0" borderId="1" xfId="0" applyFont="1" applyBorder="1" applyAlignment="1" applyProtection="1">
      <alignment horizontal="left" vertical="center" wrapText="1"/>
    </xf>
    <xf numFmtId="0" fontId="3" fillId="10" borderId="1" xfId="0" applyFont="1" applyFill="1" applyBorder="1" applyAlignment="1" applyProtection="1">
      <alignment horizontal="left"/>
    </xf>
    <xf numFmtId="0" fontId="18" fillId="10" borderId="1" xfId="0" applyFont="1" applyFill="1" applyBorder="1" applyAlignment="1" applyProtection="1">
      <alignment horizontal="left"/>
    </xf>
    <xf numFmtId="0" fontId="3" fillId="10" borderId="1" xfId="0" applyFont="1" applyFill="1" applyBorder="1" applyAlignment="1" applyProtection="1">
      <alignment horizontal="left" vertical="center"/>
    </xf>
    <xf numFmtId="0" fontId="18" fillId="10" borderId="1" xfId="0" applyFont="1" applyFill="1" applyBorder="1" applyAlignment="1" applyProtection="1">
      <alignment horizontal="left" vertical="center"/>
    </xf>
    <xf numFmtId="0" fontId="3" fillId="7" borderId="0" xfId="0" applyFont="1" applyFill="1" applyBorder="1" applyAlignment="1" applyProtection="1">
      <alignment horizontal="left"/>
    </xf>
    <xf numFmtId="0" fontId="18" fillId="3" borderId="2" xfId="0" applyFont="1" applyFill="1" applyBorder="1" applyAlignment="1" applyProtection="1">
      <alignment horizontal="left"/>
      <protection locked="0"/>
    </xf>
    <xf numFmtId="0" fontId="18" fillId="9" borderId="2" xfId="0" applyFont="1" applyFill="1" applyBorder="1" applyAlignment="1" applyProtection="1">
      <alignment horizontal="left"/>
      <protection locked="0"/>
    </xf>
    <xf numFmtId="2" fontId="18" fillId="9" borderId="2" xfId="0" applyNumberFormat="1" applyFont="1" applyFill="1" applyBorder="1" applyAlignment="1" applyProtection="1">
      <alignment horizontal="left"/>
    </xf>
    <xf numFmtId="2" fontId="18" fillId="9" borderId="2" xfId="0" applyNumberFormat="1" applyFont="1" applyFill="1" applyBorder="1" applyAlignment="1" applyProtection="1">
      <alignment horizontal="left" vertical="center"/>
    </xf>
    <xf numFmtId="9" fontId="18" fillId="9" borderId="2" xfId="0" applyNumberFormat="1" applyFont="1" applyFill="1" applyBorder="1" applyAlignment="1" applyProtection="1">
      <alignment horizontal="left"/>
    </xf>
    <xf numFmtId="1" fontId="18" fillId="0" borderId="2" xfId="0" applyNumberFormat="1" applyFont="1" applyFill="1" applyBorder="1" applyAlignment="1" applyProtection="1">
      <alignment horizontal="left"/>
    </xf>
    <xf numFmtId="0" fontId="3" fillId="7" borderId="3" xfId="0" applyFont="1" applyFill="1" applyBorder="1" applyAlignment="1" applyProtection="1">
      <alignment horizontal="left"/>
    </xf>
    <xf numFmtId="0" fontId="3" fillId="0" borderId="2" xfId="0" applyFont="1" applyBorder="1" applyAlignment="1" applyProtection="1">
      <alignment horizontal="left"/>
    </xf>
    <xf numFmtId="0" fontId="4" fillId="5" borderId="2" xfId="0" applyFont="1" applyFill="1" applyBorder="1" applyAlignment="1" applyProtection="1">
      <alignment horizontal="left"/>
    </xf>
    <xf numFmtId="0" fontId="5" fillId="4" borderId="2" xfId="0" applyFont="1" applyFill="1" applyBorder="1" applyAlignment="1" applyProtection="1">
      <alignment horizontal="left"/>
    </xf>
    <xf numFmtId="0" fontId="4" fillId="6" borderId="2" xfId="0" applyFont="1" applyFill="1" applyBorder="1" applyAlignment="1" applyProtection="1">
      <alignment horizontal="left"/>
    </xf>
    <xf numFmtId="0" fontId="18" fillId="10" borderId="2" xfId="0" applyFont="1" applyFill="1" applyBorder="1" applyAlignment="1" applyProtection="1">
      <alignment horizontal="left"/>
    </xf>
    <xf numFmtId="0" fontId="7" fillId="0" borderId="0" xfId="0" applyFont="1" applyAlignment="1">
      <alignment horizontal="left" vertical="center" wrapText="1"/>
    </xf>
    <xf numFmtId="0" fontId="18" fillId="0" borderId="4" xfId="0" applyFont="1" applyBorder="1" applyAlignment="1" applyProtection="1">
      <alignment horizontal="left"/>
    </xf>
    <xf numFmtId="0" fontId="3" fillId="0" borderId="5" xfId="0" applyFont="1" applyBorder="1" applyAlignment="1" applyProtection="1">
      <alignment horizontal="center" vertical="center" wrapText="1"/>
    </xf>
    <xf numFmtId="0" fontId="21" fillId="0" borderId="3" xfId="0" applyFont="1" applyBorder="1" applyProtection="1"/>
    <xf numFmtId="0" fontId="21" fillId="0" borderId="5" xfId="0" applyFont="1" applyBorder="1" applyProtection="1"/>
    <xf numFmtId="0" fontId="21" fillId="0" borderId="6" xfId="0" applyFont="1" applyBorder="1" applyProtection="1"/>
    <xf numFmtId="2" fontId="18" fillId="0" borderId="4" xfId="0" applyNumberFormat="1" applyFont="1" applyBorder="1" applyAlignment="1" applyProtection="1">
      <alignment horizontal="left"/>
    </xf>
    <xf numFmtId="0" fontId="18" fillId="0" borderId="4" xfId="0" applyFont="1" applyBorder="1" applyAlignment="1" applyProtection="1">
      <alignment horizontal="left" vertical="center"/>
    </xf>
    <xf numFmtId="2" fontId="21" fillId="0" borderId="6" xfId="0" applyNumberFormat="1" applyFont="1" applyBorder="1" applyProtection="1"/>
    <xf numFmtId="2" fontId="21" fillId="0" borderId="6" xfId="0" applyNumberFormat="1" applyFont="1" applyBorder="1" applyAlignment="1" applyProtection="1">
      <alignment vertical="center"/>
    </xf>
    <xf numFmtId="2" fontId="21" fillId="0" borderId="3" xfId="0" applyNumberFormat="1" applyFont="1" applyBorder="1" applyAlignment="1" applyProtection="1">
      <alignment vertical="center"/>
    </xf>
    <xf numFmtId="1" fontId="3" fillId="0" borderId="2" xfId="0" applyNumberFormat="1" applyFont="1" applyBorder="1" applyAlignment="1" applyProtection="1">
      <alignment horizontal="left"/>
    </xf>
    <xf numFmtId="1" fontId="4" fillId="5" borderId="2" xfId="0" applyNumberFormat="1" applyFont="1" applyFill="1" applyBorder="1" applyAlignment="1" applyProtection="1">
      <alignment horizontal="left"/>
    </xf>
    <xf numFmtId="1" fontId="5" fillId="4" borderId="2" xfId="0" applyNumberFormat="1" applyFont="1" applyFill="1" applyBorder="1" applyAlignment="1" applyProtection="1">
      <alignment horizontal="left"/>
    </xf>
    <xf numFmtId="1" fontId="4" fillId="6" borderId="2" xfId="0" applyNumberFormat="1" applyFont="1" applyFill="1" applyBorder="1" applyAlignment="1" applyProtection="1">
      <alignment horizontal="left"/>
    </xf>
    <xf numFmtId="1" fontId="18" fillId="10" borderId="2" xfId="0" applyNumberFormat="1" applyFont="1" applyFill="1" applyBorder="1" applyAlignment="1" applyProtection="1">
      <alignment horizontal="left"/>
    </xf>
    <xf numFmtId="1" fontId="3" fillId="0" borderId="1" xfId="0" applyNumberFormat="1" applyFont="1" applyBorder="1" applyAlignment="1" applyProtection="1">
      <alignment horizontal="center" vertical="center"/>
    </xf>
    <xf numFmtId="1" fontId="7" fillId="0" borderId="2" xfId="0" applyNumberFormat="1" applyFont="1" applyBorder="1" applyProtection="1"/>
    <xf numFmtId="1" fontId="18" fillId="9" borderId="2" xfId="0" applyNumberFormat="1" applyFont="1" applyFill="1" applyBorder="1" applyAlignment="1" applyProtection="1">
      <alignment horizontal="left"/>
      <protection locked="0"/>
    </xf>
    <xf numFmtId="1" fontId="18" fillId="9" borderId="2" xfId="0" applyNumberFormat="1" applyFont="1" applyFill="1" applyBorder="1" applyAlignment="1" applyProtection="1">
      <alignment horizontal="left"/>
    </xf>
    <xf numFmtId="1" fontId="18" fillId="9" borderId="2" xfId="0" applyNumberFormat="1" applyFont="1" applyFill="1" applyBorder="1" applyAlignment="1" applyProtection="1">
      <alignment horizontal="left" vertical="center"/>
    </xf>
    <xf numFmtId="1" fontId="19" fillId="9" borderId="2" xfId="0" applyNumberFormat="1" applyFont="1" applyFill="1" applyBorder="1" applyAlignment="1" applyProtection="1">
      <alignment horizontal="left"/>
    </xf>
    <xf numFmtId="1" fontId="3" fillId="7" borderId="3" xfId="0" applyNumberFormat="1" applyFont="1" applyFill="1" applyBorder="1" applyAlignment="1" applyProtection="1">
      <alignment horizontal="left"/>
    </xf>
    <xf numFmtId="1" fontId="18" fillId="10" borderId="1" xfId="0" applyNumberFormat="1" applyFont="1" applyFill="1" applyBorder="1" applyAlignment="1" applyProtection="1">
      <alignment horizontal="left" vertical="center"/>
    </xf>
    <xf numFmtId="0" fontId="7" fillId="0" borderId="0" xfId="0" applyFont="1" applyFill="1" applyProtection="1"/>
    <xf numFmtId="0" fontId="7" fillId="0" borderId="0" xfId="0" applyFont="1" applyFill="1" applyAlignment="1" applyProtection="1">
      <alignment wrapText="1"/>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0" fillId="0" borderId="1" xfId="0" applyFont="1" applyBorder="1"/>
    <xf numFmtId="0" fontId="17" fillId="5" borderId="1" xfId="1" applyFont="1" applyFill="1" applyBorder="1" applyAlignment="1" applyProtection="1">
      <alignment horizontal="left"/>
    </xf>
    <xf numFmtId="2" fontId="18" fillId="8" borderId="1" xfId="0" applyNumberFormat="1" applyFont="1" applyFill="1" applyBorder="1" applyAlignment="1" applyProtection="1">
      <alignment horizontal="left"/>
      <protection locked="0"/>
    </xf>
    <xf numFmtId="0" fontId="7" fillId="0" borderId="0" xfId="0" applyFont="1" applyProtection="1">
      <protection locked="0"/>
    </xf>
    <xf numFmtId="164" fontId="7" fillId="0" borderId="1" xfId="0" applyNumberFormat="1" applyFont="1" applyBorder="1" applyAlignment="1" applyProtection="1">
      <alignment vertical="center"/>
      <protection hidden="1"/>
    </xf>
    <xf numFmtId="2" fontId="19" fillId="0" borderId="1" xfId="0" applyNumberFormat="1" applyFont="1" applyBorder="1" applyAlignment="1" applyProtection="1">
      <alignment horizontal="left" vertical="center"/>
      <protection hidden="1"/>
    </xf>
    <xf numFmtId="1" fontId="18" fillId="0" borderId="1" xfId="0" applyNumberFormat="1" applyFont="1" applyFill="1" applyBorder="1" applyAlignment="1" applyProtection="1">
      <alignment horizontal="left"/>
      <protection hidden="1"/>
    </xf>
    <xf numFmtId="1" fontId="18" fillId="0" borderId="2" xfId="0" applyNumberFormat="1" applyFont="1" applyFill="1" applyBorder="1" applyAlignment="1" applyProtection="1">
      <alignment horizontal="left"/>
      <protection hidden="1"/>
    </xf>
    <xf numFmtId="2" fontId="18" fillId="0" borderId="1" xfId="0" applyNumberFormat="1" applyFont="1" applyFill="1" applyBorder="1" applyAlignment="1" applyProtection="1">
      <alignment horizontal="left"/>
      <protection hidden="1"/>
    </xf>
    <xf numFmtId="2" fontId="19" fillId="9" borderId="1" xfId="0" applyNumberFormat="1" applyFont="1" applyFill="1" applyBorder="1" applyAlignment="1" applyProtection="1">
      <alignment horizontal="left"/>
      <protection hidden="1"/>
    </xf>
    <xf numFmtId="2" fontId="19" fillId="9" borderId="2" xfId="0" applyNumberFormat="1" applyFont="1" applyFill="1" applyBorder="1" applyAlignment="1" applyProtection="1">
      <alignment horizontal="left"/>
      <protection hidden="1"/>
    </xf>
    <xf numFmtId="2" fontId="18" fillId="9" borderId="1" xfId="0" applyNumberFormat="1" applyFont="1" applyFill="1" applyBorder="1" applyAlignment="1" applyProtection="1">
      <alignment horizontal="left" vertical="center"/>
      <protection hidden="1"/>
    </xf>
    <xf numFmtId="2" fontId="19" fillId="9" borderId="1" xfId="0" applyNumberFormat="1" applyFont="1" applyFill="1" applyBorder="1" applyAlignment="1" applyProtection="1">
      <alignment horizontal="left" vertical="center"/>
      <protection hidden="1"/>
    </xf>
    <xf numFmtId="2" fontId="18" fillId="9" borderId="2" xfId="0" applyNumberFormat="1" applyFont="1" applyFill="1" applyBorder="1" applyAlignment="1" applyProtection="1">
      <alignment horizontal="left" vertical="center"/>
      <protection hidden="1"/>
    </xf>
    <xf numFmtId="1" fontId="18" fillId="9" borderId="2" xfId="0" applyNumberFormat="1" applyFont="1" applyFill="1" applyBorder="1" applyAlignment="1" applyProtection="1">
      <alignment horizontal="left" vertical="center"/>
      <protection hidden="1"/>
    </xf>
    <xf numFmtId="0" fontId="19" fillId="0" borderId="1" xfId="0" applyFont="1" applyBorder="1" applyAlignment="1" applyProtection="1">
      <alignment horizontal="left"/>
      <protection hidden="1"/>
    </xf>
    <xf numFmtId="2" fontId="18" fillId="0" borderId="1" xfId="0" applyNumberFormat="1" applyFont="1" applyBorder="1" applyAlignment="1" applyProtection="1">
      <alignment horizontal="left"/>
      <protection hidden="1"/>
    </xf>
    <xf numFmtId="1" fontId="18" fillId="0" borderId="1" xfId="0" applyNumberFormat="1" applyFont="1" applyBorder="1" applyAlignment="1" applyProtection="1">
      <alignment horizontal="left"/>
      <protection hidden="1"/>
    </xf>
    <xf numFmtId="0" fontId="18" fillId="0" borderId="1" xfId="0" applyFont="1" applyBorder="1" applyAlignment="1" applyProtection="1">
      <alignment horizontal="left"/>
      <protection hidden="1"/>
    </xf>
    <xf numFmtId="2" fontId="18" fillId="0" borderId="1" xfId="0" applyNumberFormat="1" applyFont="1" applyBorder="1" applyAlignment="1" applyProtection="1">
      <alignment horizontal="center" vertical="center"/>
      <protection hidden="1"/>
    </xf>
    <xf numFmtId="2" fontId="19" fillId="0" borderId="1" xfId="0" applyNumberFormat="1" applyFont="1" applyBorder="1" applyAlignment="1" applyProtection="1">
      <alignment horizontal="left"/>
      <protection hidden="1"/>
    </xf>
    <xf numFmtId="1" fontId="19" fillId="0" borderId="1" xfId="0" applyNumberFormat="1" applyFont="1" applyBorder="1" applyAlignment="1" applyProtection="1">
      <alignment horizontal="left"/>
      <protection hidden="1"/>
    </xf>
    <xf numFmtId="2" fontId="18" fillId="0" borderId="1" xfId="0" applyNumberFormat="1" applyFont="1" applyBorder="1" applyAlignment="1" applyProtection="1">
      <alignment horizontal="left" vertical="center"/>
      <protection locked="0" hidden="1"/>
    </xf>
    <xf numFmtId="0" fontId="2" fillId="2" borderId="0" xfId="0" applyFont="1" applyFill="1" applyAlignment="1">
      <alignment horizontal="left" vertical="center" wrapText="1"/>
    </xf>
    <xf numFmtId="164" fontId="18" fillId="0" borderId="0" xfId="0" applyNumberFormat="1" applyFont="1" applyBorder="1" applyAlignment="1" applyProtection="1">
      <alignment horizontal="left"/>
      <protection hidden="1"/>
    </xf>
    <xf numFmtId="164" fontId="0" fillId="0" borderId="1" xfId="0" applyNumberFormat="1" applyFont="1" applyBorder="1" applyAlignment="1" applyProtection="1">
      <alignment vertical="center" wrapText="1"/>
      <protection locked="0" hidden="1"/>
    </xf>
    <xf numFmtId="0" fontId="2" fillId="2" borderId="0" xfId="0" applyFont="1" applyFill="1" applyAlignment="1">
      <alignment horizontal="left" vertical="center" wrapText="1"/>
    </xf>
    <xf numFmtId="0" fontId="0" fillId="2" borderId="0" xfId="0" applyFill="1" applyAlignment="1">
      <alignment horizontal="center"/>
    </xf>
    <xf numFmtId="0" fontId="24" fillId="2" borderId="0" xfId="1" applyFont="1" applyFill="1" applyAlignment="1" applyProtection="1">
      <alignment horizontal="left" vertical="center"/>
    </xf>
    <xf numFmtId="0" fontId="7" fillId="11" borderId="1" xfId="0" applyFont="1" applyFill="1" applyBorder="1" applyProtection="1">
      <protection locked="0"/>
    </xf>
    <xf numFmtId="0" fontId="18" fillId="11" borderId="1" xfId="0" applyFont="1" applyFill="1" applyBorder="1" applyAlignment="1" applyProtection="1">
      <alignment horizontal="left"/>
      <protection locked="0"/>
    </xf>
    <xf numFmtId="0" fontId="0" fillId="2" borderId="0" xfId="0" applyFill="1" applyAlignment="1">
      <alignment horizontal="center"/>
    </xf>
    <xf numFmtId="0" fontId="7" fillId="0" borderId="1" xfId="0" applyFont="1" applyBorder="1" applyAlignment="1" applyProtection="1">
      <alignment horizontal="center" vertical="center"/>
      <protection hidden="1"/>
    </xf>
    <xf numFmtId="164" fontId="7" fillId="0" borderId="1" xfId="0" applyNumberFormat="1" applyFont="1" applyBorder="1" applyAlignment="1" applyProtection="1">
      <alignment horizontal="center" vertical="center"/>
      <protection hidden="1"/>
    </xf>
    <xf numFmtId="0" fontId="26" fillId="2" borderId="0" xfId="0" applyFont="1" applyFill="1" applyAlignment="1">
      <alignment horizontal="center"/>
    </xf>
    <xf numFmtId="0" fontId="27" fillId="2" borderId="0" xfId="0" applyFont="1" applyFill="1" applyAlignment="1">
      <alignment horizontal="left"/>
    </xf>
    <xf numFmtId="0" fontId="26" fillId="2" borderId="0" xfId="0" applyFont="1" applyFill="1" applyAlignment="1">
      <alignment horizontal="left"/>
    </xf>
    <xf numFmtId="0" fontId="7" fillId="9" borderId="1" xfId="0" applyFont="1" applyFill="1" applyBorder="1" applyProtection="1">
      <protection locked="0"/>
    </xf>
    <xf numFmtId="2" fontId="18" fillId="0" borderId="1" xfId="0" applyNumberFormat="1" applyFont="1" applyBorder="1" applyAlignment="1" applyProtection="1">
      <alignment horizontal="center" vertical="center" wrapText="1"/>
      <protection hidden="1"/>
    </xf>
    <xf numFmtId="1" fontId="18" fillId="0" borderId="1" xfId="0" applyNumberFormat="1" applyFont="1" applyBorder="1" applyAlignment="1" applyProtection="1">
      <alignment horizontal="left" vertical="center"/>
    </xf>
    <xf numFmtId="0" fontId="0" fillId="2" borderId="0" xfId="0" applyFill="1" applyAlignment="1">
      <alignment horizontal="center"/>
    </xf>
    <xf numFmtId="0" fontId="1" fillId="2" borderId="0" xfId="0" applyFont="1" applyFill="1" applyAlignment="1">
      <alignment horizontal="center" vertical="center"/>
    </xf>
    <xf numFmtId="0" fontId="24" fillId="2" borderId="0" xfId="1" applyFont="1" applyFill="1" applyAlignment="1" applyProtection="1">
      <alignment horizontal="center" vertical="center" wrapText="1"/>
    </xf>
    <xf numFmtId="1" fontId="19" fillId="9" borderId="1" xfId="0" applyNumberFormat="1" applyFont="1" applyFill="1" applyBorder="1" applyAlignment="1" applyProtection="1">
      <alignment horizontal="left"/>
      <protection hidden="1"/>
    </xf>
    <xf numFmtId="0" fontId="21" fillId="0" borderId="1" xfId="0" applyFont="1" applyBorder="1" applyAlignment="1" applyProtection="1">
      <alignment horizontal="left" vertical="center"/>
    </xf>
    <xf numFmtId="0" fontId="18" fillId="3" borderId="1" xfId="0" applyFont="1" applyFill="1" applyBorder="1" applyAlignment="1" applyProtection="1">
      <alignment horizontal="left" vertical="center"/>
      <protection locked="0"/>
    </xf>
    <xf numFmtId="0" fontId="7" fillId="0" borderId="0" xfId="0" applyFont="1" applyAlignment="1" applyProtection="1">
      <alignment horizontal="left" vertical="center"/>
    </xf>
    <xf numFmtId="0" fontId="0" fillId="0" borderId="0" xfId="0" applyAlignment="1">
      <alignment wrapText="1"/>
    </xf>
    <xf numFmtId="0" fontId="21" fillId="0" borderId="0" xfId="0" applyFont="1" applyAlignment="1" applyProtection="1">
      <alignment horizontal="center" vertical="center" wrapText="1"/>
    </xf>
    <xf numFmtId="2" fontId="18" fillId="0" borderId="4" xfId="0" applyNumberFormat="1" applyFont="1" applyBorder="1" applyAlignment="1" applyProtection="1">
      <alignment horizontal="center" vertical="center"/>
      <protection hidden="1"/>
    </xf>
    <xf numFmtId="0" fontId="7" fillId="0" borderId="5" xfId="0" applyFont="1" applyBorder="1" applyAlignment="1" applyProtection="1">
      <alignment vertical="center" wrapText="1"/>
    </xf>
    <xf numFmtId="0" fontId="7" fillId="0" borderId="3" xfId="0" applyFont="1" applyBorder="1" applyAlignment="1" applyProtection="1">
      <alignment vertical="center" wrapText="1"/>
    </xf>
    <xf numFmtId="0" fontId="7" fillId="0" borderId="0" xfId="0" applyFont="1" applyBorder="1" applyAlignment="1" applyProtection="1">
      <alignment wrapText="1"/>
    </xf>
    <xf numFmtId="0" fontId="7" fillId="0" borderId="1" xfId="0" applyFont="1" applyFill="1" applyBorder="1" applyProtection="1">
      <protection locked="0"/>
    </xf>
    <xf numFmtId="0" fontId="0" fillId="2" borderId="0" xfId="0" applyFill="1" applyAlignment="1">
      <alignment horizont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xf numFmtId="0" fontId="0" fillId="0" borderId="0" xfId="0" applyAlignment="1">
      <alignment vertical="center"/>
    </xf>
    <xf numFmtId="0" fontId="1" fillId="2" borderId="0" xfId="0" applyFont="1" applyFill="1" applyAlignment="1">
      <alignment horizontal="left" vertical="center"/>
    </xf>
    <xf numFmtId="0" fontId="29" fillId="12" borderId="10" xfId="1" applyFont="1" applyFill="1" applyBorder="1" applyAlignment="1" applyProtection="1">
      <alignment horizontal="center" vertical="center" wrapText="1"/>
    </xf>
    <xf numFmtId="0" fontId="29" fillId="12" borderId="11" xfId="1" applyFont="1" applyFill="1" applyBorder="1" applyAlignment="1" applyProtection="1"/>
    <xf numFmtId="0" fontId="29" fillId="12" borderId="12" xfId="1" applyFont="1" applyFill="1" applyBorder="1" applyAlignment="1" applyProtection="1"/>
    <xf numFmtId="0" fontId="25" fillId="0" borderId="8" xfId="1" applyFont="1" applyBorder="1" applyAlignment="1" applyProtection="1">
      <alignment horizontal="left" vertical="center"/>
    </xf>
    <xf numFmtId="0" fontId="0" fillId="0" borderId="9" xfId="0" applyBorder="1" applyAlignment="1"/>
    <xf numFmtId="0" fontId="7" fillId="0" borderId="7" xfId="0" applyFont="1" applyBorder="1" applyAlignment="1">
      <alignment vertical="center" wrapText="1"/>
    </xf>
    <xf numFmtId="0" fontId="0" fillId="0" borderId="0" xfId="0" applyAlignment="1">
      <alignment wrapText="1"/>
    </xf>
    <xf numFmtId="0" fontId="7" fillId="0" borderId="7" xfId="0" applyFont="1" applyBorder="1" applyAlignment="1" applyProtection="1">
      <alignment wrapText="1"/>
    </xf>
    <xf numFmtId="0" fontId="7" fillId="0" borderId="7" xfId="0" applyFont="1" applyBorder="1" applyAlignment="1">
      <alignment horizontal="left" vertical="center" wrapText="1"/>
    </xf>
    <xf numFmtId="0" fontId="0" fillId="0" borderId="0" xfId="0" applyAlignment="1">
      <alignment vertical="center" wrapText="1"/>
    </xf>
    <xf numFmtId="0" fontId="7" fillId="0" borderId="7" xfId="0" quotePrefix="1" applyFont="1" applyBorder="1" applyAlignment="1" applyProtection="1">
      <alignment wrapText="1"/>
    </xf>
  </cellXfs>
  <cellStyles count="2">
    <cellStyle name="Hyperlink" xfId="1" builtinId="8"/>
    <cellStyle name="Normal" xfId="0" builtinId="0"/>
  </cellStyles>
  <dxfs count="8">
    <dxf>
      <fill>
        <patternFill>
          <bgColor rgb="FF6EE911"/>
        </patternFill>
      </fill>
    </dxf>
    <dxf>
      <fill>
        <patternFill>
          <bgColor rgb="FFFF0000"/>
        </patternFill>
      </fill>
    </dxf>
    <dxf>
      <fill>
        <patternFill>
          <bgColor rgb="FFFF0000"/>
        </patternFill>
      </fill>
    </dxf>
    <dxf>
      <fill>
        <patternFill>
          <bgColor rgb="FF6EE911"/>
        </patternFill>
      </fill>
    </dxf>
    <dxf>
      <fill>
        <patternFill>
          <bgColor rgb="FFFF0000"/>
        </patternFill>
      </fill>
    </dxf>
    <dxf>
      <font>
        <strike val="0"/>
      </font>
      <fill>
        <patternFill>
          <bgColor rgb="FFFF0000"/>
        </patternFill>
      </fill>
    </dxf>
    <dxf>
      <fill>
        <patternFill>
          <bgColor rgb="FFFF0000"/>
        </patternFill>
      </fill>
    </dxf>
    <dxf>
      <fill>
        <patternFill>
          <bgColor rgb="FF6EE911"/>
        </patternFill>
      </fill>
    </dxf>
  </dxfs>
  <tableStyles count="0" defaultTableStyle="TableStyleMedium2" defaultPivotStyle="PivotStyleLight16"/>
  <colors>
    <mruColors>
      <color rgb="FF9A0000"/>
      <color rgb="FF6EE911"/>
      <color rgb="FFFFFFAF"/>
      <color rgb="FFFFFF53"/>
      <color rgb="FF86B0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142875</xdr:colOff>
      <xdr:row>2</xdr:row>
      <xdr:rowOff>19049</xdr:rowOff>
    </xdr:to>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8100" y="28575"/>
          <a:ext cx="1933575" cy="57149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601980</xdr:colOff>
      <xdr:row>1</xdr:row>
      <xdr:rowOff>0</xdr:rowOff>
    </xdr:from>
    <xdr:to>
      <xdr:col>16</xdr:col>
      <xdr:colOff>426720</xdr:colOff>
      <xdr:row>34</xdr:row>
      <xdr:rowOff>163226</xdr:rowOff>
    </xdr:to>
    <xdr:pic>
      <xdr:nvPicPr>
        <xdr:cNvPr id="717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01980" y="182880"/>
          <a:ext cx="9578340" cy="619826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85726</xdr:colOff>
      <xdr:row>72</xdr:row>
      <xdr:rowOff>57150</xdr:rowOff>
    </xdr:from>
    <xdr:to>
      <xdr:col>0</xdr:col>
      <xdr:colOff>3476626</xdr:colOff>
      <xdr:row>72</xdr:row>
      <xdr:rowOff>615357</xdr:rowOff>
    </xdr:to>
    <xdr:pic>
      <xdr:nvPicPr>
        <xdr:cNvPr id="207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5726" y="18640425"/>
          <a:ext cx="3390900" cy="558207"/>
        </a:xfrm>
        <a:prstGeom prst="rect">
          <a:avLst/>
        </a:prstGeom>
        <a:noFill/>
        <a:ln w="1">
          <a:noFill/>
          <a:miter lim="800000"/>
          <a:headEnd/>
          <a:tailEnd type="none" w="med" len="med"/>
        </a:ln>
        <a:effectLst/>
      </xdr:spPr>
    </xdr:pic>
    <xdr:clientData/>
  </xdr:twoCellAnchor>
  <xdr:twoCellAnchor editAs="oneCell">
    <xdr:from>
      <xdr:col>0</xdr:col>
      <xdr:colOff>38100</xdr:colOff>
      <xdr:row>74</xdr:row>
      <xdr:rowOff>28575</xdr:rowOff>
    </xdr:from>
    <xdr:to>
      <xdr:col>0</xdr:col>
      <xdr:colOff>3343275</xdr:colOff>
      <xdr:row>74</xdr:row>
      <xdr:rowOff>904875</xdr:rowOff>
    </xdr:to>
    <xdr:pic>
      <xdr:nvPicPr>
        <xdr:cNvPr id="2076" name="Picture 28"/>
        <xdr:cNvPicPr>
          <a:picLocks noChangeAspect="1" noChangeArrowheads="1"/>
        </xdr:cNvPicPr>
      </xdr:nvPicPr>
      <xdr:blipFill>
        <a:blip xmlns:r="http://schemas.openxmlformats.org/officeDocument/2006/relationships" r:embed="rId2" cstate="print"/>
        <a:srcRect/>
        <a:stretch>
          <a:fillRect/>
        </a:stretch>
      </xdr:blipFill>
      <xdr:spPr bwMode="auto">
        <a:xfrm>
          <a:off x="38100" y="19459575"/>
          <a:ext cx="3305175" cy="876300"/>
        </a:xfrm>
        <a:prstGeom prst="rect">
          <a:avLst/>
        </a:prstGeom>
        <a:noFill/>
        <a:ln w="1">
          <a:noFill/>
          <a:miter lim="800000"/>
          <a:headEnd/>
          <a:tailEnd type="none" w="med" len="med"/>
        </a:ln>
        <a:effectLst/>
      </xdr:spPr>
    </xdr:pic>
    <xdr:clientData/>
  </xdr:twoCellAnchor>
  <xdr:twoCellAnchor editAs="oneCell">
    <xdr:from>
      <xdr:col>0</xdr:col>
      <xdr:colOff>66676</xdr:colOff>
      <xdr:row>76</xdr:row>
      <xdr:rowOff>38101</xdr:rowOff>
    </xdr:from>
    <xdr:to>
      <xdr:col>0</xdr:col>
      <xdr:colOff>3438526</xdr:colOff>
      <xdr:row>76</xdr:row>
      <xdr:rowOff>602288</xdr:rowOff>
    </xdr:to>
    <xdr:pic>
      <xdr:nvPicPr>
        <xdr:cNvPr id="2077" name="Picture 29"/>
        <xdr:cNvPicPr>
          <a:picLocks noChangeAspect="1" noChangeArrowheads="1"/>
        </xdr:cNvPicPr>
      </xdr:nvPicPr>
      <xdr:blipFill>
        <a:blip xmlns:r="http://schemas.openxmlformats.org/officeDocument/2006/relationships" r:embed="rId3" cstate="print"/>
        <a:srcRect/>
        <a:stretch>
          <a:fillRect/>
        </a:stretch>
      </xdr:blipFill>
      <xdr:spPr bwMode="auto">
        <a:xfrm>
          <a:off x="66676" y="20583526"/>
          <a:ext cx="3371850" cy="564187"/>
        </a:xfrm>
        <a:prstGeom prst="rect">
          <a:avLst/>
        </a:prstGeom>
        <a:noFill/>
        <a:ln w="1">
          <a:noFill/>
          <a:miter lim="800000"/>
          <a:headEnd/>
          <a:tailEnd type="none" w="med" len="med"/>
        </a:ln>
        <a:effectLst/>
      </xdr:spPr>
    </xdr:pic>
    <xdr:clientData/>
  </xdr:twoCellAnchor>
  <xdr:twoCellAnchor editAs="oneCell">
    <xdr:from>
      <xdr:col>0</xdr:col>
      <xdr:colOff>66676</xdr:colOff>
      <xdr:row>78</xdr:row>
      <xdr:rowOff>66675</xdr:rowOff>
    </xdr:from>
    <xdr:to>
      <xdr:col>0</xdr:col>
      <xdr:colOff>2590069</xdr:colOff>
      <xdr:row>78</xdr:row>
      <xdr:rowOff>600075</xdr:rowOff>
    </xdr:to>
    <xdr:pic>
      <xdr:nvPicPr>
        <xdr:cNvPr id="2081" name="Picture 33"/>
        <xdr:cNvPicPr>
          <a:picLocks noChangeAspect="1" noChangeArrowheads="1"/>
        </xdr:cNvPicPr>
      </xdr:nvPicPr>
      <xdr:blipFill>
        <a:blip xmlns:r="http://schemas.openxmlformats.org/officeDocument/2006/relationships" r:embed="rId4" cstate="print"/>
        <a:srcRect/>
        <a:stretch>
          <a:fillRect/>
        </a:stretch>
      </xdr:blipFill>
      <xdr:spPr bwMode="auto">
        <a:xfrm>
          <a:off x="66676" y="21440775"/>
          <a:ext cx="2523393" cy="533400"/>
        </a:xfrm>
        <a:prstGeom prst="rect">
          <a:avLst/>
        </a:prstGeom>
        <a:noFill/>
      </xdr:spPr>
    </xdr:pic>
    <xdr:clientData/>
  </xdr:twoCellAnchor>
  <xdr:twoCellAnchor editAs="oneCell">
    <xdr:from>
      <xdr:col>0</xdr:col>
      <xdr:colOff>68580</xdr:colOff>
      <xdr:row>70</xdr:row>
      <xdr:rowOff>7620</xdr:rowOff>
    </xdr:from>
    <xdr:to>
      <xdr:col>0</xdr:col>
      <xdr:colOff>2103120</xdr:colOff>
      <xdr:row>70</xdr:row>
      <xdr:rowOff>891593</xdr:rowOff>
    </xdr:to>
    <xdr:pic>
      <xdr:nvPicPr>
        <xdr:cNvPr id="2101" name="Picture 53"/>
        <xdr:cNvPicPr>
          <a:picLocks noChangeAspect="1" noChangeArrowheads="1"/>
        </xdr:cNvPicPr>
      </xdr:nvPicPr>
      <xdr:blipFill>
        <a:blip xmlns:r="http://schemas.openxmlformats.org/officeDocument/2006/relationships" r:embed="rId5" cstate="print"/>
        <a:srcRect/>
        <a:stretch>
          <a:fillRect/>
        </a:stretch>
      </xdr:blipFill>
      <xdr:spPr bwMode="auto">
        <a:xfrm>
          <a:off x="68580" y="18851880"/>
          <a:ext cx="2034540" cy="883973"/>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3</xdr:col>
          <xdr:colOff>66675</xdr:colOff>
          <xdr:row>14</xdr:row>
          <xdr:rowOff>38100</xdr:rowOff>
        </xdr:from>
        <xdr:to>
          <xdr:col>4</xdr:col>
          <xdr:colOff>123825</xdr:colOff>
          <xdr:row>14</xdr:row>
          <xdr:rowOff>295275</xdr:rowOff>
        </xdr:to>
        <xdr:sp macro="" textlink="">
          <xdr:nvSpPr>
            <xdr:cNvPr id="2056" name="Option Button 8" hidden="1">
              <a:extLst>
                <a:ext uri="{63B3BB69-23CF-44E3-9099-C40C66FF867C}">
                  <a14:compatExt spid="_x0000_s2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E" sz="800" b="0" i="0" u="none" strike="noStrike" baseline="0">
                  <a:solidFill>
                    <a:srgbClr val="000000"/>
                  </a:solidFill>
                  <a:latin typeface="Tahoma"/>
                  <a:ea typeface="Tahoma"/>
                  <a:cs typeface="Tahoma"/>
                </a:rPr>
                <a:t>110%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314325</xdr:rowOff>
        </xdr:from>
        <xdr:to>
          <xdr:col>4</xdr:col>
          <xdr:colOff>123825</xdr:colOff>
          <xdr:row>14</xdr:row>
          <xdr:rowOff>571500</xdr:rowOff>
        </xdr:to>
        <xdr:sp macro="" textlink="">
          <xdr:nvSpPr>
            <xdr:cNvPr id="2058" name="Option Button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E" sz="800" b="0" i="0" u="none" strike="noStrike" baseline="0">
                  <a:solidFill>
                    <a:srgbClr val="000000"/>
                  </a:solidFill>
                  <a:latin typeface="Tahoma"/>
                  <a:ea typeface="Tahoma"/>
                  <a:cs typeface="Tahoma"/>
                </a:rPr>
                <a:t>135%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590550</xdr:rowOff>
        </xdr:from>
        <xdr:to>
          <xdr:col>4</xdr:col>
          <xdr:colOff>123825</xdr:colOff>
          <xdr:row>14</xdr:row>
          <xdr:rowOff>809625</xdr:rowOff>
        </xdr:to>
        <xdr:sp macro="" textlink="">
          <xdr:nvSpPr>
            <xdr:cNvPr id="2059" name="Option Button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E" sz="800" b="0" i="0" u="none" strike="noStrike" baseline="0">
                  <a:solidFill>
                    <a:srgbClr val="000000"/>
                  </a:solidFill>
                  <a:latin typeface="Tahoma"/>
                  <a:ea typeface="Tahoma"/>
                  <a:cs typeface="Tahoma"/>
                </a:rPr>
                <a:t>160%</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144780</xdr:colOff>
      <xdr:row>3</xdr:row>
      <xdr:rowOff>15240</xdr:rowOff>
    </xdr:from>
    <xdr:to>
      <xdr:col>3</xdr:col>
      <xdr:colOff>495300</xdr:colOff>
      <xdr:row>26</xdr:row>
      <xdr:rowOff>38100</xdr:rowOff>
    </xdr:to>
    <xdr:pic>
      <xdr:nvPicPr>
        <xdr:cNvPr id="615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44780" y="1226820"/>
          <a:ext cx="8001000" cy="4229100"/>
        </a:xfrm>
        <a:prstGeom prst="rect">
          <a:avLst/>
        </a:prstGeom>
        <a:noFill/>
      </xdr:spPr>
    </xdr:pic>
    <xdr:clientData/>
  </xdr:twoCellAnchor>
  <xdr:twoCellAnchor>
    <xdr:from>
      <xdr:col>0</xdr:col>
      <xdr:colOff>0</xdr:colOff>
      <xdr:row>1</xdr:row>
      <xdr:rowOff>0</xdr:rowOff>
    </xdr:from>
    <xdr:to>
      <xdr:col>0</xdr:col>
      <xdr:colOff>6431280</xdr:colOff>
      <xdr:row>1</xdr:row>
      <xdr:rowOff>845820</xdr:rowOff>
    </xdr:to>
    <xdr:sp macro="" textlink="">
      <xdr:nvSpPr>
        <xdr:cNvPr id="14" name="TextBox 13"/>
        <xdr:cNvSpPr txBox="1"/>
      </xdr:nvSpPr>
      <xdr:spPr>
        <a:xfrm>
          <a:off x="0" y="182880"/>
          <a:ext cx="6431280" cy="845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Figure 2 shows;</a:t>
          </a:r>
        </a:p>
        <a:p>
          <a:r>
            <a:rPr lang="en-US" sz="1100"/>
            <a:t>	The input line voltage in Red,  </a:t>
          </a:r>
        </a:p>
        <a:p>
          <a:r>
            <a:rPr lang="en-US" sz="1100"/>
            <a:t>	The bulk cap voltage at nominal load in green, </a:t>
          </a:r>
        </a:p>
        <a:p>
          <a:r>
            <a:rPr lang="en-US" sz="1100"/>
            <a:t>	The bulk cap voltage when the load surges from Pnom to Pmax for time T_pmax, in blue.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i.com/general/docs/lit/getliterature.tsp?genericPartNumber=ucc28630&amp;fileType=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www.ti.com/general/docs/lit/getliterature.tsp?genericPartNumber=ucc28630&amp;fileType=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4"/>
  <sheetViews>
    <sheetView topLeftCell="A4" workbookViewId="0">
      <selection activeCell="G17" sqref="G17:J17"/>
    </sheetView>
  </sheetViews>
  <sheetFormatPr defaultRowHeight="15" x14ac:dyDescent="0.25"/>
  <sheetData>
    <row r="1" spans="1:19" ht="30.75" customHeight="1" x14ac:dyDescent="0.25">
      <c r="A1" s="142"/>
      <c r="B1" s="142"/>
      <c r="C1" s="142"/>
      <c r="D1" s="142"/>
      <c r="E1" s="142"/>
      <c r="F1" s="160" t="s">
        <v>148</v>
      </c>
      <c r="G1" s="159"/>
      <c r="H1" s="159"/>
      <c r="I1" s="159"/>
      <c r="J1" s="159"/>
      <c r="K1" s="159"/>
      <c r="L1" s="159"/>
      <c r="M1" s="159"/>
      <c r="N1" s="142"/>
      <c r="O1" s="142"/>
      <c r="P1" s="155"/>
      <c r="Q1" s="155"/>
      <c r="R1" s="155"/>
      <c r="S1" s="155"/>
    </row>
    <row r="2" spans="1:19" x14ac:dyDescent="0.25">
      <c r="A2" s="155"/>
      <c r="B2" s="155"/>
      <c r="C2" s="155"/>
      <c r="D2" s="155"/>
      <c r="E2" s="155"/>
      <c r="F2" s="155"/>
      <c r="G2" s="155"/>
      <c r="H2" s="155"/>
      <c r="I2" s="155"/>
      <c r="J2" s="155"/>
      <c r="K2" s="155"/>
      <c r="L2" s="155"/>
      <c r="M2" s="155"/>
      <c r="N2" s="155"/>
      <c r="O2" s="158"/>
      <c r="P2" s="155"/>
      <c r="Q2" s="155"/>
      <c r="R2" s="155"/>
      <c r="S2" s="155"/>
    </row>
    <row r="3" spans="1:19" x14ac:dyDescent="0.25">
      <c r="A3" s="141"/>
      <c r="B3" s="141"/>
      <c r="C3" s="141"/>
      <c r="D3" s="141"/>
      <c r="E3" s="141"/>
      <c r="F3" s="141"/>
      <c r="G3" s="141"/>
      <c r="H3" s="141"/>
      <c r="I3" s="141"/>
      <c r="J3" s="141"/>
      <c r="K3" s="141"/>
      <c r="L3" s="141"/>
      <c r="M3" s="141"/>
      <c r="N3" s="141"/>
      <c r="O3" s="141"/>
      <c r="P3" s="141"/>
      <c r="Q3" s="141"/>
      <c r="R3" s="141"/>
      <c r="S3" s="141"/>
    </row>
    <row r="4" spans="1:19" ht="29.25" customHeight="1" x14ac:dyDescent="0.25">
      <c r="A4" s="157" t="s">
        <v>0</v>
      </c>
      <c r="B4" s="157"/>
      <c r="C4" s="157"/>
      <c r="D4" s="157"/>
      <c r="E4" s="157"/>
      <c r="F4" s="157"/>
      <c r="G4" s="157"/>
      <c r="H4" s="157"/>
      <c r="I4" s="157"/>
      <c r="J4" s="157"/>
      <c r="K4" s="157"/>
      <c r="L4" s="157"/>
      <c r="M4" s="157"/>
      <c r="N4" s="157"/>
      <c r="O4" s="158"/>
      <c r="P4" s="155"/>
      <c r="Q4" s="155"/>
      <c r="R4" s="155"/>
      <c r="S4" s="155"/>
    </row>
    <row r="5" spans="1:19" ht="19.899999999999999" customHeight="1" x14ac:dyDescent="0.25">
      <c r="A5" s="155"/>
      <c r="B5" s="155"/>
      <c r="C5" s="155"/>
      <c r="D5" s="155"/>
      <c r="E5" s="155"/>
      <c r="F5" s="155"/>
      <c r="G5" s="155"/>
      <c r="H5" s="155"/>
      <c r="I5" s="155"/>
      <c r="J5" s="155"/>
      <c r="K5" s="155"/>
      <c r="L5" s="155"/>
      <c r="M5" s="155"/>
      <c r="N5" s="155"/>
      <c r="O5" s="158"/>
      <c r="P5" s="155"/>
      <c r="Q5" s="155"/>
      <c r="R5" s="155"/>
      <c r="S5" s="155"/>
    </row>
    <row r="6" spans="1:19" ht="29.25" customHeight="1" x14ac:dyDescent="0.25">
      <c r="A6" s="1" t="s">
        <v>159</v>
      </c>
      <c r="B6" s="1"/>
      <c r="C6" s="1"/>
      <c r="D6" s="1"/>
      <c r="E6" s="1"/>
      <c r="F6" s="1"/>
      <c r="G6" s="1"/>
      <c r="H6" s="1"/>
      <c r="I6" s="1"/>
      <c r="J6" s="1"/>
      <c r="K6" s="1"/>
      <c r="L6" s="1"/>
      <c r="M6" s="1"/>
      <c r="N6" s="1"/>
      <c r="O6" s="1"/>
      <c r="P6" s="155"/>
      <c r="Q6" s="155"/>
      <c r="R6" s="155"/>
      <c r="S6" s="155"/>
    </row>
    <row r="7" spans="1:19" ht="15.75" customHeight="1" x14ac:dyDescent="0.25">
      <c r="A7" s="1"/>
      <c r="B7" s="1"/>
      <c r="C7" s="1"/>
      <c r="D7" s="1"/>
      <c r="E7" s="1"/>
      <c r="F7" s="1"/>
      <c r="G7" s="1"/>
      <c r="H7" s="1"/>
      <c r="I7" s="1"/>
      <c r="J7" s="1"/>
      <c r="K7" s="1"/>
      <c r="L7" s="1"/>
      <c r="M7" s="1"/>
      <c r="N7" s="1"/>
      <c r="O7" s="1"/>
      <c r="P7" s="155"/>
      <c r="Q7" s="155"/>
      <c r="R7" s="155"/>
      <c r="S7" s="155"/>
    </row>
    <row r="8" spans="1:19" ht="50.25" customHeight="1" x14ac:dyDescent="0.25">
      <c r="A8" s="156" t="s">
        <v>114</v>
      </c>
      <c r="B8" s="157"/>
      <c r="C8" s="157"/>
      <c r="D8" s="157"/>
      <c r="E8" s="157"/>
      <c r="F8" s="157"/>
      <c r="G8" s="157"/>
      <c r="H8" s="157"/>
      <c r="I8" s="157"/>
      <c r="J8" s="157"/>
      <c r="K8" s="157"/>
      <c r="L8" s="157"/>
      <c r="M8" s="157"/>
      <c r="N8" s="157"/>
      <c r="O8" s="158"/>
      <c r="P8" s="158"/>
      <c r="Q8" s="158"/>
      <c r="R8" s="158"/>
      <c r="S8" s="158"/>
    </row>
    <row r="9" spans="1:19" ht="19.899999999999999" customHeight="1" x14ac:dyDescent="0.25">
      <c r="A9" s="2"/>
      <c r="B9" s="2"/>
      <c r="C9" s="2"/>
      <c r="D9" s="2"/>
      <c r="E9" s="2"/>
      <c r="F9" s="2"/>
      <c r="G9" s="2"/>
      <c r="H9" s="2"/>
      <c r="I9" s="2"/>
      <c r="J9" s="2"/>
      <c r="K9" s="2"/>
      <c r="L9" s="2"/>
      <c r="M9" s="2"/>
      <c r="N9" s="2"/>
      <c r="O9" s="1"/>
      <c r="P9" s="155"/>
      <c r="Q9" s="155"/>
      <c r="R9" s="155"/>
      <c r="S9" s="155"/>
    </row>
    <row r="10" spans="1:19" ht="51.75" customHeight="1" x14ac:dyDescent="0.25">
      <c r="A10" s="156" t="s">
        <v>160</v>
      </c>
      <c r="B10" s="157"/>
      <c r="C10" s="157"/>
      <c r="D10" s="157"/>
      <c r="E10" s="157"/>
      <c r="F10" s="157"/>
      <c r="G10" s="157"/>
      <c r="H10" s="157"/>
      <c r="I10" s="157"/>
      <c r="J10" s="157"/>
      <c r="K10" s="157"/>
      <c r="L10" s="157"/>
      <c r="M10" s="157"/>
      <c r="N10" s="157"/>
      <c r="O10" s="158"/>
      <c r="P10" s="158"/>
      <c r="Q10" s="158"/>
      <c r="R10" s="158"/>
      <c r="S10" s="158"/>
    </row>
    <row r="11" spans="1:19" ht="19.899999999999999" customHeight="1" x14ac:dyDescent="0.25">
      <c r="A11" s="23"/>
      <c r="B11" s="23"/>
      <c r="C11" s="23"/>
      <c r="D11" s="23"/>
      <c r="E11" s="23"/>
      <c r="F11" s="23"/>
      <c r="G11" s="23"/>
      <c r="H11" s="23"/>
      <c r="I11" s="23"/>
      <c r="J11" s="23"/>
      <c r="K11" s="23"/>
      <c r="L11" s="23"/>
      <c r="M11" s="23"/>
      <c r="N11" s="23"/>
      <c r="O11" s="1"/>
      <c r="P11" s="155"/>
      <c r="Q11" s="155"/>
      <c r="R11" s="155"/>
      <c r="S11" s="155"/>
    </row>
    <row r="12" spans="1:19" ht="51" customHeight="1" x14ac:dyDescent="0.25">
      <c r="A12" s="156" t="s">
        <v>147</v>
      </c>
      <c r="B12" s="156"/>
      <c r="C12" s="156"/>
      <c r="D12" s="156"/>
      <c r="E12" s="156"/>
      <c r="F12" s="156"/>
      <c r="G12" s="156"/>
      <c r="H12" s="156"/>
      <c r="I12" s="156"/>
      <c r="J12" s="156"/>
      <c r="K12" s="156"/>
      <c r="L12" s="156"/>
      <c r="M12" s="156"/>
      <c r="N12" s="156"/>
      <c r="O12" s="159"/>
      <c r="P12" s="158"/>
      <c r="Q12" s="158"/>
      <c r="R12" s="158"/>
      <c r="S12" s="158"/>
    </row>
    <row r="13" spans="1:19" ht="33" customHeight="1" x14ac:dyDescent="0.25">
      <c r="A13" s="124"/>
      <c r="B13" s="129" t="s">
        <v>150</v>
      </c>
      <c r="C13" s="124"/>
      <c r="D13" s="124"/>
      <c r="E13" s="124"/>
      <c r="F13" s="124"/>
      <c r="G13" s="124"/>
      <c r="H13" s="124"/>
      <c r="I13" s="124"/>
      <c r="J13" s="124"/>
      <c r="K13" s="124"/>
      <c r="L13" s="124"/>
      <c r="M13" s="124"/>
      <c r="N13" s="124"/>
      <c r="O13" s="1"/>
      <c r="P13" s="155"/>
      <c r="Q13" s="155"/>
      <c r="R13" s="155"/>
      <c r="S13" s="155"/>
    </row>
    <row r="14" spans="1:19" ht="14.25" customHeight="1" x14ac:dyDescent="0.25">
      <c r="A14" s="127"/>
      <c r="B14" s="129"/>
      <c r="C14" s="127"/>
      <c r="D14" s="127"/>
      <c r="E14" s="127"/>
      <c r="F14" s="127"/>
      <c r="G14" s="127"/>
      <c r="H14" s="127"/>
      <c r="I14" s="127"/>
      <c r="J14" s="127"/>
      <c r="K14" s="127"/>
      <c r="L14" s="127"/>
      <c r="M14" s="127"/>
      <c r="N14" s="127"/>
      <c r="O14" s="1"/>
      <c r="P14" s="155"/>
      <c r="Q14" s="155"/>
      <c r="R14" s="155"/>
      <c r="S14" s="155"/>
    </row>
    <row r="15" spans="1:19" ht="47.25" customHeight="1" x14ac:dyDescent="0.25">
      <c r="A15" s="156" t="s">
        <v>176</v>
      </c>
      <c r="B15" s="156"/>
      <c r="C15" s="156"/>
      <c r="D15" s="156"/>
      <c r="E15" s="156"/>
      <c r="F15" s="156"/>
      <c r="G15" s="156"/>
      <c r="H15" s="156"/>
      <c r="I15" s="156"/>
      <c r="J15" s="156"/>
      <c r="K15" s="156"/>
      <c r="L15" s="156"/>
      <c r="M15" s="156"/>
      <c r="N15" s="156"/>
      <c r="O15" s="159"/>
      <c r="P15" s="158"/>
      <c r="Q15" s="158"/>
      <c r="R15" s="158"/>
      <c r="S15" s="158"/>
    </row>
    <row r="16" spans="1:19" ht="21.75" customHeight="1" thickBot="1" x14ac:dyDescent="0.3">
      <c r="A16" s="155"/>
      <c r="B16" s="155"/>
      <c r="C16" s="155"/>
      <c r="D16" s="155"/>
      <c r="E16" s="155"/>
      <c r="F16" s="155"/>
      <c r="G16" s="155"/>
      <c r="H16" s="155"/>
      <c r="I16" s="155"/>
      <c r="J16" s="155"/>
      <c r="K16" s="155"/>
      <c r="L16" s="155"/>
      <c r="M16" s="155"/>
      <c r="N16" s="155"/>
      <c r="O16" s="158"/>
      <c r="P16" s="155"/>
      <c r="Q16" s="155"/>
      <c r="R16" s="155"/>
      <c r="S16" s="155"/>
    </row>
    <row r="17" spans="1:19" ht="28.5" customHeight="1" thickBot="1" x14ac:dyDescent="0.45">
      <c r="A17" s="143"/>
      <c r="B17" s="143"/>
      <c r="C17" s="143"/>
      <c r="D17" s="143"/>
      <c r="E17" s="143"/>
      <c r="F17" s="143"/>
      <c r="G17" s="161" t="s">
        <v>177</v>
      </c>
      <c r="H17" s="162"/>
      <c r="I17" s="162"/>
      <c r="J17" s="163"/>
      <c r="K17" s="143"/>
      <c r="L17" s="143"/>
      <c r="M17" s="143"/>
      <c r="N17" s="143"/>
      <c r="O17" s="143"/>
      <c r="P17" s="155"/>
      <c r="Q17" s="155"/>
      <c r="R17" s="155"/>
      <c r="S17" s="155"/>
    </row>
    <row r="18" spans="1:19" ht="21" x14ac:dyDescent="0.35">
      <c r="A18" s="128"/>
      <c r="B18" s="135"/>
      <c r="C18" s="128"/>
      <c r="D18" s="128"/>
      <c r="E18" s="128"/>
      <c r="F18" s="128"/>
      <c r="G18" s="128"/>
      <c r="H18" s="128"/>
      <c r="I18" s="128"/>
      <c r="J18" s="128"/>
      <c r="K18" s="128"/>
      <c r="L18" s="128"/>
      <c r="M18" s="128"/>
      <c r="N18" s="128"/>
      <c r="O18" s="128"/>
      <c r="P18" s="155"/>
      <c r="Q18" s="155"/>
      <c r="R18" s="155"/>
      <c r="S18" s="155"/>
    </row>
    <row r="19" spans="1:19" ht="20.25" x14ac:dyDescent="0.3">
      <c r="A19" s="128"/>
      <c r="B19" s="136" t="s">
        <v>154</v>
      </c>
      <c r="C19" s="128"/>
      <c r="D19" s="128"/>
      <c r="E19" s="128"/>
      <c r="F19" s="128"/>
      <c r="G19" s="128"/>
      <c r="H19" s="128"/>
      <c r="I19" s="128"/>
      <c r="J19" s="128"/>
      <c r="K19" s="128"/>
      <c r="L19" s="128"/>
      <c r="M19" s="128"/>
      <c r="N19" s="128"/>
      <c r="O19" s="128"/>
      <c r="P19" s="155"/>
      <c r="Q19" s="155"/>
      <c r="R19" s="155"/>
      <c r="S19" s="155"/>
    </row>
    <row r="20" spans="1:19" ht="21" x14ac:dyDescent="0.35">
      <c r="A20" s="128"/>
      <c r="B20" s="137" t="s">
        <v>155</v>
      </c>
      <c r="C20" s="132"/>
      <c r="D20" s="132"/>
      <c r="E20" s="132"/>
      <c r="F20" s="132"/>
      <c r="G20" s="132"/>
      <c r="H20" s="132"/>
      <c r="I20" s="132"/>
      <c r="J20" s="132"/>
      <c r="K20" s="132"/>
      <c r="L20" s="132"/>
      <c r="M20" s="132"/>
      <c r="N20" s="132"/>
      <c r="O20" s="132"/>
      <c r="P20" s="155"/>
      <c r="Q20" s="155"/>
      <c r="R20" s="155"/>
      <c r="S20" s="155"/>
    </row>
    <row r="21" spans="1:19" ht="21" x14ac:dyDescent="0.35">
      <c r="A21" s="128"/>
      <c r="B21" s="137" t="s">
        <v>156</v>
      </c>
      <c r="C21" s="132"/>
      <c r="D21" s="132"/>
      <c r="E21" s="132"/>
      <c r="F21" s="132"/>
      <c r="G21" s="132"/>
      <c r="H21" s="132"/>
      <c r="I21" s="132"/>
      <c r="J21" s="132"/>
      <c r="K21" s="132"/>
      <c r="L21" s="132"/>
      <c r="M21" s="132"/>
      <c r="N21" s="132"/>
      <c r="O21" s="132"/>
      <c r="P21" s="155"/>
      <c r="Q21" s="155"/>
      <c r="R21" s="155"/>
      <c r="S21" s="155"/>
    </row>
    <row r="22" spans="1:19" ht="21" x14ac:dyDescent="0.35">
      <c r="A22" s="128"/>
      <c r="B22" s="137" t="s">
        <v>157</v>
      </c>
      <c r="C22" s="132"/>
      <c r="D22" s="132"/>
      <c r="E22" s="132"/>
      <c r="F22" s="132"/>
      <c r="G22" s="132"/>
      <c r="H22" s="132"/>
      <c r="I22" s="132"/>
      <c r="J22" s="132"/>
      <c r="K22" s="132"/>
      <c r="L22" s="132"/>
      <c r="M22" s="132"/>
      <c r="N22" s="132"/>
      <c r="O22" s="132"/>
      <c r="P22" s="155"/>
      <c r="Q22" s="155"/>
      <c r="R22" s="155"/>
      <c r="S22" s="155"/>
    </row>
    <row r="23" spans="1:19" ht="21" x14ac:dyDescent="0.35">
      <c r="A23" s="128"/>
      <c r="B23" s="137" t="s">
        <v>158</v>
      </c>
      <c r="C23" s="128"/>
      <c r="D23" s="128"/>
      <c r="E23" s="128"/>
      <c r="F23" s="128"/>
      <c r="G23" s="128"/>
      <c r="H23" s="128"/>
      <c r="I23" s="128"/>
      <c r="J23" s="128"/>
      <c r="K23" s="128"/>
      <c r="L23" s="128"/>
      <c r="M23" s="128"/>
      <c r="N23" s="128"/>
      <c r="O23" s="128"/>
      <c r="P23" s="155"/>
      <c r="Q23" s="155"/>
      <c r="R23" s="155"/>
      <c r="S23" s="155"/>
    </row>
    <row r="24" spans="1:19" x14ac:dyDescent="0.25">
      <c r="A24" s="128"/>
      <c r="B24" s="128"/>
      <c r="C24" s="128"/>
      <c r="D24" s="128"/>
      <c r="E24" s="128"/>
      <c r="F24" s="128"/>
      <c r="G24" s="128"/>
      <c r="H24" s="128"/>
      <c r="I24" s="128"/>
      <c r="J24" s="128"/>
      <c r="K24" s="128"/>
      <c r="L24" s="128"/>
      <c r="M24" s="128"/>
      <c r="N24" s="128"/>
      <c r="O24" s="128"/>
      <c r="P24" s="155"/>
      <c r="Q24" s="155"/>
      <c r="R24" s="155"/>
      <c r="S24" s="155"/>
    </row>
  </sheetData>
  <mergeCells count="29">
    <mergeCell ref="A2:O2"/>
    <mergeCell ref="A4:O4"/>
    <mergeCell ref="A5:O5"/>
    <mergeCell ref="P21:S21"/>
    <mergeCell ref="F1:M1"/>
    <mergeCell ref="P1:S1"/>
    <mergeCell ref="P2:S2"/>
    <mergeCell ref="P4:S4"/>
    <mergeCell ref="P5:S5"/>
    <mergeCell ref="P6:S6"/>
    <mergeCell ref="G17:J17"/>
    <mergeCell ref="P7:S7"/>
    <mergeCell ref="P9:S9"/>
    <mergeCell ref="P11:S11"/>
    <mergeCell ref="A8:S8"/>
    <mergeCell ref="P22:S22"/>
    <mergeCell ref="P23:S23"/>
    <mergeCell ref="P24:S24"/>
    <mergeCell ref="A10:S10"/>
    <mergeCell ref="A15:S15"/>
    <mergeCell ref="A12:S12"/>
    <mergeCell ref="P17:S17"/>
    <mergeCell ref="P18:S18"/>
    <mergeCell ref="P19:S19"/>
    <mergeCell ref="P20:S20"/>
    <mergeCell ref="P13:S13"/>
    <mergeCell ref="P14:S14"/>
    <mergeCell ref="P16:S16"/>
    <mergeCell ref="A16:O16"/>
  </mergeCells>
  <hyperlinks>
    <hyperlink ref="B13" r:id="rId1"/>
    <hyperlink ref="G17:J17" location="Calculations!A1" display="Click Here to Start"/>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A47" sqref="A47"/>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81"/>
  <sheetViews>
    <sheetView tabSelected="1" zoomScale="90" zoomScaleNormal="90" workbookViewId="0">
      <selection activeCell="C27" sqref="C27"/>
    </sheetView>
  </sheetViews>
  <sheetFormatPr defaultColWidth="9.140625" defaultRowHeight="15.75" x14ac:dyDescent="0.25"/>
  <cols>
    <col min="1" max="1" width="56.85546875" style="4" customWidth="1"/>
    <col min="2" max="2" width="20.28515625" style="4" customWidth="1"/>
    <col min="3" max="3" width="20.42578125" style="4" bestFit="1" customWidth="1"/>
    <col min="4" max="5" width="11.7109375" style="4" customWidth="1"/>
    <col min="6" max="6" width="13.140625" style="19" customWidth="1"/>
    <col min="7" max="7" width="12.85546875" style="4" customWidth="1"/>
    <col min="8" max="8" width="9.140625" style="4" customWidth="1"/>
    <col min="9" max="9" width="11.85546875" style="4" customWidth="1"/>
    <col min="10" max="10" width="50" style="25" customWidth="1"/>
    <col min="11" max="11" width="8" style="4" bestFit="1" customWidth="1"/>
    <col min="12" max="16384" width="9.140625" style="4"/>
  </cols>
  <sheetData>
    <row r="1" spans="1:14" x14ac:dyDescent="0.25">
      <c r="A1" s="3" t="s">
        <v>121</v>
      </c>
      <c r="B1" s="3"/>
      <c r="C1" s="3"/>
      <c r="D1" s="3"/>
      <c r="E1" s="3"/>
      <c r="F1" s="84"/>
      <c r="G1" s="68"/>
      <c r="H1" s="3"/>
      <c r="I1" s="3"/>
    </row>
    <row r="2" spans="1:14" x14ac:dyDescent="0.25">
      <c r="A2" s="3"/>
      <c r="B2" s="5"/>
      <c r="C2" s="3"/>
      <c r="D2" s="3"/>
      <c r="E2" s="3"/>
      <c r="F2" s="84"/>
      <c r="G2" s="68"/>
      <c r="H2" s="3"/>
      <c r="I2" s="3"/>
    </row>
    <row r="3" spans="1:14" x14ac:dyDescent="0.25">
      <c r="A3" s="6" t="s">
        <v>113</v>
      </c>
      <c r="B3" s="7"/>
      <c r="C3" s="102" t="s">
        <v>150</v>
      </c>
      <c r="D3" s="102"/>
      <c r="E3" s="6"/>
      <c r="F3" s="85"/>
      <c r="G3" s="69"/>
      <c r="H3" s="6"/>
      <c r="I3" s="6"/>
    </row>
    <row r="4" spans="1:14" x14ac:dyDescent="0.25">
      <c r="A4" s="6" t="s">
        <v>112</v>
      </c>
      <c r="B4" s="7"/>
      <c r="C4" s="6"/>
      <c r="D4" s="6"/>
      <c r="E4" s="6"/>
      <c r="F4" s="85"/>
      <c r="G4" s="69"/>
      <c r="H4" s="6"/>
      <c r="I4" s="6"/>
    </row>
    <row r="5" spans="1:14" x14ac:dyDescent="0.25">
      <c r="A5" s="8" t="s">
        <v>1</v>
      </c>
      <c r="B5" s="9"/>
      <c r="C5" s="8"/>
      <c r="D5" s="8"/>
      <c r="E5" s="8"/>
      <c r="F5" s="86"/>
      <c r="G5" s="70"/>
      <c r="H5" s="8"/>
      <c r="I5" s="8"/>
    </row>
    <row r="6" spans="1:14" x14ac:dyDescent="0.25">
      <c r="A6" s="10"/>
      <c r="B6" s="11"/>
      <c r="C6" s="10"/>
      <c r="D6" s="10"/>
      <c r="E6" s="10"/>
      <c r="F6" s="87"/>
      <c r="G6" s="71"/>
      <c r="H6" s="10"/>
      <c r="I6" s="10"/>
      <c r="N6" s="15"/>
    </row>
    <row r="7" spans="1:14" x14ac:dyDescent="0.25">
      <c r="A7" s="56" t="s">
        <v>2</v>
      </c>
      <c r="B7" s="57"/>
      <c r="C7" s="57"/>
      <c r="D7" s="57"/>
      <c r="E7" s="57"/>
      <c r="F7" s="88"/>
      <c r="G7" s="72"/>
      <c r="H7" s="57"/>
      <c r="I7" s="57"/>
    </row>
    <row r="8" spans="1:14" ht="33" customHeight="1" x14ac:dyDescent="0.25">
      <c r="A8" s="3" t="s">
        <v>3</v>
      </c>
      <c r="B8" s="26"/>
      <c r="C8" s="22" t="s">
        <v>4</v>
      </c>
      <c r="D8" s="22" t="s">
        <v>22</v>
      </c>
      <c r="E8" s="22" t="s">
        <v>5</v>
      </c>
      <c r="F8" s="89" t="s">
        <v>141</v>
      </c>
      <c r="G8" s="75" t="s">
        <v>140</v>
      </c>
      <c r="H8" s="22" t="s">
        <v>139</v>
      </c>
      <c r="I8" s="22" t="s">
        <v>6</v>
      </c>
    </row>
    <row r="9" spans="1:14" x14ac:dyDescent="0.25">
      <c r="A9" s="30" t="s">
        <v>11</v>
      </c>
      <c r="B9" s="26"/>
      <c r="C9" s="34">
        <v>90</v>
      </c>
      <c r="D9" s="34">
        <v>115</v>
      </c>
      <c r="E9" s="61">
        <v>264</v>
      </c>
      <c r="F9" s="90"/>
      <c r="G9" s="77"/>
      <c r="H9" s="74"/>
      <c r="I9" s="30" t="s">
        <v>7</v>
      </c>
    </row>
    <row r="10" spans="1:14" x14ac:dyDescent="0.25">
      <c r="A10" s="30" t="s">
        <v>17</v>
      </c>
      <c r="B10" s="26"/>
      <c r="C10" s="34">
        <v>47</v>
      </c>
      <c r="D10" s="34">
        <v>50</v>
      </c>
      <c r="E10" s="61">
        <v>65</v>
      </c>
      <c r="F10" s="90"/>
      <c r="G10" s="78"/>
      <c r="H10" s="74"/>
      <c r="I10" s="30" t="s">
        <v>14</v>
      </c>
    </row>
    <row r="11" spans="1:14" x14ac:dyDescent="0.25">
      <c r="A11" s="30" t="s">
        <v>8</v>
      </c>
      <c r="B11" s="26"/>
      <c r="C11" s="35"/>
      <c r="D11" s="34">
        <v>20</v>
      </c>
      <c r="E11" s="62"/>
      <c r="F11" s="91"/>
      <c r="G11" s="78"/>
      <c r="H11" s="74"/>
      <c r="I11" s="30" t="s">
        <v>7</v>
      </c>
    </row>
    <row r="12" spans="1:14" x14ac:dyDescent="0.25">
      <c r="A12" s="31" t="s">
        <v>18</v>
      </c>
      <c r="B12" s="26"/>
      <c r="C12" s="30"/>
      <c r="D12" s="36">
        <v>20</v>
      </c>
      <c r="E12" s="26"/>
      <c r="F12" s="90"/>
      <c r="G12" s="76"/>
      <c r="H12" s="74"/>
      <c r="I12" s="30" t="s">
        <v>9</v>
      </c>
    </row>
    <row r="13" spans="1:14" x14ac:dyDescent="0.25">
      <c r="A13" s="31" t="s">
        <v>19</v>
      </c>
      <c r="B13" s="26"/>
      <c r="C13" s="30"/>
      <c r="D13" s="37"/>
      <c r="E13" s="26"/>
      <c r="F13" s="144">
        <f>2*Pnom</f>
        <v>40</v>
      </c>
      <c r="G13" s="131"/>
      <c r="H13" s="116">
        <f>IF(G13,G13,F13)</f>
        <v>40</v>
      </c>
      <c r="I13" s="30" t="s">
        <v>9</v>
      </c>
    </row>
    <row r="14" spans="1:14" ht="31.5" x14ac:dyDescent="0.25">
      <c r="A14" s="31" t="s">
        <v>23</v>
      </c>
      <c r="B14" s="30" t="s">
        <v>123</v>
      </c>
      <c r="C14" s="30"/>
      <c r="D14" s="34">
        <v>2</v>
      </c>
      <c r="E14" s="26"/>
      <c r="F14" s="125">
        <f>IF(D14&gt;wt2_surge,wt2_surge,D14)</f>
        <v>2</v>
      </c>
      <c r="G14" s="45"/>
      <c r="I14" s="30" t="s">
        <v>24</v>
      </c>
      <c r="J14" s="25" t="s">
        <v>142</v>
      </c>
    </row>
    <row r="15" spans="1:14" s="13" customFormat="1" ht="66" customHeight="1" x14ac:dyDescent="0.25">
      <c r="A15" s="32" t="s">
        <v>115</v>
      </c>
      <c r="B15" s="49">
        <v>3</v>
      </c>
      <c r="C15" s="126">
        <v>3</v>
      </c>
      <c r="D15" s="103"/>
      <c r="E15" s="63"/>
      <c r="F15" s="92"/>
      <c r="G15" s="81"/>
      <c r="H15" s="79"/>
      <c r="I15" s="38"/>
      <c r="J15" s="73" t="s">
        <v>149</v>
      </c>
    </row>
    <row r="16" spans="1:14" x14ac:dyDescent="0.25">
      <c r="A16" s="31" t="s">
        <v>21</v>
      </c>
      <c r="B16" s="39"/>
      <c r="C16" s="39"/>
      <c r="D16" s="104"/>
      <c r="E16" s="64"/>
      <c r="F16" s="115">
        <f>2*Pnom</f>
        <v>40</v>
      </c>
      <c r="G16" s="131">
        <v>39</v>
      </c>
      <c r="H16" s="116">
        <f>IF(G16,G16,F16)</f>
        <v>39</v>
      </c>
      <c r="I16" s="30" t="s">
        <v>20</v>
      </c>
    </row>
    <row r="17" spans="1:10" x14ac:dyDescent="0.25">
      <c r="A17" s="31" t="s">
        <v>16</v>
      </c>
      <c r="D17" s="41">
        <v>0.88</v>
      </c>
      <c r="E17" s="65" t="s">
        <v>10</v>
      </c>
      <c r="F17" s="92"/>
      <c r="G17" s="78"/>
      <c r="H17" s="74"/>
      <c r="I17" s="30" t="s">
        <v>15</v>
      </c>
    </row>
    <row r="18" spans="1:10" x14ac:dyDescent="0.25">
      <c r="A18" s="30" t="s">
        <v>26</v>
      </c>
      <c r="B18" s="42"/>
      <c r="C18" s="107">
        <f>Vac_min*SQRT(2)</f>
        <v>127.27922061357856</v>
      </c>
      <c r="D18" s="107">
        <f>Vac_nom*SQRT(2)</f>
        <v>162.63455967290594</v>
      </c>
      <c r="E18" s="108">
        <f>Vac_max*SQRT(2)</f>
        <v>373.3523804664971</v>
      </c>
      <c r="F18" s="66"/>
      <c r="G18" s="78"/>
      <c r="H18" s="74"/>
      <c r="I18" s="30" t="s">
        <v>7</v>
      </c>
    </row>
    <row r="19" spans="1:10" s="13" customFormat="1" x14ac:dyDescent="0.25">
      <c r="A19" s="33" t="s">
        <v>12</v>
      </c>
      <c r="B19" s="43"/>
      <c r="C19" s="109"/>
      <c r="D19" s="110">
        <f>Pnom/Vout</f>
        <v>1</v>
      </c>
      <c r="E19" s="111">
        <f>Iout_limit</f>
        <v>2.0957498663665115</v>
      </c>
      <c r="F19" s="94"/>
      <c r="G19" s="81"/>
      <c r="H19" s="79"/>
      <c r="I19" s="38" t="s">
        <v>13</v>
      </c>
      <c r="J19" s="50"/>
    </row>
    <row r="20" spans="1:10" s="14" customFormat="1" ht="31.5" x14ac:dyDescent="0.25">
      <c r="A20" s="32" t="s">
        <v>126</v>
      </c>
      <c r="B20" s="40"/>
      <c r="C20" s="112"/>
      <c r="D20" s="113">
        <f>CHOOSE($C$15,Pnom*1.1,Pnom*1.35,Pnom*1.6)</f>
        <v>32</v>
      </c>
      <c r="E20" s="114"/>
      <c r="F20" s="93"/>
      <c r="G20" s="82"/>
      <c r="H20" s="80"/>
      <c r="I20" s="44" t="s">
        <v>9</v>
      </c>
      <c r="J20" s="73" t="s">
        <v>122</v>
      </c>
    </row>
    <row r="21" spans="1:10" s="14" customFormat="1" x14ac:dyDescent="0.25">
      <c r="A21" s="32" t="s">
        <v>84</v>
      </c>
      <c r="B21" s="40" t="s">
        <v>85</v>
      </c>
      <c r="C21" s="112" t="s">
        <v>85</v>
      </c>
      <c r="D21" s="112">
        <v>200</v>
      </c>
      <c r="E21" s="114"/>
      <c r="F21" s="93"/>
      <c r="G21" s="82"/>
      <c r="H21" s="80"/>
      <c r="I21" s="44" t="s">
        <v>127</v>
      </c>
      <c r="J21" s="51"/>
    </row>
    <row r="22" spans="1:10" s="14" customFormat="1" x14ac:dyDescent="0.25">
      <c r="A22" s="32" t="s">
        <v>89</v>
      </c>
      <c r="B22" s="40" t="s">
        <v>90</v>
      </c>
      <c r="C22" s="112" t="s">
        <v>90</v>
      </c>
      <c r="D22" s="112">
        <v>3.9</v>
      </c>
      <c r="E22" s="114"/>
      <c r="F22" s="93"/>
      <c r="G22" s="82"/>
      <c r="H22" s="80"/>
      <c r="I22" s="44" t="s">
        <v>127</v>
      </c>
      <c r="J22" s="51"/>
    </row>
    <row r="23" spans="1:10" s="14" customFormat="1" ht="19.5" x14ac:dyDescent="0.25">
      <c r="A23" s="32" t="s">
        <v>104</v>
      </c>
      <c r="B23" s="40" t="s">
        <v>128</v>
      </c>
      <c r="C23" s="112" t="s">
        <v>128</v>
      </c>
      <c r="D23" s="112">
        <v>60</v>
      </c>
      <c r="E23" s="114"/>
      <c r="F23" s="93"/>
      <c r="G23" s="83"/>
      <c r="H23" s="80"/>
      <c r="I23" s="44" t="s">
        <v>7</v>
      </c>
      <c r="J23" s="51"/>
    </row>
    <row r="24" spans="1:10" x14ac:dyDescent="0.25">
      <c r="A24" s="12"/>
      <c r="B24" s="12"/>
      <c r="C24" s="12"/>
      <c r="D24" s="12"/>
      <c r="E24" s="12"/>
      <c r="F24" s="95"/>
      <c r="G24" s="67"/>
      <c r="H24" s="60"/>
      <c r="I24" s="60"/>
    </row>
    <row r="25" spans="1:10" x14ac:dyDescent="0.25">
      <c r="A25" s="58" t="s">
        <v>169</v>
      </c>
      <c r="B25" s="59"/>
      <c r="C25" s="59"/>
      <c r="D25" s="59"/>
      <c r="E25" s="59"/>
      <c r="F25" s="96"/>
      <c r="G25" s="57"/>
      <c r="H25" s="96"/>
      <c r="I25" s="57"/>
    </row>
    <row r="26" spans="1:10" ht="33" customHeight="1" x14ac:dyDescent="0.25">
      <c r="A26" s="55" t="s">
        <v>166</v>
      </c>
      <c r="B26" s="44" t="s">
        <v>165</v>
      </c>
      <c r="C26" s="123">
        <v>7.7820791875373869</v>
      </c>
      <c r="D26" s="44" t="s">
        <v>24</v>
      </c>
      <c r="E26" s="105">
        <f>C27+127*COS(wt2_nom*PI()*2*Fac_min/1000)</f>
        <v>-1.9529025507836195E-6</v>
      </c>
      <c r="F26" s="164" t="s">
        <v>146</v>
      </c>
      <c r="G26" s="165"/>
      <c r="H26" s="165"/>
      <c r="I26" s="165"/>
    </row>
    <row r="27" spans="1:10" ht="15.75" customHeight="1" x14ac:dyDescent="0.25">
      <c r="A27" s="44" t="s">
        <v>25</v>
      </c>
      <c r="B27" s="54" t="s">
        <v>32</v>
      </c>
      <c r="C27" s="106">
        <f>IF((Vacpk_min)^2-(2*Pnom*(wt2_nom*PI()*2*Fac_min/1000))/(Eff*Cbulk*0.000001*2*PI()*Fac_min)&gt;0, (SQRT((Vacpk_min)^2-(2*Pnom*(wt2_nom*PI()*2*Fac_min/1000))/(Eff*Cbulk*0.000001*2*PI()*Fac_min))),0)</f>
        <v>84.439194909134542</v>
      </c>
      <c r="D27" s="54" t="s">
        <v>7</v>
      </c>
      <c r="E27" s="133" t="str">
        <f>IF(Vbulkmin_nom&gt;=N*Vout*(1-δmax)/δmax,"Ok","Insufficient Bulk Cap")</f>
        <v>Ok</v>
      </c>
      <c r="F27" s="168" t="s">
        <v>161</v>
      </c>
      <c r="G27" s="167"/>
      <c r="H27" s="167"/>
      <c r="I27" s="167"/>
      <c r="J27" s="158"/>
    </row>
    <row r="28" spans="1:10" ht="33.75" customHeight="1" x14ac:dyDescent="0.25">
      <c r="A28" s="55" t="s">
        <v>167</v>
      </c>
      <c r="B28" s="44" t="s">
        <v>164</v>
      </c>
      <c r="C28" s="123">
        <v>6.9115321390931275</v>
      </c>
      <c r="D28" s="44" t="s">
        <v>24</v>
      </c>
      <c r="E28" s="134">
        <f>C29+127*COS(wt2_pol*PI()*2*Fac_min/1000)</f>
        <v>-1.0791386131359104E-6</v>
      </c>
      <c r="F28" s="25"/>
      <c r="J28" s="4"/>
    </row>
    <row r="29" spans="1:10" ht="19.5" customHeight="1" x14ac:dyDescent="0.25">
      <c r="A29" s="44" t="s">
        <v>151</v>
      </c>
      <c r="B29" s="54" t="s">
        <v>124</v>
      </c>
      <c r="C29" s="106">
        <f>IF((Vacpk_min)^2-(2*P_ol*(wt2_pol*PI()*2*Fac_min/1000))/(Eff*Cbulk*0.000001*2*PI()*Fac_min)&gt;0, (SQRT((Vacpk_min)^2-(2*P_ol*(wt2_pol*PI()*2*Fac_min/1000))/(Eff*Cbulk*0.000001*2*PI()*Fac_min))),0)</f>
        <v>57.544434816766731</v>
      </c>
      <c r="D29" s="54" t="s">
        <v>7</v>
      </c>
      <c r="E29" s="133" t="str">
        <f>IF(Vbulkmin_nom&gt;=N*Vout*(1-δmax)/δmax,"Ok","Insufficient Bulk Cap")</f>
        <v>Ok</v>
      </c>
      <c r="F29" s="168" t="s">
        <v>162</v>
      </c>
      <c r="G29" s="167"/>
      <c r="H29" s="167"/>
      <c r="I29" s="167"/>
      <c r="J29" s="167"/>
    </row>
    <row r="30" spans="1:10" ht="30" x14ac:dyDescent="0.25">
      <c r="A30" s="55" t="s">
        <v>168</v>
      </c>
      <c r="B30" s="44" t="s">
        <v>178</v>
      </c>
      <c r="C30" s="123">
        <v>7.3792520677882107</v>
      </c>
      <c r="D30" s="44" t="s">
        <v>24</v>
      </c>
      <c r="E30" s="134">
        <f>C31+127*COS(wt2_surge*PI()*2*Fac_min/1000)</f>
        <v>-2.4077386768794895E-6</v>
      </c>
      <c r="J30" s="4"/>
    </row>
    <row r="31" spans="1:10" ht="110.45" customHeight="1" x14ac:dyDescent="0.25">
      <c r="A31" s="55" t="s">
        <v>27</v>
      </c>
      <c r="B31" s="54" t="s">
        <v>28</v>
      </c>
      <c r="C31" s="106">
        <f>IF((Vacpk_min)^2-((2*Pmax*T_pmax*0.001)/(Eff*Cbulk*0.000001))-(2*Pnom*((wt2_surge-T_pmax)*PI()*2*Fac_min/1000))/(Eff*Cbulk*0.000001*2*PI()*Fac_min)&gt;0, (SQRT((Vacpk_min)^2-((2*Pmax*T_pmax*0.001)/(Eff*Cbulk*0.000001))-(2*Pnom*((wt2_surge-T_pmax)*PI()*2*Fac_min/1000))/(Eff*Cbulk*0.000001*2*PI()*Fac_min))),0)</f>
        <v>72.584232333638596</v>
      </c>
      <c r="D31" s="54" t="s">
        <v>7</v>
      </c>
      <c r="E31" s="133" t="str">
        <f>IF(Vbulkmin_nom&gt;=N*Vout*(1-δmax)/δmax,"Ok","Insufficient Bulk Cap")</f>
        <v>Ok</v>
      </c>
      <c r="F31" s="168" t="s">
        <v>163</v>
      </c>
      <c r="G31" s="167"/>
      <c r="H31" s="167"/>
      <c r="I31" s="167"/>
      <c r="J31" s="167"/>
    </row>
    <row r="32" spans="1:10" x14ac:dyDescent="0.25">
      <c r="A32" s="58" t="s">
        <v>29</v>
      </c>
      <c r="B32" s="59"/>
      <c r="C32" s="59"/>
      <c r="D32" s="59"/>
      <c r="E32" s="59"/>
      <c r="J32" s="4"/>
    </row>
    <row r="33" spans="1:10" ht="38.25" customHeight="1" x14ac:dyDescent="0.25">
      <c r="A33" s="30" t="s">
        <v>152</v>
      </c>
      <c r="B33" s="45" t="s">
        <v>71</v>
      </c>
      <c r="C33" s="34">
        <v>12</v>
      </c>
      <c r="D33" s="30" t="s">
        <v>7</v>
      </c>
      <c r="F33" s="4"/>
    </row>
    <row r="34" spans="1:10" x14ac:dyDescent="0.25">
      <c r="A34" s="30" t="s">
        <v>73</v>
      </c>
      <c r="B34" s="45" t="s">
        <v>74</v>
      </c>
      <c r="C34" s="34">
        <v>0.7</v>
      </c>
      <c r="D34" s="30" t="s">
        <v>7</v>
      </c>
    </row>
    <row r="35" spans="1:10" ht="16.149999999999999" customHeight="1" x14ac:dyDescent="0.25">
      <c r="A35" s="30" t="s">
        <v>86</v>
      </c>
      <c r="B35" s="45" t="s">
        <v>87</v>
      </c>
      <c r="C35" s="34">
        <v>470</v>
      </c>
      <c r="D35" s="30" t="s">
        <v>20</v>
      </c>
      <c r="E35" s="4" t="s">
        <v>116</v>
      </c>
    </row>
    <row r="36" spans="1:10" s="147" customFormat="1" ht="35.450000000000003" customHeight="1" x14ac:dyDescent="0.25">
      <c r="A36" s="44" t="s">
        <v>179</v>
      </c>
      <c r="B36" s="145" t="s">
        <v>180</v>
      </c>
      <c r="C36" s="146">
        <v>100</v>
      </c>
      <c r="D36" s="44" t="s">
        <v>7</v>
      </c>
      <c r="E36" s="171" t="s">
        <v>182</v>
      </c>
      <c r="F36" s="167"/>
      <c r="G36" s="167"/>
      <c r="H36" s="167"/>
      <c r="I36" s="167"/>
      <c r="J36" s="158"/>
    </row>
    <row r="37" spans="1:10" ht="19.5" x14ac:dyDescent="0.35">
      <c r="A37" s="31" t="s">
        <v>72</v>
      </c>
      <c r="B37" s="45" t="s">
        <v>129</v>
      </c>
      <c r="C37" s="34">
        <v>0.5</v>
      </c>
      <c r="D37" s="45" t="s">
        <v>7</v>
      </c>
      <c r="E37" s="4" t="s">
        <v>117</v>
      </c>
    </row>
    <row r="38" spans="1:10" ht="19.5" x14ac:dyDescent="0.35">
      <c r="A38" s="30" t="s">
        <v>31</v>
      </c>
      <c r="B38" s="45" t="s">
        <v>131</v>
      </c>
      <c r="C38" s="46">
        <v>0.7</v>
      </c>
      <c r="D38" s="30" t="s">
        <v>15</v>
      </c>
    </row>
    <row r="39" spans="1:10" x14ac:dyDescent="0.25">
      <c r="A39" s="30" t="s">
        <v>63</v>
      </c>
      <c r="B39" s="45" t="s">
        <v>65</v>
      </c>
      <c r="C39" s="34">
        <v>300</v>
      </c>
      <c r="D39" s="30" t="s">
        <v>66</v>
      </c>
    </row>
    <row r="40" spans="1:10" ht="18.75" x14ac:dyDescent="0.25">
      <c r="A40" s="30" t="s">
        <v>64</v>
      </c>
      <c r="B40" s="45" t="s">
        <v>67</v>
      </c>
      <c r="C40" s="34">
        <v>31.2</v>
      </c>
      <c r="D40" s="30" t="s">
        <v>132</v>
      </c>
      <c r="E40" s="4" t="s">
        <v>187</v>
      </c>
    </row>
    <row r="41" spans="1:10" ht="32.25" x14ac:dyDescent="0.35">
      <c r="A41" s="31" t="s">
        <v>94</v>
      </c>
      <c r="B41" s="45" t="s">
        <v>133</v>
      </c>
      <c r="C41" s="46">
        <v>0.05</v>
      </c>
      <c r="D41" s="30" t="s">
        <v>15</v>
      </c>
      <c r="E41" s="4" t="s">
        <v>188</v>
      </c>
    </row>
    <row r="42" spans="1:10" x14ac:dyDescent="0.25">
      <c r="A42" s="30" t="s">
        <v>79</v>
      </c>
      <c r="B42" s="45" t="s">
        <v>80</v>
      </c>
      <c r="C42" s="34">
        <v>30</v>
      </c>
      <c r="D42" s="30" t="s">
        <v>81</v>
      </c>
    </row>
    <row r="43" spans="1:10" x14ac:dyDescent="0.25">
      <c r="A43" s="30" t="s">
        <v>97</v>
      </c>
      <c r="B43" s="45"/>
      <c r="C43" s="34">
        <v>1.8</v>
      </c>
      <c r="D43" s="30" t="s">
        <v>7</v>
      </c>
    </row>
    <row r="44" spans="1:10" ht="19.5" x14ac:dyDescent="0.35">
      <c r="A44" s="30" t="s">
        <v>108</v>
      </c>
      <c r="B44" s="45" t="s">
        <v>134</v>
      </c>
      <c r="C44" s="34">
        <v>330</v>
      </c>
      <c r="D44" s="30" t="s">
        <v>105</v>
      </c>
    </row>
    <row r="45" spans="1:10" x14ac:dyDescent="0.25">
      <c r="A45" s="58" t="s">
        <v>145</v>
      </c>
      <c r="B45" s="59"/>
      <c r="C45" s="59"/>
      <c r="D45" s="59"/>
    </row>
    <row r="46" spans="1:10" s="97" customFormat="1" ht="30" x14ac:dyDescent="0.25">
      <c r="A46" s="39"/>
      <c r="B46" s="39"/>
      <c r="C46" s="99" t="s">
        <v>141</v>
      </c>
      <c r="D46" s="100" t="s">
        <v>140</v>
      </c>
      <c r="E46" s="99" t="s">
        <v>139</v>
      </c>
      <c r="F46" s="99" t="s">
        <v>143</v>
      </c>
      <c r="J46" s="98"/>
    </row>
    <row r="47" spans="1:10" x14ac:dyDescent="0.25">
      <c r="A47" s="30" t="s">
        <v>172</v>
      </c>
      <c r="B47" s="30" t="s">
        <v>30</v>
      </c>
      <c r="C47" s="117">
        <f>V_reflected/(Vout+V_rect)</f>
        <v>4.8780487804878048</v>
      </c>
      <c r="D47" s="130"/>
      <c r="E47" s="121">
        <f>IF(D47,D47,C47)</f>
        <v>4.8780487804878048</v>
      </c>
      <c r="F47" s="30"/>
    </row>
    <row r="48" spans="1:10" ht="30.75" x14ac:dyDescent="0.25">
      <c r="A48" s="31" t="s">
        <v>173</v>
      </c>
      <c r="B48" s="30" t="s">
        <v>33</v>
      </c>
      <c r="C48" s="118">
        <f>1/(2*Pnom/Eff*(1/Vbulkmin_nom+1/(N*(Vout+V_rect)))^2*Fsw_nom*1000)*1000000</f>
        <v>768.51644032075274</v>
      </c>
      <c r="D48" s="130"/>
      <c r="E48" s="122">
        <f>IF(D48,D48,C48)</f>
        <v>768.51644032075274</v>
      </c>
      <c r="F48" s="30" t="s">
        <v>34</v>
      </c>
    </row>
    <row r="49" spans="1:10" ht="30.75" x14ac:dyDescent="0.25">
      <c r="A49" s="31" t="s">
        <v>88</v>
      </c>
      <c r="B49" s="30"/>
      <c r="C49" s="118">
        <f>(Vcs_max/pnir)*SQRT((Lmag*0.000001*Fsw_nom*1000*Eff)/(2*Pnom))</f>
        <v>644.60477877619098</v>
      </c>
      <c r="D49" s="130"/>
      <c r="E49" s="122">
        <f t="shared" ref="E49:E66" si="0">IF(D49,D49,C49)</f>
        <v>644.60477877619098</v>
      </c>
      <c r="F49" s="30" t="s">
        <v>135</v>
      </c>
    </row>
    <row r="50" spans="1:10" x14ac:dyDescent="0.25">
      <c r="A50" s="31" t="s">
        <v>181</v>
      </c>
      <c r="B50" s="30" t="s">
        <v>36</v>
      </c>
      <c r="C50" s="117">
        <f t="array" ref="C50">10^INT(LOG(E49))*INDEX((E_Series_Values!$D$2:$D$26),MATCH(MIN(IF((E_Series_Values!$D$2:$D$26)-(E49/10^INT(LOG(E49)))&gt;0,(E_Series_Values!$D$2:$D$26)-(E49/10^INT(LOG(E49))),10)),(E_Series_Values!$D$2:$D$26)-(E49/10^INT(LOG(E49))),0)-1)</f>
        <v>620</v>
      </c>
      <c r="D50" s="130"/>
      <c r="E50" s="122">
        <f t="shared" si="0"/>
        <v>620</v>
      </c>
      <c r="F50" s="30" t="s">
        <v>135</v>
      </c>
    </row>
    <row r="51" spans="1:10" x14ac:dyDescent="0.25">
      <c r="A51" s="31" t="s">
        <v>60</v>
      </c>
      <c r="B51" s="30" t="s">
        <v>61</v>
      </c>
      <c r="C51" s="117">
        <f>Vcs_max/Rcs</f>
        <v>1.2903225806451613</v>
      </c>
      <c r="D51" s="130"/>
      <c r="E51" s="122">
        <f t="shared" si="0"/>
        <v>1.2903225806451613</v>
      </c>
      <c r="F51" s="30" t="s">
        <v>13</v>
      </c>
    </row>
    <row r="52" spans="1:10" x14ac:dyDescent="0.25">
      <c r="A52" s="31" t="s">
        <v>170</v>
      </c>
      <c r="B52" s="30" t="s">
        <v>62</v>
      </c>
      <c r="C52" s="119">
        <f>ROUND(Lmag*0.000001*Ipk_max/(Bpk*0.001*Ae*0.000001),0)</f>
        <v>106</v>
      </c>
      <c r="D52" s="130"/>
      <c r="E52" s="122">
        <f t="shared" si="0"/>
        <v>106</v>
      </c>
      <c r="F52" s="30"/>
    </row>
    <row r="53" spans="1:10" ht="17.25" customHeight="1" x14ac:dyDescent="0.25">
      <c r="A53" s="31" t="s">
        <v>171</v>
      </c>
      <c r="B53" s="30" t="s">
        <v>68</v>
      </c>
      <c r="C53" s="119">
        <f>ROUND(C52/N,0)</f>
        <v>22</v>
      </c>
      <c r="D53" s="130"/>
      <c r="E53" s="122">
        <f t="shared" si="0"/>
        <v>22</v>
      </c>
      <c r="F53" s="30"/>
    </row>
    <row r="54" spans="1:10" x14ac:dyDescent="0.25">
      <c r="A54" s="31" t="s">
        <v>69</v>
      </c>
      <c r="B54" s="30" t="s">
        <v>70</v>
      </c>
      <c r="C54" s="119">
        <f>ROUND((Vbias+Vbias_diode)*Nsec/(Vout+V_rect),0)</f>
        <v>14</v>
      </c>
      <c r="D54" s="130"/>
      <c r="E54" s="122">
        <f t="shared" si="0"/>
        <v>14</v>
      </c>
      <c r="F54" s="30"/>
    </row>
    <row r="55" spans="1:10" x14ac:dyDescent="0.25">
      <c r="A55" s="31" t="s">
        <v>76</v>
      </c>
      <c r="B55" s="30" t="s">
        <v>77</v>
      </c>
      <c r="C55" s="118">
        <f>(Lmag*0.000001/Npri^2)*1000000000</f>
        <v>68.397689597788599</v>
      </c>
      <c r="D55" s="130"/>
      <c r="E55" s="122">
        <f t="shared" si="0"/>
        <v>68.397689597788599</v>
      </c>
      <c r="F55" s="30" t="s">
        <v>75</v>
      </c>
    </row>
    <row r="56" spans="1:10" ht="19.5" x14ac:dyDescent="0.35">
      <c r="A56" s="30" t="s">
        <v>189</v>
      </c>
      <c r="B56" s="45" t="s">
        <v>130</v>
      </c>
      <c r="C56" s="118">
        <f>((Vacpk_max*Nsec/Npri + Vout)/Rectifier_Derating)</f>
        <v>139.26889986877273</v>
      </c>
      <c r="D56" s="130"/>
      <c r="E56" s="122">
        <f t="shared" si="0"/>
        <v>139.26889986877273</v>
      </c>
      <c r="F56" s="45" t="s">
        <v>7</v>
      </c>
    </row>
    <row r="57" spans="1:10" x14ac:dyDescent="0.25">
      <c r="A57" s="31" t="s">
        <v>174</v>
      </c>
      <c r="B57" s="30"/>
      <c r="C57" s="118">
        <f>1000000*(Idd_run*0.001*tstart_del*0.001+(Idd_run*0.001+Fsw_nom*1000*Qg_tot*0.000000001)*(Vout*Cout*0.000001/(Iout_limit-Inom))*(Vddstop_max/Vbias))/(Vddstart_min-Vddstop_max)</f>
        <v>20.583620304686342</v>
      </c>
      <c r="D57" s="130"/>
      <c r="E57" s="122">
        <f t="shared" si="0"/>
        <v>20.583620304686342</v>
      </c>
      <c r="F57" s="30" t="s">
        <v>20</v>
      </c>
    </row>
    <row r="58" spans="1:10" x14ac:dyDescent="0.25">
      <c r="A58" s="31" t="s">
        <v>119</v>
      </c>
      <c r="B58" s="30" t="s">
        <v>78</v>
      </c>
      <c r="C58" s="118">
        <f t="array" ref="C58">10^(IF(INT(LOG(E57))&gt;1,INT(LOG(E57)),1))*INDEX(E_Series_Values!$F$2:$F$8,MATCH(MIN(IF((E_Series_Values!$F$2:$F$8)-(E57/10^(IF(INT(LOG(E57))&gt;1,INT(LOG(E57)),1)))&gt;=0,(E_Series_Values!$F$2:$F$8)-(E57/10^(IF(INT(LOG(E57))&gt;1,INT(LOG(E57)),1))))),IF((E_Series_Values!$F$2:$F$8)-(E57/10^(IF(INT(LOG(E57))&gt;1,INT(LOG(E57)),1)))&gt;=0,(E_Series_Values!$F$2:$F$8)-(E57/10^(IF(INT(LOG(E57))&gt;1,INT(LOG(E57)),1))))))</f>
        <v>22</v>
      </c>
      <c r="D58" s="138"/>
      <c r="E58" s="122">
        <f t="shared" si="0"/>
        <v>22</v>
      </c>
      <c r="F58" s="30" t="s">
        <v>20</v>
      </c>
    </row>
    <row r="59" spans="1:10" x14ac:dyDescent="0.25">
      <c r="A59" s="31" t="s">
        <v>82</v>
      </c>
      <c r="B59" s="30" t="s">
        <v>83</v>
      </c>
      <c r="C59" s="118">
        <f>Rext*1000*Cbias*0.000001*LN((Vacpk_min*2/PI())/((Vacpk_min*2/PI())-Vddstart_max))*1000</f>
        <v>1001.8538530560752</v>
      </c>
      <c r="D59" s="130"/>
      <c r="E59" s="122">
        <f t="shared" si="0"/>
        <v>1001.8538530560752</v>
      </c>
      <c r="F59" s="30" t="s">
        <v>24</v>
      </c>
    </row>
    <row r="60" spans="1:10" x14ac:dyDescent="0.25">
      <c r="A60" s="47" t="s">
        <v>175</v>
      </c>
      <c r="B60" s="30"/>
      <c r="C60" s="117">
        <f>Rp*Nbias*Kline/Npri</f>
        <v>25.368396226415097</v>
      </c>
      <c r="D60" s="130"/>
      <c r="E60" s="121">
        <f t="shared" si="0"/>
        <v>25.368396226415097</v>
      </c>
      <c r="F60" s="30" t="s">
        <v>93</v>
      </c>
    </row>
    <row r="61" spans="1:10" x14ac:dyDescent="0.25">
      <c r="A61" s="47" t="s">
        <v>120</v>
      </c>
      <c r="B61" s="30" t="s">
        <v>99</v>
      </c>
      <c r="C61" s="117">
        <f t="array" ref="C61">10^INT(LOG(E60))*INDEX((E_Series_Values!$B$2:$B$97),MATCH(MIN(ABS((E_Series_Values!$B$2:$B$97)-(E60/10^INT(LOG(E60))))),ABS((E_Series_Values!$B$2:$B$97)-(E60/10^INT(LOG(E60)))),0))</f>
        <v>25.5</v>
      </c>
      <c r="D61" s="138"/>
      <c r="E61" s="121">
        <f t="shared" si="0"/>
        <v>25.5</v>
      </c>
      <c r="F61" s="30" t="s">
        <v>93</v>
      </c>
      <c r="J61" s="52"/>
    </row>
    <row r="62" spans="1:10" ht="31.15" customHeight="1" x14ac:dyDescent="0.25">
      <c r="A62" s="47" t="s">
        <v>95</v>
      </c>
      <c r="B62" s="30" t="s">
        <v>185</v>
      </c>
      <c r="C62" s="117">
        <f>Ra/((Vout*(1-Llk_sb)+V_rect)*(Nbias/Nsec)/Vout_ref-1)</f>
        <v>38.958333333333336</v>
      </c>
      <c r="D62" s="130"/>
      <c r="E62" s="121">
        <f t="shared" si="0"/>
        <v>38.958333333333336</v>
      </c>
      <c r="F62" s="30" t="s">
        <v>93</v>
      </c>
      <c r="G62" s="168" t="s">
        <v>144</v>
      </c>
      <c r="H62" s="167"/>
      <c r="I62" s="167"/>
      <c r="J62" s="167"/>
    </row>
    <row r="63" spans="1:10" ht="31.15" customHeight="1" x14ac:dyDescent="0.25">
      <c r="A63" s="47" t="s">
        <v>184</v>
      </c>
      <c r="B63" s="30" t="s">
        <v>186</v>
      </c>
      <c r="C63" s="117">
        <f>Ra*Rb/(Ra+Rb)</f>
        <v>15.412087912087912</v>
      </c>
      <c r="D63" s="154"/>
      <c r="E63" s="121"/>
      <c r="F63" s="30" t="s">
        <v>93</v>
      </c>
      <c r="G63" s="153"/>
      <c r="H63" s="148"/>
      <c r="I63" s="148"/>
      <c r="J63" s="148"/>
    </row>
    <row r="64" spans="1:10" x14ac:dyDescent="0.25">
      <c r="A64" s="31" t="s">
        <v>100</v>
      </c>
      <c r="B64" s="31"/>
      <c r="C64" s="117">
        <f>0.5*Lmag*0.001*(Vcs_min/(Rcs))^2*(Fsw_min*1000)</f>
        <v>5.9146176822188208</v>
      </c>
      <c r="D64" s="130"/>
      <c r="E64" s="121">
        <f t="shared" si="0"/>
        <v>5.9146176822188208</v>
      </c>
      <c r="F64" s="30" t="s">
        <v>96</v>
      </c>
    </row>
    <row r="65" spans="1:14" x14ac:dyDescent="0.25">
      <c r="A65" s="47" t="s">
        <v>153</v>
      </c>
      <c r="C65" s="117">
        <f>(Vout^2-Vout*V_LED)/(2*P_preload_min)</f>
        <v>30.771219676150594</v>
      </c>
      <c r="D65" s="130"/>
      <c r="E65" s="121">
        <f t="shared" si="0"/>
        <v>30.771219676150594</v>
      </c>
      <c r="F65" s="30" t="s">
        <v>93</v>
      </c>
    </row>
    <row r="66" spans="1:14" ht="19.5" x14ac:dyDescent="0.35">
      <c r="A66" s="47" t="s">
        <v>136</v>
      </c>
      <c r="B66" s="47" t="s">
        <v>137</v>
      </c>
      <c r="C66" s="117">
        <f t="array" ref="C66">10^INT(LOG(E65))*INDEX((E_Series_Values!$D$2:$D$26),MATCH(MIN(IF((E_Series_Values!$D$2:$D$26)-(E65/10^INT(LOG(E65)))&gt;0,(E_Series_Values!$D$2:$D$26)-(E65/10^INT(LOG(E65))),10)),(E_Series_Values!$D$2:$D$26)-(E65/10^INT(LOG(E65))),0)-1)</f>
        <v>30</v>
      </c>
      <c r="D66" s="138"/>
      <c r="E66" s="121">
        <f t="shared" si="0"/>
        <v>30</v>
      </c>
      <c r="F66" s="30" t="s">
        <v>93</v>
      </c>
    </row>
    <row r="67" spans="1:14" ht="19.5" x14ac:dyDescent="0.35">
      <c r="A67" s="47" t="s">
        <v>98</v>
      </c>
      <c r="B67" s="30" t="s">
        <v>103</v>
      </c>
      <c r="C67" s="117">
        <f>1/(Rcs*0.001)*N*Kcc_1/(Kcc_2+Vout*N)</f>
        <v>2.0957498663665115</v>
      </c>
      <c r="D67" s="138"/>
      <c r="E67" s="121">
        <f>Iout_limit</f>
        <v>2.0957498663665115</v>
      </c>
      <c r="F67" s="30" t="s">
        <v>13</v>
      </c>
    </row>
    <row r="68" spans="1:14" ht="18.75" x14ac:dyDescent="0.35">
      <c r="A68" s="47" t="s">
        <v>101</v>
      </c>
      <c r="B68" s="30" t="s">
        <v>102</v>
      </c>
      <c r="C68" s="117">
        <f>SQRT((Vcs_max*N/(Rcs*pnir)*SQRT(Vbulkmin_nom/(3*(Vbulkmin_nom+N*(Vout+V_rect)))))^2-Inom^2)</f>
        <v>1.6939167467826892</v>
      </c>
      <c r="D68" s="138"/>
      <c r="E68" s="122">
        <f>I_cout_limit</f>
        <v>1.6939167467826892</v>
      </c>
      <c r="F68" s="30" t="s">
        <v>13</v>
      </c>
    </row>
    <row r="69" spans="1:14" ht="30.75" x14ac:dyDescent="0.25">
      <c r="A69" s="31" t="s">
        <v>106</v>
      </c>
      <c r="B69" s="30" t="s">
        <v>107</v>
      </c>
      <c r="C69" s="118">
        <f>Cbias*0.000001*(Vddstart_min-Vddreset_max)/(Vacpk_max-V_selv)*1000000000</f>
        <v>456.35523747134653</v>
      </c>
      <c r="D69" s="138"/>
      <c r="E69" s="122">
        <f>Xcap_max</f>
        <v>456.35523747134653</v>
      </c>
      <c r="F69" s="30" t="s">
        <v>105</v>
      </c>
    </row>
    <row r="70" spans="1:14" x14ac:dyDescent="0.25">
      <c r="A70" s="47"/>
      <c r="B70" s="30"/>
      <c r="C70" s="117"/>
      <c r="D70" s="26"/>
      <c r="E70" s="26"/>
      <c r="F70" s="30"/>
    </row>
    <row r="71" spans="1:14" ht="71.45" customHeight="1" x14ac:dyDescent="0.25">
      <c r="A71" s="47"/>
      <c r="B71" s="30"/>
      <c r="C71" s="139" t="str">
        <f>IF(AND((10&lt;((Ra*Rb)/(Ra+Rb))),(((Ra*Rb)/(Ra+Rb))&lt;20)),"Ok","Rth out of Range,
Increase Nbias/Npri turns ratio")</f>
        <v>Ok</v>
      </c>
      <c r="D71" s="26"/>
      <c r="E71" s="26"/>
      <c r="F71" s="30"/>
      <c r="G71" s="169" t="s">
        <v>183</v>
      </c>
      <c r="H71" s="170"/>
      <c r="I71" s="170"/>
      <c r="J71" s="170"/>
    </row>
    <row r="72" spans="1:14" x14ac:dyDescent="0.25">
      <c r="A72" s="47"/>
      <c r="B72" s="30"/>
      <c r="C72" s="117"/>
      <c r="D72" s="26"/>
      <c r="E72" s="26"/>
      <c r="F72" s="30"/>
    </row>
    <row r="73" spans="1:14" ht="51" customHeight="1" x14ac:dyDescent="0.25">
      <c r="A73" s="47"/>
      <c r="B73" s="30"/>
      <c r="C73" s="139" t="str">
        <f>IF(Cbias*0.000001&gt;=Cx_cap*0.000000001*(Vacpk_max-V_selv)/(Vddstart_min-Vddreset_max),"Ok","Insufficient Vdd capacitance")</f>
        <v>Ok</v>
      </c>
      <c r="D73" s="26"/>
      <c r="E73" s="26"/>
      <c r="F73" s="30"/>
      <c r="G73" s="169" t="s">
        <v>138</v>
      </c>
      <c r="H73" s="170"/>
      <c r="I73" s="170"/>
      <c r="J73" s="170"/>
      <c r="L73" s="20"/>
    </row>
    <row r="74" spans="1:14" x14ac:dyDescent="0.25">
      <c r="A74" s="47"/>
      <c r="B74" s="30"/>
      <c r="C74" s="120"/>
      <c r="D74" s="26"/>
      <c r="E74" s="101"/>
      <c r="F74" s="30"/>
      <c r="G74" s="53"/>
      <c r="J74" s="4"/>
    </row>
    <row r="75" spans="1:14" ht="72" customHeight="1" x14ac:dyDescent="0.25">
      <c r="A75" s="21"/>
      <c r="B75" s="30"/>
      <c r="C75" s="139" t="str">
        <f>IF(Cbulk&lt;=(Pnom/Eff)/(4*(Vacpk_max^2-V_selv^2))*1000000,"Ok","Too much Bulk capacitance")</f>
        <v>Ok</v>
      </c>
      <c r="D75" s="26"/>
      <c r="E75" s="26"/>
      <c r="F75" s="30"/>
      <c r="G75" s="166" t="s">
        <v>111</v>
      </c>
      <c r="H75" s="167"/>
      <c r="I75" s="167"/>
      <c r="J75" s="167"/>
      <c r="L75" s="21"/>
      <c r="N75" s="21"/>
    </row>
    <row r="76" spans="1:14" x14ac:dyDescent="0.25">
      <c r="A76" s="31"/>
      <c r="B76" s="31"/>
      <c r="C76" s="120"/>
      <c r="D76" s="26"/>
      <c r="E76" s="101"/>
      <c r="F76" s="30"/>
      <c r="G76" s="53"/>
      <c r="J76" s="4"/>
    </row>
    <row r="77" spans="1:14" ht="49.5" customHeight="1" x14ac:dyDescent="0.25">
      <c r="A77" s="47"/>
      <c r="B77" s="151"/>
      <c r="C77" s="149" t="str">
        <f>IF(Rcs*0.001/(Lmag*0.000001)&lt;=(Vcs_min*0.001)/(t_smp*0.000001*N*(Vout+V_rect)),"True","FALSE, 
Increase Lpri or reduce Rcs")</f>
        <v>True</v>
      </c>
      <c r="D77" s="26"/>
      <c r="E77" s="26"/>
      <c r="F77" s="30"/>
      <c r="G77" s="166" t="s">
        <v>109</v>
      </c>
      <c r="H77" s="167"/>
      <c r="I77" s="167"/>
      <c r="J77" s="167"/>
      <c r="L77" s="20"/>
    </row>
    <row r="78" spans="1:14" x14ac:dyDescent="0.25">
      <c r="A78" s="47"/>
      <c r="B78" s="140"/>
      <c r="C78" s="150"/>
      <c r="D78" s="26"/>
      <c r="E78" s="101"/>
      <c r="F78" s="30"/>
      <c r="G78" s="53"/>
      <c r="J78" s="4"/>
    </row>
    <row r="79" spans="1:14" ht="51" customHeight="1" x14ac:dyDescent="0.25">
      <c r="A79" s="47"/>
      <c r="B79" s="152"/>
      <c r="C79" s="149" t="str">
        <f>IF(Rcs*0.001/(Lmag*0.000001)&lt;=(Vcs_min*0.001)/(t_smp*0.000001*N*(Vout+V_rect)),"True","FALSE, 
Increase Lpri or reduce Rcs")</f>
        <v>True</v>
      </c>
      <c r="D79" s="26"/>
      <c r="E79" s="26"/>
      <c r="F79" s="30"/>
      <c r="G79" s="166" t="s">
        <v>110</v>
      </c>
      <c r="H79" s="167"/>
      <c r="I79" s="167"/>
      <c r="J79" s="167"/>
      <c r="L79" s="20"/>
    </row>
    <row r="80" spans="1:14" x14ac:dyDescent="0.25">
      <c r="A80" s="47"/>
      <c r="B80" s="30"/>
      <c r="C80" s="38"/>
      <c r="D80" s="26"/>
      <c r="E80" s="101"/>
      <c r="F80" s="30"/>
    </row>
    <row r="81" spans="1:6" x14ac:dyDescent="0.25">
      <c r="A81" s="48"/>
      <c r="B81" s="47"/>
      <c r="C81" s="47"/>
      <c r="D81" s="26"/>
      <c r="E81" s="26"/>
      <c r="F81" s="47"/>
    </row>
  </sheetData>
  <sheetProtection password="EDDD" sheet="1" objects="1" scenarios="1"/>
  <mergeCells count="11">
    <mergeCell ref="F26:I26"/>
    <mergeCell ref="G75:J75"/>
    <mergeCell ref="G77:J77"/>
    <mergeCell ref="G79:J79"/>
    <mergeCell ref="F27:J27"/>
    <mergeCell ref="F29:J29"/>
    <mergeCell ref="F31:J31"/>
    <mergeCell ref="G62:J62"/>
    <mergeCell ref="G73:J73"/>
    <mergeCell ref="E36:J36"/>
    <mergeCell ref="G71:J71"/>
  </mergeCells>
  <conditionalFormatting sqref="C77 C75 E27 E29 E31 C71:C73">
    <cfRule type="containsText" dxfId="7" priority="53" operator="containsText" text="OK">
      <formula>NOT(ISERROR(SEARCH("OK",C27)))</formula>
    </cfRule>
  </conditionalFormatting>
  <conditionalFormatting sqref="E31 C77 C73 C75 E27 E29">
    <cfRule type="containsText" dxfId="6" priority="52" operator="containsText" text="Insufficient Vdd capacitance">
      <formula>NOT(ISERROR(SEARCH("Insufficient Vdd capacitance",C27)))</formula>
    </cfRule>
  </conditionalFormatting>
  <conditionalFormatting sqref="C75">
    <cfRule type="containsText" dxfId="5" priority="6" operator="containsText" text="Too much Bulk capacitance">
      <formula>NOT(ISERROR(SEARCH("Too much Bulk capacitance",C75)))</formula>
    </cfRule>
  </conditionalFormatting>
  <conditionalFormatting sqref="C77:C79">
    <cfRule type="containsText" dxfId="4" priority="4" operator="containsText" text="False">
      <formula>NOT(ISERROR(SEARCH("False",C77)))</formula>
    </cfRule>
    <cfRule type="containsText" dxfId="3" priority="5" operator="containsText" text="TRUE">
      <formula>NOT(ISERROR(SEARCH("TRUE",C77)))</formula>
    </cfRule>
  </conditionalFormatting>
  <conditionalFormatting sqref="C71">
    <cfRule type="containsText" dxfId="2" priority="1" operator="containsText" text="Rth out of Range">
      <formula>NOT(ISERROR(SEARCH("Rth out of Range",C71)))</formula>
    </cfRule>
  </conditionalFormatting>
  <hyperlinks>
    <hyperlink ref="F26" location="Diagrams!A2" display="See &quot;Line and bulk voltage&quot; explanatory diagram"/>
    <hyperlink ref="C3" r:id="rId1" display=" UCC28630.pdf"/>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6" r:id="rId5" name="Option Button 8">
              <controlPr locked="0" defaultSize="0" autoFill="0" autoLine="0" autoPict="0">
                <anchor moveWithCells="1">
                  <from>
                    <xdr:col>3</xdr:col>
                    <xdr:colOff>66675</xdr:colOff>
                    <xdr:row>14</xdr:row>
                    <xdr:rowOff>38100</xdr:rowOff>
                  </from>
                  <to>
                    <xdr:col>4</xdr:col>
                    <xdr:colOff>123825</xdr:colOff>
                    <xdr:row>14</xdr:row>
                    <xdr:rowOff>295275</xdr:rowOff>
                  </to>
                </anchor>
              </controlPr>
            </control>
          </mc:Choice>
        </mc:AlternateContent>
        <mc:AlternateContent xmlns:mc="http://schemas.openxmlformats.org/markup-compatibility/2006">
          <mc:Choice Requires="x14">
            <control shapeId="2058" r:id="rId6" name="Option Button 10">
              <controlPr locked="0" defaultSize="0" autoFill="0" autoLine="0" autoPict="0">
                <anchor moveWithCells="1">
                  <from>
                    <xdr:col>3</xdr:col>
                    <xdr:colOff>66675</xdr:colOff>
                    <xdr:row>14</xdr:row>
                    <xdr:rowOff>314325</xdr:rowOff>
                  </from>
                  <to>
                    <xdr:col>4</xdr:col>
                    <xdr:colOff>123825</xdr:colOff>
                    <xdr:row>14</xdr:row>
                    <xdr:rowOff>571500</xdr:rowOff>
                  </to>
                </anchor>
              </controlPr>
            </control>
          </mc:Choice>
        </mc:AlternateContent>
        <mc:AlternateContent xmlns:mc="http://schemas.openxmlformats.org/markup-compatibility/2006">
          <mc:Choice Requires="x14">
            <control shapeId="2059" r:id="rId7" name="Option Button 11">
              <controlPr locked="0" defaultSize="0" autoFill="0" autoLine="0" autoPict="0">
                <anchor moveWithCells="1">
                  <from>
                    <xdr:col>3</xdr:col>
                    <xdr:colOff>66675</xdr:colOff>
                    <xdr:row>14</xdr:row>
                    <xdr:rowOff>590550</xdr:rowOff>
                  </from>
                  <to>
                    <xdr:col>4</xdr:col>
                    <xdr:colOff>123825</xdr:colOff>
                    <xdr:row>14</xdr:row>
                    <xdr:rowOff>809625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3"/>
  <sheetViews>
    <sheetView workbookViewId="0">
      <selection activeCell="D36" sqref="D36"/>
    </sheetView>
  </sheetViews>
  <sheetFormatPr defaultRowHeight="15" x14ac:dyDescent="0.25"/>
  <cols>
    <col min="2" max="2" width="12.7109375" bestFit="1" customWidth="1"/>
  </cols>
  <sheetData>
    <row r="1" spans="1:3" ht="15.75" x14ac:dyDescent="0.25">
      <c r="A1" s="24" t="s">
        <v>118</v>
      </c>
    </row>
    <row r="2" spans="1:3" ht="15.75" x14ac:dyDescent="0.25">
      <c r="A2" s="24"/>
    </row>
    <row r="3" spans="1:3" ht="18" x14ac:dyDescent="0.35">
      <c r="B3" t="s">
        <v>58</v>
      </c>
      <c r="C3">
        <v>800</v>
      </c>
    </row>
    <row r="4" spans="1:3" ht="18" x14ac:dyDescent="0.35">
      <c r="B4" t="s">
        <v>59</v>
      </c>
      <c r="C4">
        <v>172</v>
      </c>
    </row>
    <row r="5" spans="1:3" ht="18" x14ac:dyDescent="0.35">
      <c r="B5" t="s">
        <v>40</v>
      </c>
      <c r="C5">
        <v>13</v>
      </c>
    </row>
    <row r="6" spans="1:3" ht="18" x14ac:dyDescent="0.35">
      <c r="B6" t="s">
        <v>41</v>
      </c>
      <c r="C6">
        <v>16.5</v>
      </c>
    </row>
    <row r="7" spans="1:3" ht="18" x14ac:dyDescent="0.35">
      <c r="B7" t="s">
        <v>42</v>
      </c>
      <c r="C7">
        <v>0.2</v>
      </c>
    </row>
    <row r="8" spans="1:3" ht="18" x14ac:dyDescent="0.35">
      <c r="B8" t="s">
        <v>43</v>
      </c>
      <c r="C8">
        <v>60</v>
      </c>
    </row>
    <row r="9" spans="1:3" ht="18" x14ac:dyDescent="0.35">
      <c r="B9" t="s">
        <v>44</v>
      </c>
      <c r="C9">
        <v>120</v>
      </c>
    </row>
    <row r="10" spans="1:3" ht="18" x14ac:dyDescent="0.35">
      <c r="B10" s="17" t="s">
        <v>45</v>
      </c>
      <c r="C10">
        <v>7.5</v>
      </c>
    </row>
    <row r="11" spans="1:3" ht="18" x14ac:dyDescent="0.35">
      <c r="B11" s="17" t="s">
        <v>46</v>
      </c>
      <c r="C11">
        <v>8.5</v>
      </c>
    </row>
    <row r="12" spans="1:3" ht="18" x14ac:dyDescent="0.35">
      <c r="B12" s="17" t="s">
        <v>47</v>
      </c>
      <c r="C12">
        <v>6.5</v>
      </c>
    </row>
    <row r="13" spans="1:3" ht="18" x14ac:dyDescent="0.35">
      <c r="B13" s="17" t="s">
        <v>48</v>
      </c>
      <c r="C13">
        <v>9</v>
      </c>
    </row>
    <row r="14" spans="1:3" ht="18" x14ac:dyDescent="0.35">
      <c r="B14" s="17" t="s">
        <v>49</v>
      </c>
      <c r="C14">
        <v>44.5</v>
      </c>
    </row>
    <row r="15" spans="1:3" ht="18" x14ac:dyDescent="0.35">
      <c r="B15" s="17" t="s">
        <v>50</v>
      </c>
      <c r="C15">
        <v>69.5</v>
      </c>
    </row>
    <row r="16" spans="1:3" ht="18" x14ac:dyDescent="0.35">
      <c r="B16" s="17" t="s">
        <v>51</v>
      </c>
      <c r="C16">
        <v>49.25</v>
      </c>
    </row>
    <row r="17" spans="2:3" ht="18" x14ac:dyDescent="0.35">
      <c r="B17" s="17" t="s">
        <v>52</v>
      </c>
      <c r="C17" s="18">
        <v>0.7</v>
      </c>
    </row>
    <row r="18" spans="2:3" x14ac:dyDescent="0.25">
      <c r="B18" s="17" t="s">
        <v>53</v>
      </c>
      <c r="C18">
        <v>2</v>
      </c>
    </row>
    <row r="19" spans="2:3" x14ac:dyDescent="0.25">
      <c r="B19" s="17" t="s">
        <v>35</v>
      </c>
      <c r="C19">
        <v>1.25</v>
      </c>
    </row>
    <row r="20" spans="2:3" x14ac:dyDescent="0.25">
      <c r="B20" s="17" t="s">
        <v>54</v>
      </c>
      <c r="C20">
        <v>2</v>
      </c>
    </row>
    <row r="21" spans="2:3" ht="18" x14ac:dyDescent="0.35">
      <c r="B21" s="17" t="s">
        <v>55</v>
      </c>
      <c r="C21">
        <v>600</v>
      </c>
    </row>
    <row r="22" spans="2:3" ht="18" x14ac:dyDescent="0.35">
      <c r="B22" s="17" t="s">
        <v>56</v>
      </c>
      <c r="C22">
        <v>1.7</v>
      </c>
    </row>
    <row r="23" spans="2:3" ht="18" x14ac:dyDescent="0.35">
      <c r="B23" s="17" t="s">
        <v>57</v>
      </c>
      <c r="C23">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98"/>
  <sheetViews>
    <sheetView topLeftCell="B1" workbookViewId="0">
      <selection activeCell="F48" sqref="F48"/>
    </sheetView>
  </sheetViews>
  <sheetFormatPr defaultRowHeight="15" x14ac:dyDescent="0.25"/>
  <cols>
    <col min="1" max="1" width="0" hidden="1" customWidth="1"/>
  </cols>
  <sheetData>
    <row r="1" spans="1:6" x14ac:dyDescent="0.25">
      <c r="B1" s="16" t="s">
        <v>91</v>
      </c>
      <c r="C1" s="16" t="s">
        <v>92</v>
      </c>
      <c r="D1" s="16" t="s">
        <v>39</v>
      </c>
      <c r="E1" s="16" t="s">
        <v>38</v>
      </c>
      <c r="F1" s="16" t="s">
        <v>37</v>
      </c>
    </row>
    <row r="2" spans="1:6" x14ac:dyDescent="0.25">
      <c r="A2">
        <v>1</v>
      </c>
      <c r="B2">
        <f>ROUND(10^((A2-1)/96),2)</f>
        <v>1</v>
      </c>
      <c r="C2">
        <f>ROUND(10^((A2-1)/48),2)</f>
        <v>1</v>
      </c>
      <c r="D2">
        <v>1</v>
      </c>
      <c r="E2">
        <v>1</v>
      </c>
      <c r="F2">
        <v>1</v>
      </c>
    </row>
    <row r="3" spans="1:6" x14ac:dyDescent="0.25">
      <c r="A3">
        <v>2</v>
      </c>
      <c r="B3">
        <f>ROUND(10^((A3-1)/96),2)</f>
        <v>1.02</v>
      </c>
      <c r="C3">
        <f t="shared" ref="C3:C48" si="0">ROUND(10^((A3-1)/48),2)</f>
        <v>1.05</v>
      </c>
      <c r="D3">
        <v>1.1000000000000001</v>
      </c>
      <c r="E3">
        <v>1.2</v>
      </c>
      <c r="F3">
        <v>1.5</v>
      </c>
    </row>
    <row r="4" spans="1:6" x14ac:dyDescent="0.25">
      <c r="A4">
        <v>3</v>
      </c>
      <c r="B4">
        <f>ROUND(10^((A4-1)/96),2)</f>
        <v>1.05</v>
      </c>
      <c r="C4">
        <f t="shared" si="0"/>
        <v>1.1000000000000001</v>
      </c>
      <c r="D4">
        <v>1.2</v>
      </c>
      <c r="E4">
        <v>1.5</v>
      </c>
      <c r="F4">
        <v>2.2000000000000002</v>
      </c>
    </row>
    <row r="5" spans="1:6" x14ac:dyDescent="0.25">
      <c r="A5">
        <v>4</v>
      </c>
      <c r="B5">
        <f>ROUND(10^((A5-1)/96),2)</f>
        <v>1.07</v>
      </c>
      <c r="C5">
        <f t="shared" si="0"/>
        <v>1.1499999999999999</v>
      </c>
      <c r="D5">
        <v>1.3</v>
      </c>
      <c r="E5">
        <v>1.8</v>
      </c>
      <c r="F5">
        <v>3.3</v>
      </c>
    </row>
    <row r="6" spans="1:6" x14ac:dyDescent="0.25">
      <c r="A6">
        <v>5</v>
      </c>
      <c r="B6">
        <f t="shared" ref="B6:B69" si="1">ROUND(10^((A6-1)/96),2)</f>
        <v>1.1000000000000001</v>
      </c>
      <c r="C6">
        <f t="shared" si="0"/>
        <v>1.21</v>
      </c>
      <c r="D6">
        <v>1.5</v>
      </c>
      <c r="E6">
        <v>2.2000000000000002</v>
      </c>
      <c r="F6">
        <v>4.7</v>
      </c>
    </row>
    <row r="7" spans="1:6" x14ac:dyDescent="0.25">
      <c r="A7">
        <v>6</v>
      </c>
      <c r="B7">
        <f t="shared" si="1"/>
        <v>1.1299999999999999</v>
      </c>
      <c r="C7">
        <f t="shared" si="0"/>
        <v>1.27</v>
      </c>
      <c r="D7">
        <v>1.6</v>
      </c>
      <c r="E7">
        <v>2.7</v>
      </c>
      <c r="F7">
        <v>6.8</v>
      </c>
    </row>
    <row r="8" spans="1:6" x14ac:dyDescent="0.25">
      <c r="A8">
        <v>7</v>
      </c>
      <c r="B8">
        <f t="shared" si="1"/>
        <v>1.1499999999999999</v>
      </c>
      <c r="C8">
        <f t="shared" si="0"/>
        <v>1.33</v>
      </c>
      <c r="D8">
        <v>1.8</v>
      </c>
      <c r="E8">
        <v>3.3</v>
      </c>
      <c r="F8">
        <v>10</v>
      </c>
    </row>
    <row r="9" spans="1:6" x14ac:dyDescent="0.25">
      <c r="A9">
        <v>8</v>
      </c>
      <c r="B9">
        <f t="shared" si="1"/>
        <v>1.18</v>
      </c>
      <c r="C9">
        <f t="shared" si="0"/>
        <v>1.4</v>
      </c>
      <c r="D9">
        <v>2</v>
      </c>
      <c r="E9">
        <v>3.9</v>
      </c>
    </row>
    <row r="10" spans="1:6" x14ac:dyDescent="0.25">
      <c r="A10">
        <v>9</v>
      </c>
      <c r="B10">
        <f t="shared" si="1"/>
        <v>1.21</v>
      </c>
      <c r="C10">
        <f t="shared" si="0"/>
        <v>1.47</v>
      </c>
      <c r="D10">
        <v>2.2000000000000002</v>
      </c>
      <c r="E10">
        <v>4.7</v>
      </c>
    </row>
    <row r="11" spans="1:6" x14ac:dyDescent="0.25">
      <c r="A11">
        <v>10</v>
      </c>
      <c r="B11">
        <f t="shared" si="1"/>
        <v>1.24</v>
      </c>
      <c r="C11">
        <f t="shared" si="0"/>
        <v>1.54</v>
      </c>
      <c r="D11">
        <v>2.4</v>
      </c>
      <c r="E11">
        <v>5.6</v>
      </c>
    </row>
    <row r="12" spans="1:6" x14ac:dyDescent="0.25">
      <c r="A12">
        <v>11</v>
      </c>
      <c r="B12">
        <f t="shared" si="1"/>
        <v>1.27</v>
      </c>
      <c r="C12">
        <f t="shared" si="0"/>
        <v>1.62</v>
      </c>
      <c r="D12">
        <v>2.7</v>
      </c>
      <c r="E12">
        <v>6.8</v>
      </c>
    </row>
    <row r="13" spans="1:6" x14ac:dyDescent="0.25">
      <c r="A13">
        <v>12</v>
      </c>
      <c r="B13">
        <f t="shared" si="1"/>
        <v>1.3</v>
      </c>
      <c r="C13">
        <f t="shared" si="0"/>
        <v>1.69</v>
      </c>
      <c r="D13">
        <v>3</v>
      </c>
      <c r="E13">
        <v>8.1999999999999993</v>
      </c>
    </row>
    <row r="14" spans="1:6" x14ac:dyDescent="0.25">
      <c r="A14">
        <v>13</v>
      </c>
      <c r="B14">
        <f t="shared" si="1"/>
        <v>1.33</v>
      </c>
      <c r="C14">
        <f t="shared" si="0"/>
        <v>1.78</v>
      </c>
      <c r="D14">
        <v>3.3</v>
      </c>
      <c r="E14">
        <v>10</v>
      </c>
    </row>
    <row r="15" spans="1:6" x14ac:dyDescent="0.25">
      <c r="A15">
        <v>14</v>
      </c>
      <c r="B15">
        <f t="shared" si="1"/>
        <v>1.37</v>
      </c>
      <c r="C15">
        <f t="shared" si="0"/>
        <v>1.87</v>
      </c>
      <c r="D15">
        <v>3.6</v>
      </c>
    </row>
    <row r="16" spans="1:6" x14ac:dyDescent="0.25">
      <c r="A16">
        <v>15</v>
      </c>
      <c r="B16">
        <f t="shared" si="1"/>
        <v>1.4</v>
      </c>
      <c r="C16">
        <f t="shared" si="0"/>
        <v>1.96</v>
      </c>
      <c r="D16">
        <v>3.9</v>
      </c>
    </row>
    <row r="17" spans="1:4" x14ac:dyDescent="0.25">
      <c r="A17">
        <v>16</v>
      </c>
      <c r="B17">
        <f t="shared" si="1"/>
        <v>1.43</v>
      </c>
      <c r="C17">
        <f t="shared" si="0"/>
        <v>2.0499999999999998</v>
      </c>
      <c r="D17">
        <v>4.3</v>
      </c>
    </row>
    <row r="18" spans="1:4" x14ac:dyDescent="0.25">
      <c r="A18">
        <v>17</v>
      </c>
      <c r="B18">
        <f t="shared" si="1"/>
        <v>1.47</v>
      </c>
      <c r="C18">
        <f t="shared" si="0"/>
        <v>2.15</v>
      </c>
      <c r="D18">
        <v>4.7</v>
      </c>
    </row>
    <row r="19" spans="1:4" x14ac:dyDescent="0.25">
      <c r="A19">
        <v>18</v>
      </c>
      <c r="B19">
        <f t="shared" si="1"/>
        <v>1.5</v>
      </c>
      <c r="C19">
        <f t="shared" si="0"/>
        <v>2.2599999999999998</v>
      </c>
      <c r="D19">
        <v>5.0999999999999996</v>
      </c>
    </row>
    <row r="20" spans="1:4" x14ac:dyDescent="0.25">
      <c r="A20">
        <v>19</v>
      </c>
      <c r="B20">
        <f t="shared" si="1"/>
        <v>1.54</v>
      </c>
      <c r="C20">
        <f t="shared" si="0"/>
        <v>2.37</v>
      </c>
      <c r="D20">
        <v>5.6</v>
      </c>
    </row>
    <row r="21" spans="1:4" x14ac:dyDescent="0.25">
      <c r="A21">
        <v>20</v>
      </c>
      <c r="B21">
        <f t="shared" si="1"/>
        <v>1.58</v>
      </c>
      <c r="C21">
        <f t="shared" si="0"/>
        <v>2.4900000000000002</v>
      </c>
      <c r="D21">
        <v>6.2</v>
      </c>
    </row>
    <row r="22" spans="1:4" x14ac:dyDescent="0.25">
      <c r="A22">
        <v>21</v>
      </c>
      <c r="B22">
        <f t="shared" si="1"/>
        <v>1.62</v>
      </c>
      <c r="C22">
        <f t="shared" si="0"/>
        <v>2.61</v>
      </c>
      <c r="D22">
        <v>6.8</v>
      </c>
    </row>
    <row r="23" spans="1:4" x14ac:dyDescent="0.25">
      <c r="A23">
        <v>22</v>
      </c>
      <c r="B23">
        <f t="shared" si="1"/>
        <v>1.65</v>
      </c>
      <c r="C23">
        <f t="shared" si="0"/>
        <v>2.74</v>
      </c>
      <c r="D23">
        <v>7.5</v>
      </c>
    </row>
    <row r="24" spans="1:4" x14ac:dyDescent="0.25">
      <c r="A24">
        <v>23</v>
      </c>
      <c r="B24">
        <f t="shared" si="1"/>
        <v>1.69</v>
      </c>
      <c r="C24">
        <f t="shared" si="0"/>
        <v>2.87</v>
      </c>
      <c r="D24">
        <v>8.1999999999999993</v>
      </c>
    </row>
    <row r="25" spans="1:4" x14ac:dyDescent="0.25">
      <c r="A25">
        <v>24</v>
      </c>
      <c r="B25">
        <f t="shared" si="1"/>
        <v>1.74</v>
      </c>
      <c r="C25">
        <f t="shared" si="0"/>
        <v>3.01</v>
      </c>
      <c r="D25">
        <v>9.1</v>
      </c>
    </row>
    <row r="26" spans="1:4" x14ac:dyDescent="0.25">
      <c r="A26">
        <v>25</v>
      </c>
      <c r="B26">
        <f t="shared" si="1"/>
        <v>1.78</v>
      </c>
      <c r="C26">
        <f t="shared" si="0"/>
        <v>3.16</v>
      </c>
      <c r="D26">
        <v>10</v>
      </c>
    </row>
    <row r="27" spans="1:4" x14ac:dyDescent="0.25">
      <c r="A27">
        <v>26</v>
      </c>
      <c r="B27">
        <f t="shared" si="1"/>
        <v>1.82</v>
      </c>
      <c r="C27">
        <f t="shared" si="0"/>
        <v>3.32</v>
      </c>
    </row>
    <row r="28" spans="1:4" x14ac:dyDescent="0.25">
      <c r="A28">
        <v>27</v>
      </c>
      <c r="B28">
        <f t="shared" si="1"/>
        <v>1.87</v>
      </c>
      <c r="C28">
        <f t="shared" si="0"/>
        <v>3.48</v>
      </c>
    </row>
    <row r="29" spans="1:4" x14ac:dyDescent="0.25">
      <c r="A29">
        <v>28</v>
      </c>
      <c r="B29">
        <f t="shared" si="1"/>
        <v>1.91</v>
      </c>
      <c r="C29">
        <f t="shared" si="0"/>
        <v>3.65</v>
      </c>
    </row>
    <row r="30" spans="1:4" x14ac:dyDescent="0.25">
      <c r="A30">
        <v>29</v>
      </c>
      <c r="B30">
        <f t="shared" si="1"/>
        <v>1.96</v>
      </c>
      <c r="C30">
        <f t="shared" si="0"/>
        <v>3.83</v>
      </c>
    </row>
    <row r="31" spans="1:4" x14ac:dyDescent="0.25">
      <c r="A31">
        <v>30</v>
      </c>
      <c r="B31">
        <f t="shared" si="1"/>
        <v>2</v>
      </c>
      <c r="C31">
        <f t="shared" si="0"/>
        <v>4.0199999999999996</v>
      </c>
    </row>
    <row r="32" spans="1:4" x14ac:dyDescent="0.25">
      <c r="A32">
        <v>31</v>
      </c>
      <c r="B32">
        <f t="shared" si="1"/>
        <v>2.0499999999999998</v>
      </c>
      <c r="C32">
        <f t="shared" si="0"/>
        <v>4.22</v>
      </c>
    </row>
    <row r="33" spans="1:3" x14ac:dyDescent="0.25">
      <c r="A33">
        <v>32</v>
      </c>
      <c r="B33">
        <f t="shared" si="1"/>
        <v>2.1</v>
      </c>
      <c r="C33">
        <f t="shared" si="0"/>
        <v>4.42</v>
      </c>
    </row>
    <row r="34" spans="1:3" x14ac:dyDescent="0.25">
      <c r="A34">
        <v>33</v>
      </c>
      <c r="B34">
        <f t="shared" si="1"/>
        <v>2.15</v>
      </c>
      <c r="C34">
        <f t="shared" si="0"/>
        <v>4.6399999999999997</v>
      </c>
    </row>
    <row r="35" spans="1:3" x14ac:dyDescent="0.25">
      <c r="A35">
        <v>34</v>
      </c>
      <c r="B35">
        <f t="shared" si="1"/>
        <v>2.21</v>
      </c>
      <c r="C35">
        <f t="shared" si="0"/>
        <v>4.87</v>
      </c>
    </row>
    <row r="36" spans="1:3" x14ac:dyDescent="0.25">
      <c r="A36">
        <v>35</v>
      </c>
      <c r="B36">
        <f t="shared" si="1"/>
        <v>2.2599999999999998</v>
      </c>
      <c r="C36">
        <f t="shared" si="0"/>
        <v>5.1100000000000003</v>
      </c>
    </row>
    <row r="37" spans="1:3" x14ac:dyDescent="0.25">
      <c r="A37">
        <v>36</v>
      </c>
      <c r="B37">
        <f t="shared" si="1"/>
        <v>2.3199999999999998</v>
      </c>
      <c r="C37">
        <f t="shared" si="0"/>
        <v>5.36</v>
      </c>
    </row>
    <row r="38" spans="1:3" x14ac:dyDescent="0.25">
      <c r="A38">
        <v>37</v>
      </c>
      <c r="B38">
        <f t="shared" si="1"/>
        <v>2.37</v>
      </c>
      <c r="C38">
        <f t="shared" si="0"/>
        <v>5.62</v>
      </c>
    </row>
    <row r="39" spans="1:3" x14ac:dyDescent="0.25">
      <c r="A39">
        <v>38</v>
      </c>
      <c r="B39">
        <f t="shared" si="1"/>
        <v>2.4300000000000002</v>
      </c>
      <c r="C39">
        <f t="shared" si="0"/>
        <v>5.9</v>
      </c>
    </row>
    <row r="40" spans="1:3" x14ac:dyDescent="0.25">
      <c r="A40">
        <v>39</v>
      </c>
      <c r="B40">
        <f t="shared" si="1"/>
        <v>2.4900000000000002</v>
      </c>
      <c r="C40">
        <f t="shared" si="0"/>
        <v>6.19</v>
      </c>
    </row>
    <row r="41" spans="1:3" x14ac:dyDescent="0.25">
      <c r="A41">
        <v>40</v>
      </c>
      <c r="B41">
        <f t="shared" si="1"/>
        <v>2.5499999999999998</v>
      </c>
      <c r="C41">
        <f t="shared" si="0"/>
        <v>6.49</v>
      </c>
    </row>
    <row r="42" spans="1:3" x14ac:dyDescent="0.25">
      <c r="A42">
        <v>41</v>
      </c>
      <c r="B42">
        <f t="shared" si="1"/>
        <v>2.61</v>
      </c>
      <c r="C42">
        <f t="shared" si="0"/>
        <v>6.81</v>
      </c>
    </row>
    <row r="43" spans="1:3" x14ac:dyDescent="0.25">
      <c r="A43">
        <v>42</v>
      </c>
      <c r="B43">
        <f t="shared" si="1"/>
        <v>2.67</v>
      </c>
      <c r="C43">
        <f t="shared" si="0"/>
        <v>7.15</v>
      </c>
    </row>
    <row r="44" spans="1:3" x14ac:dyDescent="0.25">
      <c r="A44">
        <v>43</v>
      </c>
      <c r="B44">
        <f t="shared" si="1"/>
        <v>2.74</v>
      </c>
      <c r="C44">
        <f t="shared" si="0"/>
        <v>7.5</v>
      </c>
    </row>
    <row r="45" spans="1:3" x14ac:dyDescent="0.25">
      <c r="A45">
        <v>44</v>
      </c>
      <c r="B45">
        <f t="shared" si="1"/>
        <v>2.8</v>
      </c>
      <c r="C45">
        <f t="shared" si="0"/>
        <v>7.87</v>
      </c>
    </row>
    <row r="46" spans="1:3" x14ac:dyDescent="0.25">
      <c r="A46">
        <v>45</v>
      </c>
      <c r="B46">
        <f t="shared" si="1"/>
        <v>2.87</v>
      </c>
      <c r="C46">
        <f t="shared" si="0"/>
        <v>8.25</v>
      </c>
    </row>
    <row r="47" spans="1:3" x14ac:dyDescent="0.25">
      <c r="A47">
        <v>46</v>
      </c>
      <c r="B47">
        <f t="shared" si="1"/>
        <v>2.94</v>
      </c>
      <c r="C47">
        <f t="shared" si="0"/>
        <v>8.66</v>
      </c>
    </row>
    <row r="48" spans="1:3" x14ac:dyDescent="0.25">
      <c r="A48">
        <v>47</v>
      </c>
      <c r="B48">
        <f t="shared" si="1"/>
        <v>3.01</v>
      </c>
      <c r="C48">
        <f t="shared" si="0"/>
        <v>9.09</v>
      </c>
    </row>
    <row r="49" spans="1:3" x14ac:dyDescent="0.25">
      <c r="A49">
        <v>48</v>
      </c>
      <c r="B49">
        <f t="shared" si="1"/>
        <v>3.09</v>
      </c>
      <c r="C49">
        <f>ROUND(10^((A49-1)/48),2)</f>
        <v>9.5299999999999994</v>
      </c>
    </row>
    <row r="50" spans="1:3" x14ac:dyDescent="0.25">
      <c r="A50">
        <v>49</v>
      </c>
      <c r="B50">
        <f t="shared" si="1"/>
        <v>3.16</v>
      </c>
      <c r="C50">
        <v>10</v>
      </c>
    </row>
    <row r="51" spans="1:3" x14ac:dyDescent="0.25">
      <c r="A51">
        <v>50</v>
      </c>
      <c r="B51">
        <f t="shared" si="1"/>
        <v>3.24</v>
      </c>
    </row>
    <row r="52" spans="1:3" x14ac:dyDescent="0.25">
      <c r="A52">
        <v>51</v>
      </c>
      <c r="B52">
        <f t="shared" si="1"/>
        <v>3.32</v>
      </c>
    </row>
    <row r="53" spans="1:3" x14ac:dyDescent="0.25">
      <c r="A53">
        <v>52</v>
      </c>
      <c r="B53">
        <f t="shared" si="1"/>
        <v>3.4</v>
      </c>
    </row>
    <row r="54" spans="1:3" x14ac:dyDescent="0.25">
      <c r="A54">
        <v>53</v>
      </c>
      <c r="B54">
        <f t="shared" si="1"/>
        <v>3.48</v>
      </c>
    </row>
    <row r="55" spans="1:3" x14ac:dyDescent="0.25">
      <c r="A55">
        <v>54</v>
      </c>
      <c r="B55">
        <f t="shared" si="1"/>
        <v>3.57</v>
      </c>
    </row>
    <row r="56" spans="1:3" x14ac:dyDescent="0.25">
      <c r="A56">
        <v>55</v>
      </c>
      <c r="B56">
        <f t="shared" si="1"/>
        <v>3.65</v>
      </c>
    </row>
    <row r="57" spans="1:3" x14ac:dyDescent="0.25">
      <c r="A57">
        <v>56</v>
      </c>
      <c r="B57">
        <f t="shared" si="1"/>
        <v>3.74</v>
      </c>
    </row>
    <row r="58" spans="1:3" x14ac:dyDescent="0.25">
      <c r="A58">
        <v>57</v>
      </c>
      <c r="B58">
        <f t="shared" si="1"/>
        <v>3.83</v>
      </c>
    </row>
    <row r="59" spans="1:3" x14ac:dyDescent="0.25">
      <c r="A59">
        <v>58</v>
      </c>
      <c r="B59">
        <f t="shared" si="1"/>
        <v>3.92</v>
      </c>
    </row>
    <row r="60" spans="1:3" x14ac:dyDescent="0.25">
      <c r="A60">
        <v>59</v>
      </c>
      <c r="B60">
        <f t="shared" si="1"/>
        <v>4.0199999999999996</v>
      </c>
    </row>
    <row r="61" spans="1:3" x14ac:dyDescent="0.25">
      <c r="A61">
        <v>60</v>
      </c>
      <c r="B61">
        <f t="shared" si="1"/>
        <v>4.12</v>
      </c>
    </row>
    <row r="62" spans="1:3" x14ac:dyDescent="0.25">
      <c r="A62">
        <v>61</v>
      </c>
      <c r="B62">
        <f t="shared" si="1"/>
        <v>4.22</v>
      </c>
    </row>
    <row r="63" spans="1:3" x14ac:dyDescent="0.25">
      <c r="A63">
        <v>62</v>
      </c>
      <c r="B63">
        <f t="shared" si="1"/>
        <v>4.32</v>
      </c>
    </row>
    <row r="64" spans="1:3" x14ac:dyDescent="0.25">
      <c r="A64">
        <v>63</v>
      </c>
      <c r="B64">
        <f t="shared" si="1"/>
        <v>4.42</v>
      </c>
    </row>
    <row r="65" spans="1:2" x14ac:dyDescent="0.25">
      <c r="A65">
        <v>64</v>
      </c>
      <c r="B65">
        <f t="shared" si="1"/>
        <v>4.53</v>
      </c>
    </row>
    <row r="66" spans="1:2" x14ac:dyDescent="0.25">
      <c r="A66">
        <v>65</v>
      </c>
      <c r="B66">
        <f t="shared" si="1"/>
        <v>4.6399999999999997</v>
      </c>
    </row>
    <row r="67" spans="1:2" x14ac:dyDescent="0.25">
      <c r="A67">
        <v>66</v>
      </c>
      <c r="B67">
        <f t="shared" si="1"/>
        <v>4.75</v>
      </c>
    </row>
    <row r="68" spans="1:2" x14ac:dyDescent="0.25">
      <c r="A68">
        <v>67</v>
      </c>
      <c r="B68">
        <f t="shared" si="1"/>
        <v>4.87</v>
      </c>
    </row>
    <row r="69" spans="1:2" x14ac:dyDescent="0.25">
      <c r="A69">
        <v>68</v>
      </c>
      <c r="B69">
        <f t="shared" si="1"/>
        <v>4.99</v>
      </c>
    </row>
    <row r="70" spans="1:2" x14ac:dyDescent="0.25">
      <c r="A70">
        <v>69</v>
      </c>
      <c r="B70">
        <f t="shared" ref="B70:B97" si="2">ROUND(10^((A70-1)/96),2)</f>
        <v>5.1100000000000003</v>
      </c>
    </row>
    <row r="71" spans="1:2" x14ac:dyDescent="0.25">
      <c r="A71">
        <v>70</v>
      </c>
      <c r="B71">
        <f t="shared" si="2"/>
        <v>5.23</v>
      </c>
    </row>
    <row r="72" spans="1:2" x14ac:dyDescent="0.25">
      <c r="A72">
        <v>71</v>
      </c>
      <c r="B72">
        <f t="shared" si="2"/>
        <v>5.36</v>
      </c>
    </row>
    <row r="73" spans="1:2" x14ac:dyDescent="0.25">
      <c r="A73">
        <v>72</v>
      </c>
      <c r="B73">
        <f t="shared" si="2"/>
        <v>5.49</v>
      </c>
    </row>
    <row r="74" spans="1:2" x14ac:dyDescent="0.25">
      <c r="A74">
        <v>73</v>
      </c>
      <c r="B74">
        <f t="shared" si="2"/>
        <v>5.62</v>
      </c>
    </row>
    <row r="75" spans="1:2" x14ac:dyDescent="0.25">
      <c r="A75">
        <v>74</v>
      </c>
      <c r="B75">
        <f t="shared" si="2"/>
        <v>5.76</v>
      </c>
    </row>
    <row r="76" spans="1:2" x14ac:dyDescent="0.25">
      <c r="A76">
        <v>75</v>
      </c>
      <c r="B76">
        <f t="shared" si="2"/>
        <v>5.9</v>
      </c>
    </row>
    <row r="77" spans="1:2" x14ac:dyDescent="0.25">
      <c r="A77">
        <v>76</v>
      </c>
      <c r="B77">
        <f t="shared" si="2"/>
        <v>6.04</v>
      </c>
    </row>
    <row r="78" spans="1:2" x14ac:dyDescent="0.25">
      <c r="A78">
        <v>77</v>
      </c>
      <c r="B78">
        <f t="shared" si="2"/>
        <v>6.19</v>
      </c>
    </row>
    <row r="79" spans="1:2" x14ac:dyDescent="0.25">
      <c r="A79">
        <v>78</v>
      </c>
      <c r="B79">
        <f t="shared" si="2"/>
        <v>6.34</v>
      </c>
    </row>
    <row r="80" spans="1:2" x14ac:dyDescent="0.25">
      <c r="A80">
        <v>79</v>
      </c>
      <c r="B80">
        <f t="shared" si="2"/>
        <v>6.49</v>
      </c>
    </row>
    <row r="81" spans="1:2" x14ac:dyDescent="0.25">
      <c r="A81">
        <v>80</v>
      </c>
      <c r="B81">
        <f t="shared" si="2"/>
        <v>6.65</v>
      </c>
    </row>
    <row r="82" spans="1:2" x14ac:dyDescent="0.25">
      <c r="A82">
        <v>81</v>
      </c>
      <c r="B82">
        <f t="shared" si="2"/>
        <v>6.81</v>
      </c>
    </row>
    <row r="83" spans="1:2" x14ac:dyDescent="0.25">
      <c r="A83">
        <v>82</v>
      </c>
      <c r="B83">
        <f t="shared" si="2"/>
        <v>6.98</v>
      </c>
    </row>
    <row r="84" spans="1:2" x14ac:dyDescent="0.25">
      <c r="A84">
        <v>83</v>
      </c>
      <c r="B84">
        <f t="shared" si="2"/>
        <v>7.15</v>
      </c>
    </row>
    <row r="85" spans="1:2" x14ac:dyDescent="0.25">
      <c r="A85">
        <v>84</v>
      </c>
      <c r="B85">
        <f t="shared" si="2"/>
        <v>7.32</v>
      </c>
    </row>
    <row r="86" spans="1:2" x14ac:dyDescent="0.25">
      <c r="A86">
        <v>85</v>
      </c>
      <c r="B86">
        <f t="shared" si="2"/>
        <v>7.5</v>
      </c>
    </row>
    <row r="87" spans="1:2" x14ac:dyDescent="0.25">
      <c r="A87">
        <v>86</v>
      </c>
      <c r="B87">
        <f t="shared" si="2"/>
        <v>7.68</v>
      </c>
    </row>
    <row r="88" spans="1:2" x14ac:dyDescent="0.25">
      <c r="A88">
        <v>87</v>
      </c>
      <c r="B88">
        <f t="shared" si="2"/>
        <v>7.87</v>
      </c>
    </row>
    <row r="89" spans="1:2" x14ac:dyDescent="0.25">
      <c r="A89">
        <v>88</v>
      </c>
      <c r="B89">
        <f t="shared" si="2"/>
        <v>8.06</v>
      </c>
    </row>
    <row r="90" spans="1:2" x14ac:dyDescent="0.25">
      <c r="A90">
        <v>89</v>
      </c>
      <c r="B90">
        <f t="shared" si="2"/>
        <v>8.25</v>
      </c>
    </row>
    <row r="91" spans="1:2" x14ac:dyDescent="0.25">
      <c r="A91">
        <v>90</v>
      </c>
      <c r="B91">
        <f t="shared" si="2"/>
        <v>8.4499999999999993</v>
      </c>
    </row>
    <row r="92" spans="1:2" x14ac:dyDescent="0.25">
      <c r="A92">
        <v>91</v>
      </c>
      <c r="B92">
        <f t="shared" si="2"/>
        <v>8.66</v>
      </c>
    </row>
    <row r="93" spans="1:2" x14ac:dyDescent="0.25">
      <c r="A93">
        <v>92</v>
      </c>
      <c r="B93">
        <f t="shared" si="2"/>
        <v>8.8699999999999992</v>
      </c>
    </row>
    <row r="94" spans="1:2" x14ac:dyDescent="0.25">
      <c r="A94">
        <v>93</v>
      </c>
      <c r="B94">
        <f t="shared" si="2"/>
        <v>9.09</v>
      </c>
    </row>
    <row r="95" spans="1:2" x14ac:dyDescent="0.25">
      <c r="A95">
        <v>94</v>
      </c>
      <c r="B95">
        <f t="shared" si="2"/>
        <v>9.31</v>
      </c>
    </row>
    <row r="96" spans="1:2" x14ac:dyDescent="0.25">
      <c r="A96">
        <v>95</v>
      </c>
      <c r="B96">
        <f t="shared" si="2"/>
        <v>9.5299999999999994</v>
      </c>
    </row>
    <row r="97" spans="1:2" x14ac:dyDescent="0.25">
      <c r="A97">
        <v>96</v>
      </c>
      <c r="B97">
        <f t="shared" si="2"/>
        <v>9.76</v>
      </c>
    </row>
    <row r="98" spans="1:2" x14ac:dyDescent="0.25">
      <c r="B98">
        <v>10</v>
      </c>
    </row>
  </sheetData>
  <conditionalFormatting sqref="D1:F26 B1:C1">
    <cfRule type="containsText" dxfId="1" priority="3" operator="containsText" text="False">
      <formula>NOT(ISERROR(SEARCH("False",B1)))</formula>
    </cfRule>
    <cfRule type="containsText" dxfId="0" priority="4" operator="containsText" text="True">
      <formula>NOT(ISERROR(SEARCH("True",B1)))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B29"/>
  <sheetViews>
    <sheetView workbookViewId="0">
      <selection activeCell="A2" sqref="A2"/>
    </sheetView>
  </sheetViews>
  <sheetFormatPr defaultRowHeight="15" x14ac:dyDescent="0.25"/>
  <cols>
    <col min="1" max="1" width="93.7109375" customWidth="1"/>
  </cols>
  <sheetData>
    <row r="2" spans="1:2" ht="66.599999999999994" customHeight="1" x14ac:dyDescent="0.25">
      <c r="A2" s="27"/>
      <c r="B2" s="28"/>
    </row>
    <row r="29" spans="1:1" x14ac:dyDescent="0.25">
      <c r="A29" s="29" t="s">
        <v>125</v>
      </c>
    </row>
  </sheetData>
  <hyperlinks>
    <hyperlink ref="A29" location="Calculations!F26" display="Return"/>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78</vt:i4>
      </vt:variant>
    </vt:vector>
  </HeadingPairs>
  <TitlesOfParts>
    <vt:vector size="84" baseType="lpstr">
      <vt:lpstr>Instructions</vt:lpstr>
      <vt:lpstr>Schematic</vt:lpstr>
      <vt:lpstr>Calculations</vt:lpstr>
      <vt:lpstr>Internal IC Parameters</vt:lpstr>
      <vt:lpstr>E_Series_Values</vt:lpstr>
      <vt:lpstr>Diagrams</vt:lpstr>
      <vt:lpstr>Ae</vt:lpstr>
      <vt:lpstr>Al</vt:lpstr>
      <vt:lpstr>Bpk</vt:lpstr>
      <vt:lpstr>Cbias</vt:lpstr>
      <vt:lpstr>Cbulk</vt:lpstr>
      <vt:lpstr>Cout</vt:lpstr>
      <vt:lpstr>Cx_cap</vt:lpstr>
      <vt:lpstr>Eff</vt:lpstr>
      <vt:lpstr>Fac_min</vt:lpstr>
      <vt:lpstr>Fsw_min</vt:lpstr>
      <vt:lpstr>Fsw_nom</vt:lpstr>
      <vt:lpstr>I_cout_limit</vt:lpstr>
      <vt:lpstr>Idd_run</vt:lpstr>
      <vt:lpstr>Imax</vt:lpstr>
      <vt:lpstr>Inom</vt:lpstr>
      <vt:lpstr>Iout_limit</vt:lpstr>
      <vt:lpstr>Ipk_max</vt:lpstr>
      <vt:lpstr>Kcc_1</vt:lpstr>
      <vt:lpstr>Kcc_2</vt:lpstr>
      <vt:lpstr>Kline</vt:lpstr>
      <vt:lpstr>Llk_sb</vt:lpstr>
      <vt:lpstr>Lmag</vt:lpstr>
      <vt:lpstr>N</vt:lpstr>
      <vt:lpstr>Nbias</vt:lpstr>
      <vt:lpstr>Npri</vt:lpstr>
      <vt:lpstr>Nsec</vt:lpstr>
      <vt:lpstr>P_ol</vt:lpstr>
      <vt:lpstr>P_preload_min</vt:lpstr>
      <vt:lpstr>Pmax</vt:lpstr>
      <vt:lpstr>pnfr</vt:lpstr>
      <vt:lpstr>pnir</vt:lpstr>
      <vt:lpstr>Pnom</vt:lpstr>
      <vt:lpstr>pnpr</vt:lpstr>
      <vt:lpstr>Qg_tot</vt:lpstr>
      <vt:lpstr>Ra</vt:lpstr>
      <vt:lpstr>Rb</vt:lpstr>
      <vt:lpstr>Rcs</vt:lpstr>
      <vt:lpstr>Rectifier_Derating</vt:lpstr>
      <vt:lpstr>Rectifier_Rating</vt:lpstr>
      <vt:lpstr>Rext</vt:lpstr>
      <vt:lpstr>Root_nom</vt:lpstr>
      <vt:lpstr>Root_pol</vt:lpstr>
      <vt:lpstr>Root_surge</vt:lpstr>
      <vt:lpstr>Rp</vt:lpstr>
      <vt:lpstr>T_pmax</vt:lpstr>
      <vt:lpstr>t_smp</vt:lpstr>
      <vt:lpstr>T_start</vt:lpstr>
      <vt:lpstr>Tmax</vt:lpstr>
      <vt:lpstr>ton_min</vt:lpstr>
      <vt:lpstr>tstart_del</vt:lpstr>
      <vt:lpstr>V_LED</vt:lpstr>
      <vt:lpstr>V_rect</vt:lpstr>
      <vt:lpstr>V_reflected</vt:lpstr>
      <vt:lpstr>V_selv</vt:lpstr>
      <vt:lpstr>Vac_max</vt:lpstr>
      <vt:lpstr>Vac_min</vt:lpstr>
      <vt:lpstr>Vac_nom</vt:lpstr>
      <vt:lpstr>Vacpk_max</vt:lpstr>
      <vt:lpstr>Vacpk_min</vt:lpstr>
      <vt:lpstr>Vacpk_nom</vt:lpstr>
      <vt:lpstr>Vbias</vt:lpstr>
      <vt:lpstr>Vbias_diode</vt:lpstr>
      <vt:lpstr>Vbulkmin_nom</vt:lpstr>
      <vt:lpstr>Vbulkmin_OL</vt:lpstr>
      <vt:lpstr>Vbulkmin_surge</vt:lpstr>
      <vt:lpstr>Vcs_max</vt:lpstr>
      <vt:lpstr>Vcs_min</vt:lpstr>
      <vt:lpstr>Vddreset_max</vt:lpstr>
      <vt:lpstr>Vddstart_max</vt:lpstr>
      <vt:lpstr>Vddstart_min</vt:lpstr>
      <vt:lpstr>Vddstop_max</vt:lpstr>
      <vt:lpstr>Vout</vt:lpstr>
      <vt:lpstr>Vout_ref</vt:lpstr>
      <vt:lpstr>wt2_nom</vt:lpstr>
      <vt:lpstr>wt2_pol</vt:lpstr>
      <vt:lpstr>wt2_surge</vt:lpstr>
      <vt:lpstr>Xcap_max</vt:lpstr>
      <vt:lpstr>δmax</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O'Loughlin, Mike</dc:creator>
  <cp:lastModifiedBy>Keogh, Bernard</cp:lastModifiedBy>
  <cp:lastPrinted>2012-11-20T20:35:46Z</cp:lastPrinted>
  <dcterms:created xsi:type="dcterms:W3CDTF">2012-11-07T18:17:02Z</dcterms:created>
  <dcterms:modified xsi:type="dcterms:W3CDTF">2014-07-21T10:50:12Z</dcterms:modified>
</cp:coreProperties>
</file>