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10V DCDC" sheetId="1" r:id="rId1"/>
    <sheet name="SM72422 MPPT controller" sheetId="4" r:id="rId2"/>
    <sheet name="SM72995 HBRIDGE DRV and AMP" sheetId="3" r:id="rId3"/>
    <sheet name="Inputs don't touch" sheetId="2" r:id="rId4"/>
  </sheets>
  <calcPr calcId="145621"/>
</workbook>
</file>

<file path=xl/calcChain.xml><?xml version="1.0" encoding="utf-8"?>
<calcChain xmlns="http://schemas.openxmlformats.org/spreadsheetml/2006/main">
  <c r="P21" i="3" l="1"/>
  <c r="O32" i="4"/>
  <c r="P10" i="3"/>
  <c r="O39" i="4" l="1"/>
  <c r="P38" i="4"/>
  <c r="N38" i="4"/>
  <c r="P37" i="4"/>
  <c r="N37" i="4"/>
  <c r="O19" i="4"/>
  <c r="P31" i="4"/>
  <c r="N31" i="4"/>
  <c r="P30" i="4"/>
  <c r="N30" i="4"/>
  <c r="O26" i="4"/>
  <c r="P25" i="4"/>
  <c r="N25" i="4"/>
  <c r="P24" i="4"/>
  <c r="N24" i="4"/>
  <c r="O20" i="4"/>
  <c r="P18" i="4"/>
  <c r="N18" i="4"/>
  <c r="P17" i="4"/>
  <c r="N17" i="4"/>
  <c r="O13" i="4"/>
  <c r="P12" i="4"/>
  <c r="N12" i="4"/>
  <c r="P11" i="4"/>
  <c r="P13" i="4" s="1"/>
  <c r="N11" i="4"/>
  <c r="N13" i="4" s="1"/>
  <c r="O9" i="4"/>
  <c r="P8" i="4"/>
  <c r="N8" i="4"/>
  <c r="P7" i="4"/>
  <c r="N7" i="4"/>
  <c r="P4" i="4"/>
  <c r="N4" i="4"/>
  <c r="Q19" i="3"/>
  <c r="O19" i="3"/>
  <c r="P20" i="3"/>
  <c r="O33" i="4" s="1"/>
  <c r="O18" i="3"/>
  <c r="Q18" i="3"/>
  <c r="Q17" i="3"/>
  <c r="O17" i="3"/>
  <c r="O7" i="3"/>
  <c r="Q7" i="3"/>
  <c r="Q6" i="3"/>
  <c r="O6" i="3"/>
  <c r="Q20" i="3" l="1"/>
  <c r="Q21" i="3" s="1"/>
  <c r="O22" i="3" s="1"/>
  <c r="O20" i="3"/>
  <c r="P22" i="3"/>
  <c r="P9" i="4"/>
  <c r="N9" i="4"/>
  <c r="O21" i="3"/>
  <c r="Q22" i="3" s="1"/>
  <c r="O10" i="3"/>
  <c r="Q10" i="3"/>
  <c r="O5" i="3"/>
  <c r="Q5" i="3"/>
  <c r="C23" i="1" l="1"/>
  <c r="C17" i="1"/>
  <c r="D17" i="1"/>
  <c r="B10" i="1"/>
  <c r="D10" i="1"/>
  <c r="C7" i="1"/>
  <c r="C9" i="1" s="1"/>
  <c r="C5" i="1"/>
  <c r="B4" i="1"/>
  <c r="D4" i="1"/>
  <c r="D3" i="1"/>
  <c r="B3" i="1"/>
  <c r="C11" i="1" l="1"/>
  <c r="C15" i="1" s="1"/>
  <c r="B17" i="1"/>
  <c r="B5" i="1"/>
  <c r="D5" i="1"/>
  <c r="B7" i="1"/>
  <c r="B9" i="1" s="1"/>
  <c r="D7" i="1"/>
  <c r="D9" i="1" s="1"/>
  <c r="C19" i="1" l="1"/>
  <c r="C20" i="1" s="1"/>
  <c r="B11" i="1"/>
  <c r="D19" i="1" s="1"/>
  <c r="D20" i="1" s="1"/>
  <c r="D22" i="1" s="1"/>
  <c r="D11" i="1"/>
  <c r="B19" i="1" s="1"/>
  <c r="B20" i="1" s="1"/>
  <c r="B22" i="1" s="1"/>
</calcChain>
</file>

<file path=xl/sharedStrings.xml><?xml version="1.0" encoding="utf-8"?>
<sst xmlns="http://schemas.openxmlformats.org/spreadsheetml/2006/main" count="150" uniqueCount="82">
  <si>
    <t>MIN</t>
  </si>
  <si>
    <t xml:space="preserve">TYP </t>
  </si>
  <si>
    <t>MAX</t>
  </si>
  <si>
    <t>Vin</t>
  </si>
  <si>
    <t>RFB1/1%</t>
  </si>
  <si>
    <t>RFB2/1%</t>
  </si>
  <si>
    <t>RFB1/RFB2</t>
  </si>
  <si>
    <t>Vout</t>
  </si>
  <si>
    <t>Vfb</t>
  </si>
  <si>
    <t>V</t>
  </si>
  <si>
    <t>Ratio</t>
  </si>
  <si>
    <t>Ohm</t>
  </si>
  <si>
    <t>Fmax</t>
  </si>
  <si>
    <t>kHz</t>
  </si>
  <si>
    <t>Fworking</t>
  </si>
  <si>
    <t>Rt/1%</t>
  </si>
  <si>
    <t>kOhm</t>
  </si>
  <si>
    <t>Io_minimum</t>
  </si>
  <si>
    <t>Lmin</t>
  </si>
  <si>
    <t>mA</t>
  </si>
  <si>
    <t>Iripple</t>
  </si>
  <si>
    <t>uH</t>
  </si>
  <si>
    <t>Ton time</t>
  </si>
  <si>
    <t>ns</t>
  </si>
  <si>
    <t>%</t>
  </si>
  <si>
    <t>Toff time@Fworking</t>
  </si>
  <si>
    <t>Tolerance for Ton and Toff</t>
  </si>
  <si>
    <t>us</t>
  </si>
  <si>
    <t>toff time including tolerance</t>
  </si>
  <si>
    <t>Delay for current limint</t>
  </si>
  <si>
    <t>toff_final</t>
  </si>
  <si>
    <t>Rcl min</t>
  </si>
  <si>
    <t>t*RCL = Vfb/(10-5/toff -0.285)</t>
  </si>
  <si>
    <t>(10-5/toff - 0.285)*(t/Vfb) = Rc</t>
  </si>
  <si>
    <t>Overvoltage Detection</t>
  </si>
  <si>
    <t>Parameter</t>
  </si>
  <si>
    <t>min</t>
  </si>
  <si>
    <t>typ</t>
  </si>
  <si>
    <t>max</t>
  </si>
  <si>
    <t>Vdd</t>
  </si>
  <si>
    <t>R1</t>
  </si>
  <si>
    <t>R2</t>
  </si>
  <si>
    <t>Diode voltage drop</t>
  </si>
  <si>
    <t>Output voltage</t>
  </si>
  <si>
    <t>Voltage on OVS</t>
  </si>
  <si>
    <t>Output voltage (change here)</t>
  </si>
  <si>
    <t>Amplifier sense settings</t>
  </si>
  <si>
    <t>Input current</t>
  </si>
  <si>
    <t>Output current</t>
  </si>
  <si>
    <t>A</t>
  </si>
  <si>
    <t>RI</t>
  </si>
  <si>
    <t>RL</t>
  </si>
  <si>
    <t>Rsense</t>
  </si>
  <si>
    <t>V/V</t>
  </si>
  <si>
    <t>Gain (V/V)</t>
  </si>
  <si>
    <t>Gain (A/V)</t>
  </si>
  <si>
    <t>Max measurable current</t>
  </si>
  <si>
    <t>Input voltage</t>
  </si>
  <si>
    <t>Ain Aout settings</t>
  </si>
  <si>
    <t>R1in</t>
  </si>
  <si>
    <t>R2in</t>
  </si>
  <si>
    <t>Analog voltage on Ain</t>
  </si>
  <si>
    <t>R1out</t>
  </si>
  <si>
    <t>R2out</t>
  </si>
  <si>
    <t>Analog voltage on Aout</t>
  </si>
  <si>
    <t>Rt1</t>
  </si>
  <si>
    <t>Rb1</t>
  </si>
  <si>
    <t>Vout_max before diode</t>
  </si>
  <si>
    <t>A0 Maximum output voltage</t>
  </si>
  <si>
    <t>A2 Entering power mode</t>
  </si>
  <si>
    <t>Rb2</t>
  </si>
  <si>
    <t>Rt2</t>
  </si>
  <si>
    <t>A4 Current limitation</t>
  </si>
  <si>
    <t>Va2</t>
  </si>
  <si>
    <t>Va4</t>
  </si>
  <si>
    <t>Limited current</t>
  </si>
  <si>
    <t>A6 Soft Start/Panel Mode</t>
  </si>
  <si>
    <t>Rt4</t>
  </si>
  <si>
    <t>Rb4</t>
  </si>
  <si>
    <t>Va6</t>
  </si>
  <si>
    <t>Rt6</t>
  </si>
  <si>
    <t>Rb6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</si>
</sst>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2" fontId="0" fillId="2" borderId="1" xfId="0" applyNumberFormat="1" applyFill="1" applyBorder="1"/>
    <xf numFmtId="2" fontId="2" fillId="3" borderId="1" xfId="0" applyNumberFormat="1" applyFont="1" applyFill="1" applyBorder="1"/>
    <xf numFmtId="2" fontId="2" fillId="0" borderId="1" xfId="0" applyNumberFormat="1" applyFont="1" applyBorder="1"/>
    <xf numFmtId="0" fontId="2" fillId="0" borderId="0" xfId="0" applyFont="1"/>
    <xf numFmtId="11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142876</xdr:rowOff>
    </xdr:from>
    <xdr:to>
      <xdr:col>21</xdr:col>
      <xdr:colOff>266700</xdr:colOff>
      <xdr:row>12</xdr:row>
      <xdr:rowOff>78424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5275" y="142876"/>
          <a:ext cx="4543425" cy="2221548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12</xdr:row>
      <xdr:rowOff>21857</xdr:rowOff>
    </xdr:from>
    <xdr:to>
      <xdr:col>21</xdr:col>
      <xdr:colOff>295275</xdr:colOff>
      <xdr:row>25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307857"/>
          <a:ext cx="4543425" cy="2597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38100</xdr:rowOff>
    </xdr:from>
    <xdr:to>
      <xdr:col>13</xdr:col>
      <xdr:colOff>600075</xdr:colOff>
      <xdr:row>2</xdr:row>
      <xdr:rowOff>109227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7450" y="38100"/>
          <a:ext cx="5457825" cy="45212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3</xdr:row>
      <xdr:rowOff>19050</xdr:rowOff>
    </xdr:from>
    <xdr:to>
      <xdr:col>13</xdr:col>
      <xdr:colOff>514351</xdr:colOff>
      <xdr:row>8</xdr:row>
      <xdr:rowOff>35419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7451" y="590550"/>
          <a:ext cx="5372100" cy="968869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9</xdr:row>
      <xdr:rowOff>1</xdr:rowOff>
    </xdr:from>
    <xdr:to>
      <xdr:col>13</xdr:col>
      <xdr:colOff>514350</xdr:colOff>
      <xdr:row>21</xdr:row>
      <xdr:rowOff>140115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26492" y="1714501"/>
          <a:ext cx="5396441" cy="2426114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23</xdr:row>
      <xdr:rowOff>57150</xdr:rowOff>
    </xdr:from>
    <xdr:to>
      <xdr:col>13</xdr:col>
      <xdr:colOff>476250</xdr:colOff>
      <xdr:row>25</xdr:row>
      <xdr:rowOff>30809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4248150"/>
          <a:ext cx="5343525" cy="35465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13</xdr:col>
      <xdr:colOff>447675</xdr:colOff>
      <xdr:row>27</xdr:row>
      <xdr:rowOff>35907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38400" y="4762500"/>
          <a:ext cx="5324475" cy="226407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28</xdr:row>
      <xdr:rowOff>0</xdr:rowOff>
    </xdr:from>
    <xdr:to>
      <xdr:col>13</xdr:col>
      <xdr:colOff>429628</xdr:colOff>
      <xdr:row>55</xdr:row>
      <xdr:rowOff>170629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38401" y="5143500"/>
          <a:ext cx="5306427" cy="5314129"/>
        </a:xfrm>
        <a:prstGeom prst="rect">
          <a:avLst/>
        </a:prstGeom>
      </xdr:spPr>
    </xdr:pic>
    <xdr:clientData/>
  </xdr:twoCellAnchor>
  <xdr:twoCellAnchor editAs="oneCell">
    <xdr:from>
      <xdr:col>11</xdr:col>
      <xdr:colOff>465667</xdr:colOff>
      <xdr:row>7</xdr:row>
      <xdr:rowOff>74083</xdr:rowOff>
    </xdr:from>
    <xdr:to>
      <xdr:col>13</xdr:col>
      <xdr:colOff>281622</xdr:colOff>
      <xdr:row>8</xdr:row>
      <xdr:rowOff>180725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02500" y="1407583"/>
          <a:ext cx="1043621" cy="297142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32</xdr:row>
      <xdr:rowOff>179917</xdr:rowOff>
    </xdr:from>
    <xdr:to>
      <xdr:col>16</xdr:col>
      <xdr:colOff>358572</xdr:colOff>
      <xdr:row>34</xdr:row>
      <xdr:rowOff>17965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006417" y="6275917"/>
          <a:ext cx="1628572" cy="219048"/>
        </a:xfrm>
        <a:prstGeom prst="rect">
          <a:avLst/>
        </a:prstGeom>
      </xdr:spPr>
    </xdr:pic>
    <xdr:clientData/>
  </xdr:twoCellAnchor>
  <xdr:twoCellAnchor editAs="oneCell">
    <xdr:from>
      <xdr:col>14</xdr:col>
      <xdr:colOff>31750</xdr:colOff>
      <xdr:row>34</xdr:row>
      <xdr:rowOff>179917</xdr:rowOff>
    </xdr:from>
    <xdr:to>
      <xdr:col>17</xdr:col>
      <xdr:colOff>571203</xdr:colOff>
      <xdr:row>35</xdr:row>
      <xdr:rowOff>179893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80500" y="6656917"/>
          <a:ext cx="2380953" cy="1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10</xdr:col>
      <xdr:colOff>599241</xdr:colOff>
      <xdr:row>8</xdr:row>
      <xdr:rowOff>18857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676191" cy="15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10</xdr:col>
      <xdr:colOff>504000</xdr:colOff>
      <xdr:row>13</xdr:row>
      <xdr:rowOff>123714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14500"/>
          <a:ext cx="6600000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10</xdr:col>
      <xdr:colOff>561143</xdr:colOff>
      <xdr:row>17</xdr:row>
      <xdr:rowOff>9454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676525"/>
          <a:ext cx="6657143" cy="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10</xdr:col>
      <xdr:colOff>513524</xdr:colOff>
      <xdr:row>23</xdr:row>
      <xdr:rowOff>9429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429000"/>
          <a:ext cx="6609524" cy="7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10</xdr:col>
      <xdr:colOff>542096</xdr:colOff>
      <xdr:row>35</xdr:row>
      <xdr:rowOff>75929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381500"/>
          <a:ext cx="6638096" cy="2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10</xdr:col>
      <xdr:colOff>599239</xdr:colOff>
      <xdr:row>47</xdr:row>
      <xdr:rowOff>171167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6667500"/>
          <a:ext cx="6695239" cy="2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54705</xdr:rowOff>
    </xdr:from>
    <xdr:to>
      <xdr:col>12</xdr:col>
      <xdr:colOff>519993</xdr:colOff>
      <xdr:row>66</xdr:row>
      <xdr:rowOff>159062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9198705"/>
          <a:ext cx="7781405" cy="33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427810</xdr:colOff>
      <xdr:row>3</xdr:row>
      <xdr:rowOff>123738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23810" cy="6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171450</xdr:rowOff>
    </xdr:from>
    <xdr:to>
      <xdr:col>10</xdr:col>
      <xdr:colOff>589715</xdr:colOff>
      <xdr:row>16</xdr:row>
      <xdr:rowOff>28283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"/>
          <a:ext cx="6685715" cy="23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</xdr:row>
      <xdr:rowOff>66675</xdr:rowOff>
    </xdr:from>
    <xdr:to>
      <xdr:col>11</xdr:col>
      <xdr:colOff>8690</xdr:colOff>
      <xdr:row>22</xdr:row>
      <xdr:rowOff>123675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3114675"/>
          <a:ext cx="6685715" cy="12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23</xdr:row>
      <xdr:rowOff>19050</xdr:rowOff>
    </xdr:from>
    <xdr:to>
      <xdr:col>10</xdr:col>
      <xdr:colOff>542104</xdr:colOff>
      <xdr:row>28</xdr:row>
      <xdr:rowOff>57026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4400550"/>
          <a:ext cx="6571429" cy="9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10</xdr:col>
      <xdr:colOff>342096</xdr:colOff>
      <xdr:row>37</xdr:row>
      <xdr:rowOff>133143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524500"/>
          <a:ext cx="6438096" cy="1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90" zoomScaleNormal="90" workbookViewId="0">
      <selection activeCell="C4" sqref="C4"/>
    </sheetView>
  </sheetViews>
  <sheetFormatPr defaultRowHeight="15" x14ac:dyDescent="0.25"/>
  <cols>
    <col min="1" max="1" width="26.85546875" bestFit="1" customWidth="1"/>
    <col min="3" max="3" width="13" bestFit="1" customWidth="1"/>
  </cols>
  <sheetData>
    <row r="1" spans="1:5" x14ac:dyDescent="0.25">
      <c r="A1" s="2"/>
      <c r="B1" s="3" t="s">
        <v>0</v>
      </c>
      <c r="C1" s="3" t="s">
        <v>1</v>
      </c>
      <c r="D1" s="3" t="s">
        <v>2</v>
      </c>
    </row>
    <row r="2" spans="1:5" x14ac:dyDescent="0.25">
      <c r="A2" s="4" t="s">
        <v>3</v>
      </c>
      <c r="B2" s="2">
        <v>10</v>
      </c>
      <c r="C2" s="2">
        <v>38</v>
      </c>
      <c r="D2" s="2">
        <v>50</v>
      </c>
      <c r="E2" t="s">
        <v>9</v>
      </c>
    </row>
    <row r="3" spans="1:5" x14ac:dyDescent="0.25">
      <c r="A3" s="4" t="s">
        <v>5</v>
      </c>
      <c r="B3" s="2">
        <f>C3-C3*0.01</f>
        <v>9900</v>
      </c>
      <c r="C3" s="2">
        <v>10000</v>
      </c>
      <c r="D3" s="2">
        <f>C3+C3*0.01</f>
        <v>10100</v>
      </c>
      <c r="E3" t="s">
        <v>11</v>
      </c>
    </row>
    <row r="4" spans="1:5" x14ac:dyDescent="0.25">
      <c r="A4" s="4" t="s">
        <v>4</v>
      </c>
      <c r="B4" s="2">
        <f>C4-C4*0.01</f>
        <v>3564</v>
      </c>
      <c r="C4" s="2">
        <v>3600</v>
      </c>
      <c r="D4" s="2">
        <f>C4+C4*0.01</f>
        <v>3636</v>
      </c>
      <c r="E4" t="s">
        <v>11</v>
      </c>
    </row>
    <row r="5" spans="1:5" x14ac:dyDescent="0.25">
      <c r="A5" s="2" t="s">
        <v>6</v>
      </c>
      <c r="B5" s="2">
        <f>B3/D4</f>
        <v>2.722772277227723</v>
      </c>
      <c r="C5" s="2">
        <f>C3/C4</f>
        <v>2.7777777777777777</v>
      </c>
      <c r="D5" s="2">
        <f>D3/B4</f>
        <v>2.8338945005611671</v>
      </c>
      <c r="E5" t="s">
        <v>10</v>
      </c>
    </row>
    <row r="6" spans="1:5" x14ac:dyDescent="0.25">
      <c r="A6" s="2" t="s">
        <v>8</v>
      </c>
      <c r="B6" s="2">
        <v>2.4449999999999998</v>
      </c>
      <c r="C6" s="2">
        <v>2.5</v>
      </c>
      <c r="D6" s="2">
        <v>2.5499999999999998</v>
      </c>
      <c r="E6" t="s">
        <v>9</v>
      </c>
    </row>
    <row r="7" spans="1:5" x14ac:dyDescent="0.25">
      <c r="A7" s="5" t="s">
        <v>7</v>
      </c>
      <c r="B7" s="6">
        <f>B6*(B3+D4)/D4</f>
        <v>9.1021782178217805</v>
      </c>
      <c r="C7" s="6">
        <f>C6*(C3+C4)/C4</f>
        <v>9.4444444444444446</v>
      </c>
      <c r="D7" s="6">
        <f>D6*(D3+B4)/B4</f>
        <v>9.7764309764309765</v>
      </c>
      <c r="E7" s="7" t="s">
        <v>9</v>
      </c>
    </row>
    <row r="8" spans="1:5" x14ac:dyDescent="0.25">
      <c r="A8" s="2"/>
      <c r="B8" s="2"/>
      <c r="C8" s="2"/>
      <c r="D8" s="2"/>
    </row>
    <row r="9" spans="1:5" x14ac:dyDescent="0.25">
      <c r="A9" s="6" t="s">
        <v>12</v>
      </c>
      <c r="B9" s="6">
        <f>B7/($D$2*0.0000004)/1000</f>
        <v>455.10891089108907</v>
      </c>
      <c r="C9" s="6">
        <f>C7/($D$2*0.0000004)/1000</f>
        <v>472.22222222222223</v>
      </c>
      <c r="D9" s="6">
        <f>D7/($D$2*0.0000004)/1000</f>
        <v>488.82154882154884</v>
      </c>
      <c r="E9" t="s">
        <v>13</v>
      </c>
    </row>
    <row r="10" spans="1:5" x14ac:dyDescent="0.25">
      <c r="A10" s="4" t="s">
        <v>15</v>
      </c>
      <c r="B10" s="2">
        <f>C10-C10*0.01</f>
        <v>198</v>
      </c>
      <c r="C10" s="2">
        <v>200</v>
      </c>
      <c r="D10" s="2">
        <f>C10+C10*0.01</f>
        <v>202</v>
      </c>
      <c r="E10" t="s">
        <v>16</v>
      </c>
    </row>
    <row r="11" spans="1:5" x14ac:dyDescent="0.25">
      <c r="A11" s="6" t="s">
        <v>14</v>
      </c>
      <c r="B11" s="6">
        <f>B7/(1.385*0.000000001*D10)/100000</f>
        <v>325.34504120605425</v>
      </c>
      <c r="C11" s="6">
        <f>C7/(1.385*0.000000001*C10)/100000</f>
        <v>340.95467308463702</v>
      </c>
      <c r="D11" s="6">
        <f>D7/(1.385*0.000000001*B10)/100000</f>
        <v>356.50479438540549</v>
      </c>
      <c r="E11" s="7" t="s">
        <v>13</v>
      </c>
    </row>
    <row r="12" spans="1:5" x14ac:dyDescent="0.25">
      <c r="A12" s="2"/>
      <c r="B12" s="2"/>
      <c r="C12" s="2"/>
      <c r="D12" s="2"/>
    </row>
    <row r="13" spans="1:5" x14ac:dyDescent="0.25">
      <c r="A13" s="4" t="s">
        <v>17</v>
      </c>
      <c r="B13" s="2"/>
      <c r="C13" s="2">
        <v>50</v>
      </c>
      <c r="D13" s="2"/>
      <c r="E13" t="s">
        <v>19</v>
      </c>
    </row>
    <row r="14" spans="1:5" x14ac:dyDescent="0.25">
      <c r="A14" s="4" t="s">
        <v>20</v>
      </c>
      <c r="B14" s="2"/>
      <c r="C14" s="2">
        <v>100</v>
      </c>
      <c r="D14" s="2"/>
      <c r="E14" t="s">
        <v>19</v>
      </c>
    </row>
    <row r="15" spans="1:5" x14ac:dyDescent="0.25">
      <c r="A15" s="6" t="s">
        <v>18</v>
      </c>
      <c r="B15" s="6"/>
      <c r="C15" s="6">
        <f>(C7*(C2-C7))/(C14*C11*C2)*1000000</f>
        <v>208.15497076023394</v>
      </c>
      <c r="D15" s="6"/>
      <c r="E15" s="7" t="s">
        <v>21</v>
      </c>
    </row>
    <row r="16" spans="1:5" x14ac:dyDescent="0.25">
      <c r="A16" s="2"/>
      <c r="B16" s="2"/>
      <c r="C16" s="2"/>
      <c r="D16" s="2"/>
    </row>
    <row r="17" spans="1:5" x14ac:dyDescent="0.25">
      <c r="A17" s="2" t="s">
        <v>22</v>
      </c>
      <c r="B17" s="2">
        <f>((1.385*0.000000001*B10)/D2)*10000000000</f>
        <v>54.846000000000004</v>
      </c>
      <c r="C17" s="2">
        <f>((1.385*0.000000001*C10)/C2)*10000000000</f>
        <v>72.89473684210526</v>
      </c>
      <c r="D17" s="2">
        <f>((1.385*0.000000001*D10)/B2)*10000000000</f>
        <v>279.77000000000004</v>
      </c>
      <c r="E17" t="s">
        <v>23</v>
      </c>
    </row>
    <row r="18" spans="1:5" x14ac:dyDescent="0.25">
      <c r="A18" s="2" t="s">
        <v>26</v>
      </c>
      <c r="B18" s="2"/>
      <c r="C18" s="2">
        <v>25</v>
      </c>
      <c r="D18" s="2"/>
      <c r="E18" t="s">
        <v>24</v>
      </c>
    </row>
    <row r="19" spans="1:5" x14ac:dyDescent="0.25">
      <c r="A19" s="2" t="s">
        <v>25</v>
      </c>
      <c r="B19" s="2">
        <f>1000*(1/D11)-D17/1000</f>
        <v>2.5252413652018189</v>
      </c>
      <c r="C19" s="2">
        <f>1000*(1/C11)-C17/1000</f>
        <v>2.8600464396284826</v>
      </c>
      <c r="D19" s="2">
        <f>1000*(1/B11)-B17/1000</f>
        <v>3.0188138790410313</v>
      </c>
      <c r="E19" t="s">
        <v>27</v>
      </c>
    </row>
    <row r="20" spans="1:5" x14ac:dyDescent="0.25">
      <c r="A20" s="2" t="s">
        <v>28</v>
      </c>
      <c r="B20" s="2">
        <f>B19-B19*0.26</f>
        <v>1.8686786102493458</v>
      </c>
      <c r="C20" s="2">
        <f>C19</f>
        <v>2.8600464396284826</v>
      </c>
      <c r="D20" s="2">
        <f>D19+D19*0.25</f>
        <v>3.7735173488012892</v>
      </c>
      <c r="E20" t="s">
        <v>27</v>
      </c>
    </row>
    <row r="21" spans="1:5" x14ac:dyDescent="0.25">
      <c r="A21" s="2" t="s">
        <v>29</v>
      </c>
      <c r="B21" s="2"/>
      <c r="C21" s="2">
        <v>0.35</v>
      </c>
      <c r="D21" s="2"/>
      <c r="E21" t="s">
        <v>27</v>
      </c>
    </row>
    <row r="22" spans="1:5" x14ac:dyDescent="0.25">
      <c r="A22" s="3" t="s">
        <v>30</v>
      </c>
      <c r="B22" s="3">
        <f>B20+$C$21</f>
        <v>2.2186786102493459</v>
      </c>
      <c r="C22" s="3">
        <v>6.4</v>
      </c>
      <c r="D22" s="3">
        <f>D20+$C$21</f>
        <v>4.1235173488012888</v>
      </c>
      <c r="E22" s="1" t="s">
        <v>27</v>
      </c>
    </row>
    <row r="23" spans="1:5" x14ac:dyDescent="0.25">
      <c r="A23" s="2" t="s">
        <v>31</v>
      </c>
      <c r="B23" s="2"/>
      <c r="C23" s="9">
        <f>((0.0001/(C22*0.000001))-0.285)/2.5/0.00001/6.35</f>
        <v>96629.921259842522</v>
      </c>
      <c r="D23" s="2"/>
    </row>
    <row r="25" spans="1:5" x14ac:dyDescent="0.25">
      <c r="A25" t="s">
        <v>32</v>
      </c>
    </row>
    <row r="26" spans="1:5" x14ac:dyDescent="0.25">
      <c r="A26" t="s">
        <v>33</v>
      </c>
    </row>
    <row r="40" spans="15:15" x14ac:dyDescent="0.25">
      <c r="O40" s="8"/>
    </row>
    <row r="43" spans="15:15" x14ac:dyDescent="0.25">
      <c r="O43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Q40"/>
  <sheetViews>
    <sheetView zoomScale="85" zoomScaleNormal="85" workbookViewId="0">
      <selection activeCell="O33" sqref="O33"/>
    </sheetView>
  </sheetViews>
  <sheetFormatPr defaultRowHeight="15" x14ac:dyDescent="0.25"/>
  <cols>
    <col min="13" max="13" width="26.7109375" bestFit="1" customWidth="1"/>
  </cols>
  <sheetData>
    <row r="1" spans="13:17" x14ac:dyDescent="0.25">
      <c r="M1" s="1" t="s">
        <v>58</v>
      </c>
    </row>
    <row r="3" spans="13:17" x14ac:dyDescent="0.25">
      <c r="M3" t="s">
        <v>35</v>
      </c>
      <c r="N3" t="s">
        <v>36</v>
      </c>
      <c r="O3" t="s">
        <v>37</v>
      </c>
      <c r="P3" t="s">
        <v>38</v>
      </c>
    </row>
    <row r="4" spans="13:17" x14ac:dyDescent="0.25">
      <c r="M4" t="s">
        <v>39</v>
      </c>
      <c r="N4">
        <f>O4-O4*5%</f>
        <v>4.75</v>
      </c>
      <c r="O4">
        <v>5</v>
      </c>
      <c r="P4">
        <f>O4+O4*5%</f>
        <v>5.25</v>
      </c>
      <c r="Q4" t="s">
        <v>9</v>
      </c>
    </row>
    <row r="5" spans="13:17" x14ac:dyDescent="0.25">
      <c r="M5" t="s">
        <v>57</v>
      </c>
      <c r="N5">
        <v>0</v>
      </c>
      <c r="O5">
        <v>36</v>
      </c>
      <c r="P5">
        <v>42</v>
      </c>
      <c r="Q5" t="s">
        <v>9</v>
      </c>
    </row>
    <row r="6" spans="13:17" x14ac:dyDescent="0.25">
      <c r="M6" t="s">
        <v>43</v>
      </c>
      <c r="N6">
        <v>0</v>
      </c>
      <c r="O6">
        <v>56</v>
      </c>
      <c r="P6">
        <v>62</v>
      </c>
      <c r="Q6" t="s">
        <v>9</v>
      </c>
    </row>
    <row r="7" spans="13:17" x14ac:dyDescent="0.25">
      <c r="M7" t="s">
        <v>59</v>
      </c>
      <c r="N7">
        <f>O7-O7*2.5%</f>
        <v>5460</v>
      </c>
      <c r="O7">
        <v>5600</v>
      </c>
      <c r="P7">
        <f>O7+O7*2.5%</f>
        <v>5740</v>
      </c>
      <c r="Q7" t="s">
        <v>11</v>
      </c>
    </row>
    <row r="8" spans="13:17" x14ac:dyDescent="0.25">
      <c r="M8" t="s">
        <v>60</v>
      </c>
      <c r="N8">
        <f>O8-O8*2.5%</f>
        <v>45825</v>
      </c>
      <c r="O8">
        <v>47000</v>
      </c>
      <c r="P8">
        <f>O8+O8*2.5%</f>
        <v>48175</v>
      </c>
      <c r="Q8" t="s">
        <v>11</v>
      </c>
    </row>
    <row r="9" spans="13:17" x14ac:dyDescent="0.25">
      <c r="M9" s="1" t="s">
        <v>61</v>
      </c>
      <c r="N9" s="1">
        <f>N5*(N7/(N7+N8))</f>
        <v>0</v>
      </c>
      <c r="O9" s="1">
        <f>O5*(O7/(O7+O8))</f>
        <v>3.832699619771863</v>
      </c>
      <c r="P9" s="1">
        <f>P5*(P7/(P7+N8))</f>
        <v>4.6752642296131093</v>
      </c>
      <c r="Q9" s="1" t="s">
        <v>9</v>
      </c>
    </row>
    <row r="11" spans="13:17" x14ac:dyDescent="0.25">
      <c r="M11" t="s">
        <v>62</v>
      </c>
      <c r="N11">
        <f>O11-O11*2.5%</f>
        <v>3510</v>
      </c>
      <c r="O11">
        <v>3600</v>
      </c>
      <c r="P11">
        <f>O11+O11*2.5%</f>
        <v>3690</v>
      </c>
      <c r="Q11" t="s">
        <v>11</v>
      </c>
    </row>
    <row r="12" spans="13:17" x14ac:dyDescent="0.25">
      <c r="M12" t="s">
        <v>63</v>
      </c>
      <c r="N12">
        <f>O12-O12*2.5%</f>
        <v>45825</v>
      </c>
      <c r="O12">
        <v>47000</v>
      </c>
      <c r="P12">
        <f>O12+O12*2.5%</f>
        <v>48175</v>
      </c>
      <c r="Q12" t="s">
        <v>11</v>
      </c>
    </row>
    <row r="13" spans="13:17" x14ac:dyDescent="0.25">
      <c r="M13" s="1" t="s">
        <v>64</v>
      </c>
      <c r="N13" s="1">
        <f>N9*(N11/(N11+N12))</f>
        <v>0</v>
      </c>
      <c r="O13" s="1">
        <f>O6*(O11/(O11+O12))</f>
        <v>3.9841897233201582</v>
      </c>
      <c r="P13" s="1">
        <f>P6*(P11/(P11+N12))</f>
        <v>4.6204180551348069</v>
      </c>
      <c r="Q13" s="1" t="s">
        <v>9</v>
      </c>
    </row>
    <row r="15" spans="13:17" x14ac:dyDescent="0.25">
      <c r="M15" s="1" t="s">
        <v>68</v>
      </c>
    </row>
    <row r="16" spans="13:17" x14ac:dyDescent="0.25">
      <c r="M16" t="s">
        <v>35</v>
      </c>
      <c r="N16" t="s">
        <v>36</v>
      </c>
      <c r="O16" t="s">
        <v>37</v>
      </c>
      <c r="P16" t="s">
        <v>38</v>
      </c>
    </row>
    <row r="17" spans="13:17" x14ac:dyDescent="0.25">
      <c r="M17" t="s">
        <v>65</v>
      </c>
      <c r="N17">
        <f>O17-O17*2.5%</f>
        <v>10725</v>
      </c>
      <c r="O17">
        <v>11000</v>
      </c>
      <c r="P17">
        <f>O17+O17*2.5%</f>
        <v>11275</v>
      </c>
      <c r="Q17" t="s">
        <v>11</v>
      </c>
    </row>
    <row r="18" spans="13:17" x14ac:dyDescent="0.25">
      <c r="M18" t="s">
        <v>66</v>
      </c>
      <c r="N18">
        <f>O18-O18*2.5%</f>
        <v>45825</v>
      </c>
      <c r="O18">
        <v>47000</v>
      </c>
      <c r="P18">
        <f>O18+O18*2.5%</f>
        <v>48175</v>
      </c>
      <c r="Q18" t="s">
        <v>11</v>
      </c>
    </row>
    <row r="19" spans="13:17" x14ac:dyDescent="0.25">
      <c r="M19" s="1" t="s">
        <v>73</v>
      </c>
      <c r="N19" s="1"/>
      <c r="O19" s="1">
        <f>5*(O18/(O18+O17))</f>
        <v>4.0517241379310338</v>
      </c>
      <c r="P19" s="1"/>
      <c r="Q19" s="1" t="s">
        <v>9</v>
      </c>
    </row>
    <row r="20" spans="13:17" x14ac:dyDescent="0.25">
      <c r="M20" s="1" t="s">
        <v>67</v>
      </c>
      <c r="N20" s="1"/>
      <c r="O20" s="1">
        <f>5*(O18/(O18+O17)*((O11+O12)/O11))</f>
        <v>56.949233716475092</v>
      </c>
      <c r="P20" s="1"/>
      <c r="Q20" s="1" t="s">
        <v>9</v>
      </c>
    </row>
    <row r="22" spans="13:17" x14ac:dyDescent="0.25">
      <c r="M22" s="1" t="s">
        <v>69</v>
      </c>
    </row>
    <row r="23" spans="13:17" x14ac:dyDescent="0.25">
      <c r="M23" t="s">
        <v>35</v>
      </c>
      <c r="N23" t="s">
        <v>36</v>
      </c>
      <c r="O23" t="s">
        <v>37</v>
      </c>
      <c r="P23" t="s">
        <v>38</v>
      </c>
    </row>
    <row r="24" spans="13:17" x14ac:dyDescent="0.25">
      <c r="M24" t="s">
        <v>71</v>
      </c>
      <c r="N24">
        <f>O24-O24*2.5%</f>
        <v>45825</v>
      </c>
      <c r="O24">
        <v>47000</v>
      </c>
      <c r="P24">
        <f>O24+O24*2.5%</f>
        <v>48175</v>
      </c>
      <c r="Q24" t="s">
        <v>11</v>
      </c>
    </row>
    <row r="25" spans="13:17" x14ac:dyDescent="0.25">
      <c r="M25" t="s">
        <v>70</v>
      </c>
      <c r="N25">
        <f>O25-O25*2.5%</f>
        <v>35100</v>
      </c>
      <c r="O25">
        <v>36000</v>
      </c>
      <c r="P25">
        <f>O25+O25*2.5%</f>
        <v>36900</v>
      </c>
      <c r="Q25" t="s">
        <v>11</v>
      </c>
    </row>
    <row r="26" spans="13:17" x14ac:dyDescent="0.25">
      <c r="M26" s="1" t="s">
        <v>73</v>
      </c>
      <c r="N26" s="1"/>
      <c r="O26" s="1">
        <f>5*(O25/(O25+O24))</f>
        <v>2.1686746987951806</v>
      </c>
      <c r="P26" s="1"/>
      <c r="Q26" s="1" t="s">
        <v>9</v>
      </c>
    </row>
    <row r="28" spans="13:17" x14ac:dyDescent="0.25">
      <c r="M28" s="1" t="s">
        <v>72</v>
      </c>
    </row>
    <row r="29" spans="13:17" x14ac:dyDescent="0.25">
      <c r="M29" t="s">
        <v>35</v>
      </c>
      <c r="N29" t="s">
        <v>36</v>
      </c>
      <c r="O29" t="s">
        <v>37</v>
      </c>
      <c r="P29" t="s">
        <v>38</v>
      </c>
    </row>
    <row r="30" spans="13:17" x14ac:dyDescent="0.25">
      <c r="M30" t="s">
        <v>77</v>
      </c>
      <c r="N30">
        <f>O30-O30*2.5%</f>
        <v>9750</v>
      </c>
      <c r="O30">
        <v>10000</v>
      </c>
      <c r="P30">
        <f>O30+O30*2.5%</f>
        <v>10250</v>
      </c>
      <c r="Q30" t="s">
        <v>11</v>
      </c>
    </row>
    <row r="31" spans="13:17" x14ac:dyDescent="0.25">
      <c r="M31" t="s">
        <v>78</v>
      </c>
      <c r="N31">
        <f>O31-O31*2.5%</f>
        <v>45825</v>
      </c>
      <c r="O31">
        <v>47000</v>
      </c>
      <c r="P31">
        <f>O31+O31*2.5%</f>
        <v>48175</v>
      </c>
      <c r="Q31" t="s">
        <v>11</v>
      </c>
    </row>
    <row r="32" spans="13:17" x14ac:dyDescent="0.25">
      <c r="M32" s="1" t="s">
        <v>74</v>
      </c>
      <c r="N32" s="1"/>
      <c r="O32" s="1">
        <f>5*(O31/(O31+O30))</f>
        <v>4.1228070175438596</v>
      </c>
      <c r="P32" s="1"/>
      <c r="Q32" s="1" t="s">
        <v>9</v>
      </c>
    </row>
    <row r="33" spans="13:17" x14ac:dyDescent="0.25">
      <c r="M33" s="1" t="s">
        <v>75</v>
      </c>
      <c r="N33" s="1"/>
      <c r="O33" s="1">
        <f>O32/'SM72995 HBRIDGE DRV and AMP'!P21</f>
        <v>7.4476513865308425</v>
      </c>
      <c r="P33" s="1"/>
      <c r="Q33" s="1" t="s">
        <v>49</v>
      </c>
    </row>
    <row r="35" spans="13:17" x14ac:dyDescent="0.25">
      <c r="M35" s="1" t="s">
        <v>76</v>
      </c>
    </row>
    <row r="36" spans="13:17" x14ac:dyDescent="0.25">
      <c r="M36" t="s">
        <v>35</v>
      </c>
      <c r="N36" t="s">
        <v>36</v>
      </c>
      <c r="O36" t="s">
        <v>37</v>
      </c>
      <c r="P36" t="s">
        <v>38</v>
      </c>
    </row>
    <row r="37" spans="13:17" x14ac:dyDescent="0.25">
      <c r="M37" t="s">
        <v>80</v>
      </c>
      <c r="N37">
        <f>O37-O37*2.5%</f>
        <v>45825</v>
      </c>
      <c r="O37">
        <v>47000</v>
      </c>
      <c r="P37">
        <f>O37+O37*2.5%</f>
        <v>48175</v>
      </c>
      <c r="Q37" t="s">
        <v>11</v>
      </c>
    </row>
    <row r="38" spans="13:17" x14ac:dyDescent="0.25">
      <c r="M38" t="s">
        <v>81</v>
      </c>
      <c r="N38">
        <f>O38-O38*2.5%</f>
        <v>35100</v>
      </c>
      <c r="O38">
        <v>36000</v>
      </c>
      <c r="P38">
        <f>O38+O38*2.5%</f>
        <v>36900</v>
      </c>
      <c r="Q38" t="s">
        <v>11</v>
      </c>
    </row>
    <row r="39" spans="13:17" x14ac:dyDescent="0.25">
      <c r="M39" s="1" t="s">
        <v>79</v>
      </c>
      <c r="N39" s="1"/>
      <c r="O39" s="1">
        <f>5*(O38/(O38+O37))</f>
        <v>2.1686746987951806</v>
      </c>
      <c r="P39" s="1"/>
      <c r="Q39" s="1" t="s">
        <v>9</v>
      </c>
    </row>
    <row r="40" spans="13:17" x14ac:dyDescent="0.25">
      <c r="M40" s="1"/>
      <c r="N40" s="1"/>
      <c r="O40" s="1"/>
      <c r="P40" s="1"/>
      <c r="Q4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R22"/>
  <sheetViews>
    <sheetView tabSelected="1" workbookViewId="0">
      <selection activeCell="P22" sqref="P22"/>
    </sheetView>
  </sheetViews>
  <sheetFormatPr defaultRowHeight="15" x14ac:dyDescent="0.25"/>
  <cols>
    <col min="14" max="14" width="27.5703125" bestFit="1" customWidth="1"/>
  </cols>
  <sheetData>
    <row r="2" spans="14:18" x14ac:dyDescent="0.25">
      <c r="N2" s="1" t="s">
        <v>34</v>
      </c>
    </row>
    <row r="4" spans="14:18" x14ac:dyDescent="0.25">
      <c r="N4" t="s">
        <v>35</v>
      </c>
      <c r="O4" t="s">
        <v>36</v>
      </c>
      <c r="P4" t="s">
        <v>37</v>
      </c>
      <c r="Q4" t="s">
        <v>38</v>
      </c>
    </row>
    <row r="5" spans="14:18" x14ac:dyDescent="0.25">
      <c r="N5" t="s">
        <v>39</v>
      </c>
      <c r="O5">
        <f>P5-P5*5%</f>
        <v>4.75</v>
      </c>
      <c r="P5">
        <v>5</v>
      </c>
      <c r="Q5">
        <f>P5+P5*5%</f>
        <v>5.25</v>
      </c>
      <c r="R5" t="s">
        <v>9</v>
      </c>
    </row>
    <row r="6" spans="14:18" x14ac:dyDescent="0.25">
      <c r="N6" t="s">
        <v>40</v>
      </c>
      <c r="O6">
        <f>P6-P6*2.5%</f>
        <v>9750</v>
      </c>
      <c r="P6">
        <v>10000</v>
      </c>
      <c r="Q6">
        <f>P6+P6*2.5%</f>
        <v>10250</v>
      </c>
      <c r="R6" t="s">
        <v>11</v>
      </c>
    </row>
    <row r="7" spans="14:18" x14ac:dyDescent="0.25">
      <c r="N7" t="s">
        <v>41</v>
      </c>
      <c r="O7">
        <f>P7-P7*2.5%</f>
        <v>107250</v>
      </c>
      <c r="P7">
        <v>110000</v>
      </c>
      <c r="Q7">
        <f>P7+P7*2.5%</f>
        <v>112750</v>
      </c>
      <c r="R7" t="s">
        <v>11</v>
      </c>
    </row>
    <row r="8" spans="14:18" x14ac:dyDescent="0.25">
      <c r="N8" t="s">
        <v>42</v>
      </c>
      <c r="O8">
        <v>0.4</v>
      </c>
      <c r="P8">
        <v>0.5</v>
      </c>
      <c r="Q8">
        <v>0.6</v>
      </c>
      <c r="R8" t="s">
        <v>9</v>
      </c>
    </row>
    <row r="9" spans="14:18" x14ac:dyDescent="0.25">
      <c r="N9" s="1" t="s">
        <v>45</v>
      </c>
      <c r="O9" s="1"/>
      <c r="P9" s="1">
        <v>60.5</v>
      </c>
      <c r="Q9" s="1"/>
      <c r="R9" s="1" t="s">
        <v>9</v>
      </c>
    </row>
    <row r="10" spans="14:18" x14ac:dyDescent="0.25">
      <c r="N10" t="s">
        <v>44</v>
      </c>
      <c r="O10">
        <f>(P9-Q8)*(O6/(O6+Q7))</f>
        <v>4.7675510204081633</v>
      </c>
      <c r="P10">
        <f>(P9-P8)*(P6/(P6+P7))</f>
        <v>5</v>
      </c>
      <c r="Q10">
        <f>(P9-O8)*(Q6/(Q6+O7))</f>
        <v>5.2427659574468084</v>
      </c>
    </row>
    <row r="12" spans="14:18" x14ac:dyDescent="0.25">
      <c r="N12" s="1" t="s">
        <v>46</v>
      </c>
    </row>
    <row r="14" spans="14:18" x14ac:dyDescent="0.25">
      <c r="N14" t="s">
        <v>35</v>
      </c>
      <c r="O14" t="s">
        <v>36</v>
      </c>
      <c r="P14" t="s">
        <v>37</v>
      </c>
      <c r="Q14" t="s">
        <v>38</v>
      </c>
    </row>
    <row r="15" spans="14:18" x14ac:dyDescent="0.25">
      <c r="N15" t="s">
        <v>47</v>
      </c>
      <c r="O15">
        <v>0</v>
      </c>
      <c r="P15">
        <v>5</v>
      </c>
      <c r="Q15">
        <v>8</v>
      </c>
      <c r="R15" t="s">
        <v>49</v>
      </c>
    </row>
    <row r="16" spans="14:18" x14ac:dyDescent="0.25">
      <c r="N16" t="s">
        <v>48</v>
      </c>
      <c r="O16">
        <v>0</v>
      </c>
      <c r="P16">
        <v>5</v>
      </c>
      <c r="Q16">
        <v>8</v>
      </c>
      <c r="R16" t="s">
        <v>49</v>
      </c>
    </row>
    <row r="17" spans="14:18" x14ac:dyDescent="0.25">
      <c r="N17" t="s">
        <v>51</v>
      </c>
      <c r="O17">
        <f>P17-P17*2.5%</f>
        <v>60450</v>
      </c>
      <c r="P17">
        <v>62000</v>
      </c>
      <c r="Q17">
        <f>P17+P17*2.5%</f>
        <v>63550</v>
      </c>
      <c r="R17" t="s">
        <v>11</v>
      </c>
    </row>
    <row r="18" spans="14:18" x14ac:dyDescent="0.25">
      <c r="N18" t="s">
        <v>50</v>
      </c>
      <c r="O18">
        <f>P18-P18*2.5%</f>
        <v>546</v>
      </c>
      <c r="P18">
        <v>560</v>
      </c>
      <c r="Q18">
        <f>P18+P18*2.5%</f>
        <v>574</v>
      </c>
      <c r="R18" t="s">
        <v>11</v>
      </c>
    </row>
    <row r="19" spans="14:18" x14ac:dyDescent="0.25">
      <c r="N19" t="s">
        <v>52</v>
      </c>
      <c r="O19">
        <f>P19-P19*2%</f>
        <v>4.8999999999999998E-3</v>
      </c>
      <c r="P19">
        <v>5.0000000000000001E-3</v>
      </c>
      <c r="Q19">
        <f>P19+P19*2%</f>
        <v>5.1000000000000004E-3</v>
      </c>
      <c r="R19" t="s">
        <v>11</v>
      </c>
    </row>
    <row r="20" spans="14:18" x14ac:dyDescent="0.25">
      <c r="N20" t="s">
        <v>54</v>
      </c>
      <c r="O20">
        <f>O17/Q18</f>
        <v>105.31358885017421</v>
      </c>
      <c r="P20">
        <f>P17/P18</f>
        <v>110.71428571428571</v>
      </c>
      <c r="Q20">
        <f>Q17/O18</f>
        <v>116.39194139194139</v>
      </c>
      <c r="R20" t="s">
        <v>53</v>
      </c>
    </row>
    <row r="21" spans="14:18" x14ac:dyDescent="0.25">
      <c r="N21" t="s">
        <v>55</v>
      </c>
      <c r="O21">
        <f>O20*O19*1</f>
        <v>0.51603658536585362</v>
      </c>
      <c r="P21">
        <f>P20*P19*1</f>
        <v>0.5535714285714286</v>
      </c>
      <c r="Q21">
        <f>Q20*Q19*1</f>
        <v>0.59359890109890112</v>
      </c>
      <c r="R21" t="s">
        <v>9</v>
      </c>
    </row>
    <row r="22" spans="14:18" x14ac:dyDescent="0.25">
      <c r="N22" t="s">
        <v>56</v>
      </c>
      <c r="O22">
        <f>O5/Q21</f>
        <v>8.0020363771000138</v>
      </c>
      <c r="P22">
        <f>P5/P21</f>
        <v>9.0322580645161281</v>
      </c>
      <c r="Q22">
        <f>Q5/O21</f>
        <v>10.173697270471465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10V DCDC</vt:lpstr>
      <vt:lpstr>SM72422 MPPT controller</vt:lpstr>
      <vt:lpstr>SM72995 HBRIDGE DRV and AMP</vt:lpstr>
      <vt:lpstr>Inputs don't touch</vt:lpstr>
    </vt:vector>
  </TitlesOfParts>
  <Company>Delphi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Mitka, Konrad</dc:creator>
  <cp:lastModifiedBy>Mitka, Konrad</cp:lastModifiedBy>
  <dcterms:created xsi:type="dcterms:W3CDTF">2014-03-21T19:37:33Z</dcterms:created>
  <dcterms:modified xsi:type="dcterms:W3CDTF">2014-09-02T13:22:15Z</dcterms:modified>
</cp:coreProperties>
</file>