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50" yWindow="-45" windowWidth="9105" windowHeight="11340"/>
  </bookViews>
  <sheets>
    <sheet name="Calculator" sheetId="1" r:id="rId1"/>
    <sheet name="SOI Chart" sheetId="2" r:id="rId2"/>
  </sheets>
  <externalReferences>
    <externalReference r:id="rId3"/>
  </externalReferences>
  <definedNames>
    <definedName name="D">[1]Tool!$B$18</definedName>
    <definedName name="DCR">[1]Tool!$B$8*0.001</definedName>
    <definedName name="Dex">[1]Tool!$B$22</definedName>
    <definedName name="Fsw">[1]Tool!$B$5*1000</definedName>
    <definedName name="Iave">[1]Tool!$B$26</definedName>
    <definedName name="Ilrip">[1]Tool!$B$24</definedName>
    <definedName name="Iout">[1]Tool!$B$14</definedName>
    <definedName name="L">[1]Tool!$B$6*10^-6</definedName>
    <definedName name="Lsag">[1]Tool!$B$7*10^-6</definedName>
    <definedName name="Rds">[1]Tool!$B$9*0.001</definedName>
    <definedName name="Vd">[1]Tool!$B$10</definedName>
    <definedName name="Vdres">[1]Tool!$B$11</definedName>
    <definedName name="Vf">[1]Tool!$B$19</definedName>
    <definedName name="Vieq">[1]Tool!$B$21</definedName>
    <definedName name="Vin">[1]Tool!$B$12</definedName>
    <definedName name="Voeq">[1]Tool!$B$20</definedName>
    <definedName name="Vout">[1]Tool!$B$13</definedName>
  </definedNames>
  <calcPr calcId="125725"/>
</workbook>
</file>

<file path=xl/calcChain.xml><?xml version="1.0" encoding="utf-8"?>
<calcChain xmlns="http://schemas.openxmlformats.org/spreadsheetml/2006/main">
  <c r="N27" i="1"/>
  <c r="N19"/>
  <c r="J35"/>
  <c r="Q5"/>
  <c r="N7"/>
  <c r="O7" s="1"/>
  <c r="J11"/>
  <c r="J20"/>
  <c r="J18"/>
  <c r="J16"/>
  <c r="J30"/>
  <c r="J34" s="1"/>
  <c r="J29"/>
  <c r="Q6" l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N21"/>
  <c r="N20"/>
  <c r="O20" s="1"/>
  <c r="J22"/>
  <c r="J36"/>
  <c r="J37"/>
  <c r="D30"/>
  <c r="D25"/>
  <c r="N16" s="1"/>
  <c r="O19" l="1"/>
  <c r="R6"/>
  <c r="Z6" s="1"/>
  <c r="O21" l="1"/>
  <c r="W6"/>
  <c r="X6" s="1"/>
  <c r="R7"/>
  <c r="Z7" s="1"/>
  <c r="Y6" l="1"/>
  <c r="W7"/>
  <c r="X7" s="1"/>
  <c r="AA6"/>
  <c r="AB6"/>
  <c r="R8"/>
  <c r="Z8" s="1"/>
  <c r="R5"/>
  <c r="Z5" s="1"/>
  <c r="Y7" l="1"/>
  <c r="W8"/>
  <c r="X8" s="1"/>
  <c r="W5"/>
  <c r="X5" s="1"/>
  <c r="AA7"/>
  <c r="AB7"/>
  <c r="R9"/>
  <c r="Z9" s="1"/>
  <c r="Y5" l="1"/>
  <c r="Y8"/>
  <c r="W9"/>
  <c r="X9" s="1"/>
  <c r="AB5"/>
  <c r="AA5"/>
  <c r="AA8"/>
  <c r="AB8"/>
  <c r="R10"/>
  <c r="Z10" s="1"/>
  <c r="Y9" l="1"/>
  <c r="W10"/>
  <c r="X10" s="1"/>
  <c r="AA9"/>
  <c r="AB9"/>
  <c r="R11"/>
  <c r="Z11" s="1"/>
  <c r="Y10" l="1"/>
  <c r="W11"/>
  <c r="X11" s="1"/>
  <c r="AA10"/>
  <c r="AB10"/>
  <c r="R12"/>
  <c r="Z12" s="1"/>
  <c r="Y11" l="1"/>
  <c r="W12"/>
  <c r="X12" s="1"/>
  <c r="AB11"/>
  <c r="AA11"/>
  <c r="R13"/>
  <c r="Z13" s="1"/>
  <c r="Y12" l="1"/>
  <c r="W13"/>
  <c r="Y13" s="1"/>
  <c r="AA12"/>
  <c r="AB12"/>
  <c r="R14"/>
  <c r="Z14" s="1"/>
  <c r="X13" l="1"/>
  <c r="W14"/>
  <c r="X14" s="1"/>
  <c r="AB13"/>
  <c r="AA13"/>
  <c r="R15"/>
  <c r="Z15" s="1"/>
  <c r="Y14" l="1"/>
  <c r="W15"/>
  <c r="X15" s="1"/>
  <c r="AA14"/>
  <c r="AB14"/>
  <c r="R16"/>
  <c r="Z16" s="1"/>
  <c r="Y15" l="1"/>
  <c r="W16"/>
  <c r="Y16" s="1"/>
  <c r="AA15"/>
  <c r="AB15"/>
  <c r="R17"/>
  <c r="Z17" s="1"/>
  <c r="X16" l="1"/>
  <c r="W17"/>
  <c r="X17" s="1"/>
  <c r="AA16"/>
  <c r="AB16"/>
  <c r="R18"/>
  <c r="Z18" s="1"/>
  <c r="Y17" l="1"/>
  <c r="W18"/>
  <c r="X18" s="1"/>
  <c r="AB17"/>
  <c r="AA17"/>
  <c r="R19"/>
  <c r="Z19" s="1"/>
  <c r="Y18" l="1"/>
  <c r="W19"/>
  <c r="X19" s="1"/>
  <c r="AA18"/>
  <c r="AB18"/>
  <c r="R20"/>
  <c r="Z20" s="1"/>
  <c r="Y19" l="1"/>
  <c r="W20"/>
  <c r="X20" s="1"/>
  <c r="AB19"/>
  <c r="AA19"/>
  <c r="R21"/>
  <c r="Z21" s="1"/>
  <c r="Y20" l="1"/>
  <c r="W21"/>
  <c r="X21" s="1"/>
  <c r="AA20"/>
  <c r="AB20"/>
  <c r="R22"/>
  <c r="Z22" s="1"/>
  <c r="Y21" l="1"/>
  <c r="W22"/>
  <c r="X22" s="1"/>
  <c r="AB21"/>
  <c r="AA21"/>
  <c r="R23"/>
  <c r="Z23" s="1"/>
  <c r="Y22" l="1"/>
  <c r="W23"/>
  <c r="X23" s="1"/>
  <c r="AA22"/>
  <c r="AB22"/>
  <c r="R24"/>
  <c r="Z24" s="1"/>
  <c r="Y23" l="1"/>
  <c r="W24"/>
  <c r="X24" s="1"/>
  <c r="AB23"/>
  <c r="AA23"/>
  <c r="R25"/>
  <c r="Z25" s="1"/>
  <c r="Y24" l="1"/>
  <c r="W25"/>
  <c r="X25" s="1"/>
  <c r="AA24"/>
  <c r="AB24"/>
  <c r="R26"/>
  <c r="Z26" s="1"/>
  <c r="Y25" l="1"/>
  <c r="W26"/>
  <c r="Y26" s="1"/>
  <c r="AB25"/>
  <c r="AA25"/>
  <c r="R27"/>
  <c r="Z27" s="1"/>
  <c r="X26" l="1"/>
  <c r="W27"/>
  <c r="X27" s="1"/>
  <c r="AA26"/>
  <c r="AB26"/>
  <c r="R28"/>
  <c r="Z28" s="1"/>
  <c r="Y27" l="1"/>
  <c r="W28"/>
  <c r="X28" s="1"/>
  <c r="AB27"/>
  <c r="AA27"/>
  <c r="R29"/>
  <c r="Z29" s="1"/>
  <c r="Y28" l="1"/>
  <c r="W29"/>
  <c r="X29" s="1"/>
  <c r="AA28"/>
  <c r="AB28"/>
  <c r="R30"/>
  <c r="Z30" s="1"/>
  <c r="Y29" l="1"/>
  <c r="W30"/>
  <c r="X30" s="1"/>
  <c r="AB29"/>
  <c r="AA29"/>
  <c r="R31"/>
  <c r="Z31" s="1"/>
  <c r="Y30" l="1"/>
  <c r="W31"/>
  <c r="X31" s="1"/>
  <c r="AA30"/>
  <c r="AB30"/>
  <c r="R32"/>
  <c r="Z32" s="1"/>
  <c r="Y31" l="1"/>
  <c r="W32"/>
  <c r="X32" s="1"/>
  <c r="AB31"/>
  <c r="AA31"/>
  <c r="R33"/>
  <c r="Z33" s="1"/>
  <c r="Y32" l="1"/>
  <c r="W33"/>
  <c r="X33" s="1"/>
  <c r="AA32"/>
  <c r="AB32"/>
  <c r="R34"/>
  <c r="Z34" s="1"/>
  <c r="Y33" l="1"/>
  <c r="W34"/>
  <c r="X34" s="1"/>
  <c r="AB33"/>
  <c r="AA33"/>
  <c r="R35"/>
  <c r="Z35" s="1"/>
  <c r="Y34" l="1"/>
  <c r="W35"/>
  <c r="X35" s="1"/>
  <c r="AA34"/>
  <c r="AB34"/>
  <c r="R36"/>
  <c r="Z36" s="1"/>
  <c r="W36" l="1"/>
  <c r="Y36" s="1"/>
  <c r="AB35"/>
  <c r="AA35"/>
  <c r="Y35"/>
  <c r="R37"/>
  <c r="Z37" s="1"/>
  <c r="X36" l="1"/>
  <c r="W37"/>
  <c r="X37" s="1"/>
  <c r="AA36"/>
  <c r="AB36"/>
  <c r="R38"/>
  <c r="Z38" s="1"/>
  <c r="Y37" l="1"/>
  <c r="W38"/>
  <c r="Y38" s="1"/>
  <c r="AB37"/>
  <c r="AA37"/>
  <c r="R39"/>
  <c r="Z39" s="1"/>
  <c r="X38" l="1"/>
  <c r="W39"/>
  <c r="X39" s="1"/>
  <c r="AA38"/>
  <c r="AB38"/>
  <c r="R40"/>
  <c r="Z40" s="1"/>
  <c r="Y39" l="1"/>
  <c r="W40"/>
  <c r="X40" s="1"/>
  <c r="AB39"/>
  <c r="AA39"/>
  <c r="R41"/>
  <c r="Z41" s="1"/>
  <c r="Y40" l="1"/>
  <c r="W41"/>
  <c r="X41" s="1"/>
  <c r="AA40"/>
  <c r="AB40"/>
  <c r="R42"/>
  <c r="Z42" s="1"/>
  <c r="Y41" l="1"/>
  <c r="W42"/>
  <c r="X42" s="1"/>
  <c r="AB41"/>
  <c r="AA41"/>
  <c r="R43"/>
  <c r="Z43" s="1"/>
  <c r="Y42" l="1"/>
  <c r="W43"/>
  <c r="X43" s="1"/>
  <c r="AA42"/>
  <c r="AB42"/>
  <c r="R44"/>
  <c r="Z44" s="1"/>
  <c r="Y43" l="1"/>
  <c r="W44"/>
  <c r="X44" s="1"/>
  <c r="AB43"/>
  <c r="AA43"/>
  <c r="R45"/>
  <c r="Z45" s="1"/>
  <c r="Y44" l="1"/>
  <c r="W45"/>
  <c r="Y45" s="1"/>
  <c r="AA44"/>
  <c r="AB44"/>
  <c r="R46"/>
  <c r="Z46" s="1"/>
  <c r="X45" l="1"/>
  <c r="W46"/>
  <c r="X46" s="1"/>
  <c r="AB45"/>
  <c r="AA45"/>
  <c r="R47"/>
  <c r="Z47" s="1"/>
  <c r="Y46" l="1"/>
  <c r="W47"/>
  <c r="X47" s="1"/>
  <c r="AA46"/>
  <c r="AB46"/>
  <c r="R48"/>
  <c r="Z48" s="1"/>
  <c r="Y47" l="1"/>
  <c r="W48"/>
  <c r="Y48" s="1"/>
  <c r="AB47"/>
  <c r="AA47"/>
  <c r="R49"/>
  <c r="Z49" s="1"/>
  <c r="X48" l="1"/>
  <c r="W49"/>
  <c r="X49" s="1"/>
  <c r="AA48"/>
  <c r="AB48"/>
  <c r="R50"/>
  <c r="Z50" s="1"/>
  <c r="Y49" l="1"/>
  <c r="W50"/>
  <c r="Y50" s="1"/>
  <c r="AB49"/>
  <c r="AA49"/>
  <c r="R51"/>
  <c r="Z51" s="1"/>
  <c r="X50" l="1"/>
  <c r="W51"/>
  <c r="Y51" s="1"/>
  <c r="AA50"/>
  <c r="AB50"/>
  <c r="R52"/>
  <c r="Z52" s="1"/>
  <c r="X51" l="1"/>
  <c r="W52"/>
  <c r="X52" s="1"/>
  <c r="AB51"/>
  <c r="AA51"/>
  <c r="R53"/>
  <c r="Z53" s="1"/>
  <c r="W53" l="1"/>
  <c r="X53" s="1"/>
  <c r="AA52"/>
  <c r="AB52"/>
  <c r="Y52"/>
  <c r="R54"/>
  <c r="Z54" s="1"/>
  <c r="Y53" l="1"/>
  <c r="W54"/>
  <c r="Y54" s="1"/>
  <c r="AB53"/>
  <c r="AA53"/>
  <c r="R55"/>
  <c r="Z55" s="1"/>
  <c r="X54" l="1"/>
  <c r="W55"/>
  <c r="Y55" s="1"/>
  <c r="AA54"/>
  <c r="AB54"/>
  <c r="R56"/>
  <c r="Z56" s="1"/>
  <c r="X55" l="1"/>
  <c r="W56"/>
  <c r="X56" s="1"/>
  <c r="AB55"/>
  <c r="AA55"/>
  <c r="R57"/>
  <c r="Z57" s="1"/>
  <c r="W57" l="1"/>
  <c r="Y57" s="1"/>
  <c r="AA56"/>
  <c r="AB56"/>
  <c r="Y56"/>
  <c r="R58"/>
  <c r="Z58" s="1"/>
  <c r="X57" l="1"/>
  <c r="W58"/>
  <c r="X58" s="1"/>
  <c r="AB57"/>
  <c r="AA57"/>
  <c r="R59"/>
  <c r="Z59" s="1"/>
  <c r="Y58" l="1"/>
  <c r="W59"/>
  <c r="X59" s="1"/>
  <c r="AA58"/>
  <c r="AB58"/>
  <c r="R60"/>
  <c r="Z60" s="1"/>
  <c r="Y59" l="1"/>
  <c r="W60"/>
  <c r="X60" s="1"/>
  <c r="AB59"/>
  <c r="AA59"/>
  <c r="R61"/>
  <c r="Z61" s="1"/>
  <c r="Y60" l="1"/>
  <c r="W61"/>
  <c r="X61" s="1"/>
  <c r="AA60"/>
  <c r="AB60"/>
  <c r="R62"/>
  <c r="Z62" s="1"/>
  <c r="Y61" l="1"/>
  <c r="W62"/>
  <c r="X62" s="1"/>
  <c r="AB61"/>
  <c r="AA61"/>
  <c r="R63"/>
  <c r="Z63" s="1"/>
  <c r="Y62" l="1"/>
  <c r="W63"/>
  <c r="X63" s="1"/>
  <c r="AA62"/>
  <c r="AB62"/>
  <c r="R64"/>
  <c r="Z64" s="1"/>
  <c r="Y63" l="1"/>
  <c r="W64"/>
  <c r="Y64" s="1"/>
  <c r="AB63"/>
  <c r="AA63"/>
  <c r="R65"/>
  <c r="Z65" s="1"/>
  <c r="X64" l="1"/>
  <c r="W65"/>
  <c r="X65" s="1"/>
  <c r="AA64"/>
  <c r="AB64"/>
  <c r="R66"/>
  <c r="Z66" s="1"/>
  <c r="Y65" l="1"/>
  <c r="W66"/>
  <c r="X66" s="1"/>
  <c r="AB65"/>
  <c r="AA65"/>
  <c r="R67"/>
  <c r="Z67" s="1"/>
  <c r="Y66" l="1"/>
  <c r="W67"/>
  <c r="X67" s="1"/>
  <c r="AA66"/>
  <c r="AB66"/>
  <c r="R68"/>
  <c r="Z68" s="1"/>
  <c r="Y67" l="1"/>
  <c r="W68"/>
  <c r="X68" s="1"/>
  <c r="AB67"/>
  <c r="AA67"/>
  <c r="R69"/>
  <c r="Z69" s="1"/>
  <c r="Y68" l="1"/>
  <c r="W69"/>
  <c r="Y69" s="1"/>
  <c r="AA68"/>
  <c r="AB68"/>
  <c r="R70"/>
  <c r="Z70" s="1"/>
  <c r="X69" l="1"/>
  <c r="W70"/>
  <c r="X70" s="1"/>
  <c r="AB69"/>
  <c r="AA69"/>
  <c r="R71"/>
  <c r="Z71" s="1"/>
  <c r="Y70" l="1"/>
  <c r="W71"/>
  <c r="X71" s="1"/>
  <c r="AA70"/>
  <c r="AB70"/>
  <c r="R72"/>
  <c r="Z72" s="1"/>
  <c r="Y71" l="1"/>
  <c r="W72"/>
  <c r="Y72" s="1"/>
  <c r="AB71"/>
  <c r="AA71"/>
  <c r="R73"/>
  <c r="Z73" s="1"/>
  <c r="X72" l="1"/>
  <c r="W73"/>
  <c r="X73" s="1"/>
  <c r="AA72"/>
  <c r="AB72"/>
  <c r="R74"/>
  <c r="Z74" s="1"/>
  <c r="Y73" l="1"/>
  <c r="W74"/>
  <c r="X74" s="1"/>
  <c r="AB73"/>
  <c r="AA73"/>
  <c r="R75"/>
  <c r="Z75" s="1"/>
  <c r="Y74" l="1"/>
  <c r="W75"/>
  <c r="X75" s="1"/>
  <c r="AA74"/>
  <c r="AB74"/>
  <c r="R76"/>
  <c r="Z76" s="1"/>
  <c r="Y75" l="1"/>
  <c r="W76"/>
  <c r="X76" s="1"/>
  <c r="AB75"/>
  <c r="AA75"/>
  <c r="R77"/>
  <c r="Z77" s="1"/>
  <c r="Y76" l="1"/>
  <c r="W77"/>
  <c r="X77" s="1"/>
  <c r="AA76"/>
  <c r="AB76"/>
  <c r="R78"/>
  <c r="Z78" s="1"/>
  <c r="Y77" l="1"/>
  <c r="W78"/>
  <c r="X78" s="1"/>
  <c r="AB77"/>
  <c r="AA77"/>
  <c r="R79"/>
  <c r="Z79" s="1"/>
  <c r="Y78" l="1"/>
  <c r="W79"/>
  <c r="X79" s="1"/>
  <c r="AA78"/>
  <c r="AB78"/>
  <c r="R80"/>
  <c r="Z80" s="1"/>
  <c r="Y79" l="1"/>
  <c r="W80"/>
  <c r="X80" s="1"/>
  <c r="AB79"/>
  <c r="AA79"/>
  <c r="R81"/>
  <c r="Z81" s="1"/>
  <c r="Y80" l="1"/>
  <c r="W81"/>
  <c r="X81" s="1"/>
  <c r="AA80"/>
  <c r="AB80"/>
  <c r="R82"/>
  <c r="Z82" s="1"/>
  <c r="Y81" l="1"/>
  <c r="W82"/>
  <c r="X82" s="1"/>
  <c r="AB81"/>
  <c r="AA81"/>
  <c r="R83"/>
  <c r="Z83" s="1"/>
  <c r="Y82" l="1"/>
  <c r="W83"/>
  <c r="X83" s="1"/>
  <c r="AA82"/>
  <c r="AB82"/>
  <c r="R84"/>
  <c r="Z84" s="1"/>
  <c r="Y83" l="1"/>
  <c r="W84"/>
  <c r="X84" s="1"/>
  <c r="AB83"/>
  <c r="AA83"/>
  <c r="R85"/>
  <c r="Z85" s="1"/>
  <c r="Y84" l="1"/>
  <c r="W85"/>
  <c r="X85" s="1"/>
  <c r="AA84"/>
  <c r="AB84"/>
  <c r="R86"/>
  <c r="Z86" s="1"/>
  <c r="Y85" l="1"/>
  <c r="W86"/>
  <c r="Y86" s="1"/>
  <c r="AB85"/>
  <c r="AA85"/>
  <c r="R87"/>
  <c r="Z87" s="1"/>
  <c r="X86" l="1"/>
  <c r="W87"/>
  <c r="X87" s="1"/>
  <c r="AA86"/>
  <c r="AB86"/>
  <c r="R88"/>
  <c r="Z88" s="1"/>
  <c r="Y87" l="1"/>
  <c r="W88"/>
  <c r="X88" s="1"/>
  <c r="AB87"/>
  <c r="AA87"/>
  <c r="R89"/>
  <c r="Z89" s="1"/>
  <c r="Y88" l="1"/>
  <c r="W89"/>
  <c r="X89" s="1"/>
  <c r="AA88"/>
  <c r="AB88"/>
  <c r="R90"/>
  <c r="Z90" s="1"/>
  <c r="Y89" l="1"/>
  <c r="W90"/>
  <c r="X90" s="1"/>
  <c r="AB89"/>
  <c r="AA89"/>
  <c r="R91"/>
  <c r="Z91" s="1"/>
  <c r="Y90" l="1"/>
  <c r="W91"/>
  <c r="X91" s="1"/>
  <c r="AA90"/>
  <c r="AB90"/>
  <c r="R92"/>
  <c r="Z92" s="1"/>
  <c r="Y91" l="1"/>
  <c r="W92"/>
  <c r="X92" s="1"/>
  <c r="AB91"/>
  <c r="AA91"/>
  <c r="R93"/>
  <c r="Z93" s="1"/>
  <c r="Y92" l="1"/>
  <c r="W93"/>
  <c r="X93" s="1"/>
  <c r="AA92"/>
  <c r="AB92"/>
  <c r="R94"/>
  <c r="Z94" s="1"/>
  <c r="Y93" l="1"/>
  <c r="W94"/>
  <c r="X94" s="1"/>
  <c r="AB93"/>
  <c r="AA93"/>
  <c r="R95"/>
  <c r="Z95" s="1"/>
  <c r="Y94" l="1"/>
  <c r="W95"/>
  <c r="X95" s="1"/>
  <c r="AA94"/>
  <c r="AB94"/>
  <c r="R96"/>
  <c r="Z96" s="1"/>
  <c r="Y95" l="1"/>
  <c r="W96"/>
  <c r="X96" s="1"/>
  <c r="AB95"/>
  <c r="AA95"/>
  <c r="R97"/>
  <c r="Z97" s="1"/>
  <c r="Y96" l="1"/>
  <c r="W97"/>
  <c r="X97" s="1"/>
  <c r="AA96"/>
  <c r="AB96"/>
  <c r="R98"/>
  <c r="Z98" s="1"/>
  <c r="Y97" l="1"/>
  <c r="W98"/>
  <c r="X98" s="1"/>
  <c r="AB97"/>
  <c r="AA97"/>
  <c r="R99"/>
  <c r="Z99" s="1"/>
  <c r="AB99" l="1"/>
  <c r="AA99"/>
  <c r="AA98"/>
  <c r="AB98"/>
  <c r="Y98"/>
  <c r="W99"/>
  <c r="R100"/>
  <c r="Z100" s="1"/>
  <c r="AA100" l="1"/>
  <c r="AB100"/>
  <c r="W100"/>
  <c r="Y99"/>
  <c r="X99"/>
  <c r="R101"/>
  <c r="Z101" s="1"/>
  <c r="AB101" l="1"/>
  <c r="AA101"/>
  <c r="W101"/>
  <c r="Y100"/>
  <c r="X100"/>
  <c r="R102"/>
  <c r="Z102" s="1"/>
  <c r="AA102" l="1"/>
  <c r="AB102"/>
  <c r="W102"/>
  <c r="Y101"/>
  <c r="X101"/>
  <c r="R104"/>
  <c r="Z104" s="1"/>
  <c r="R103"/>
  <c r="Z103" s="1"/>
  <c r="AA104" l="1"/>
  <c r="AB104"/>
  <c r="AB103"/>
  <c r="AA103"/>
  <c r="W104"/>
  <c r="W103"/>
  <c r="Y102"/>
  <c r="X102"/>
  <c r="Y103" l="1"/>
  <c r="X103"/>
  <c r="Y104"/>
  <c r="X104"/>
  <c r="J19"/>
  <c r="D26"/>
  <c r="J12"/>
  <c r="J13" l="1"/>
  <c r="N8" s="1"/>
  <c r="N6"/>
  <c r="O6" s="1"/>
  <c r="N5"/>
  <c r="O5" s="1"/>
  <c r="D27"/>
  <c r="N11"/>
  <c r="J21"/>
  <c r="O11" l="1"/>
  <c r="O8"/>
  <c r="J23"/>
  <c r="N12"/>
  <c r="N13" s="1"/>
  <c r="S28" s="1"/>
  <c r="T28" s="1"/>
  <c r="V28" l="1"/>
  <c r="U28"/>
  <c r="AC28"/>
  <c r="S97"/>
  <c r="T97" s="1"/>
  <c r="S65"/>
  <c r="T65" s="1"/>
  <c r="S33"/>
  <c r="T33" s="1"/>
  <c r="S102"/>
  <c r="T102" s="1"/>
  <c r="S70"/>
  <c r="T70" s="1"/>
  <c r="S38"/>
  <c r="T38" s="1"/>
  <c r="S7"/>
  <c r="T7" s="1"/>
  <c r="S75"/>
  <c r="T75" s="1"/>
  <c r="S43"/>
  <c r="T43" s="1"/>
  <c r="S11"/>
  <c r="T11" s="1"/>
  <c r="S80"/>
  <c r="T80" s="1"/>
  <c r="S48"/>
  <c r="T48" s="1"/>
  <c r="S16"/>
  <c r="T16" s="1"/>
  <c r="S85"/>
  <c r="T85" s="1"/>
  <c r="S53"/>
  <c r="T53" s="1"/>
  <c r="S21"/>
  <c r="T21" s="1"/>
  <c r="S90"/>
  <c r="T90" s="1"/>
  <c r="S58"/>
  <c r="T58" s="1"/>
  <c r="S26"/>
  <c r="T26" s="1"/>
  <c r="S95"/>
  <c r="T95" s="1"/>
  <c r="S63"/>
  <c r="T63" s="1"/>
  <c r="S31"/>
  <c r="T31" s="1"/>
  <c r="S100"/>
  <c r="T100" s="1"/>
  <c r="S68"/>
  <c r="T68" s="1"/>
  <c r="S36"/>
  <c r="T36" s="1"/>
  <c r="S6"/>
  <c r="T6" s="1"/>
  <c r="S73"/>
  <c r="T73" s="1"/>
  <c r="S41"/>
  <c r="T41" s="1"/>
  <c r="S9"/>
  <c r="T9" s="1"/>
  <c r="S78"/>
  <c r="T78" s="1"/>
  <c r="S46"/>
  <c r="T46" s="1"/>
  <c r="S14"/>
  <c r="T14" s="1"/>
  <c r="S83"/>
  <c r="T83" s="1"/>
  <c r="S51"/>
  <c r="T51" s="1"/>
  <c r="S19"/>
  <c r="T19" s="1"/>
  <c r="S88"/>
  <c r="T88" s="1"/>
  <c r="S56"/>
  <c r="T56" s="1"/>
  <c r="S24"/>
  <c r="T24" s="1"/>
  <c r="S93"/>
  <c r="T93" s="1"/>
  <c r="S61"/>
  <c r="T61" s="1"/>
  <c r="S29"/>
  <c r="T29" s="1"/>
  <c r="S98"/>
  <c r="T98" s="1"/>
  <c r="S66"/>
  <c r="T66" s="1"/>
  <c r="S34"/>
  <c r="T34" s="1"/>
  <c r="S104"/>
  <c r="T104" s="1"/>
  <c r="S71"/>
  <c r="T71" s="1"/>
  <c r="S39"/>
  <c r="T39" s="1"/>
  <c r="S8"/>
  <c r="T8" s="1"/>
  <c r="S76"/>
  <c r="T76" s="1"/>
  <c r="S44"/>
  <c r="T44" s="1"/>
  <c r="S12"/>
  <c r="T12" s="1"/>
  <c r="S81"/>
  <c r="T81" s="1"/>
  <c r="S49"/>
  <c r="T49" s="1"/>
  <c r="S17"/>
  <c r="T17" s="1"/>
  <c r="S86"/>
  <c r="T86" s="1"/>
  <c r="S54"/>
  <c r="T54" s="1"/>
  <c r="S22"/>
  <c r="T22" s="1"/>
  <c r="S91"/>
  <c r="T91" s="1"/>
  <c r="S59"/>
  <c r="T59" s="1"/>
  <c r="S27"/>
  <c r="T27" s="1"/>
  <c r="S96"/>
  <c r="T96" s="1"/>
  <c r="S64"/>
  <c r="T64" s="1"/>
  <c r="S32"/>
  <c r="T32" s="1"/>
  <c r="S101"/>
  <c r="T101" s="1"/>
  <c r="S69"/>
  <c r="T69" s="1"/>
  <c r="S37"/>
  <c r="T37" s="1"/>
  <c r="S74"/>
  <c r="T74" s="1"/>
  <c r="S42"/>
  <c r="T42" s="1"/>
  <c r="S10"/>
  <c r="T10" s="1"/>
  <c r="S79"/>
  <c r="T79" s="1"/>
  <c r="S47"/>
  <c r="T47" s="1"/>
  <c r="S15"/>
  <c r="T15" s="1"/>
  <c r="S84"/>
  <c r="T84" s="1"/>
  <c r="S52"/>
  <c r="T52" s="1"/>
  <c r="S20"/>
  <c r="T20" s="1"/>
  <c r="S89"/>
  <c r="T89" s="1"/>
  <c r="S57"/>
  <c r="T57" s="1"/>
  <c r="S25"/>
  <c r="T25" s="1"/>
  <c r="S94"/>
  <c r="T94" s="1"/>
  <c r="S62"/>
  <c r="T62" s="1"/>
  <c r="S30"/>
  <c r="T30" s="1"/>
  <c r="S99"/>
  <c r="T99" s="1"/>
  <c r="S67"/>
  <c r="T67" s="1"/>
  <c r="S35"/>
  <c r="T35" s="1"/>
  <c r="S103"/>
  <c r="T103" s="1"/>
  <c r="S72"/>
  <c r="T72" s="1"/>
  <c r="S40"/>
  <c r="T40" s="1"/>
  <c r="S5"/>
  <c r="T5" s="1"/>
  <c r="AC5" s="1"/>
  <c r="AE5" s="1"/>
  <c r="S77"/>
  <c r="T77" s="1"/>
  <c r="S45"/>
  <c r="T45" s="1"/>
  <c r="S13"/>
  <c r="T13" s="1"/>
  <c r="S82"/>
  <c r="T82" s="1"/>
  <c r="S50"/>
  <c r="T50" s="1"/>
  <c r="S18"/>
  <c r="T18" s="1"/>
  <c r="S87"/>
  <c r="T87" s="1"/>
  <c r="S55"/>
  <c r="T55" s="1"/>
  <c r="S23"/>
  <c r="T23" s="1"/>
  <c r="S92"/>
  <c r="T92" s="1"/>
  <c r="S60"/>
  <c r="T60" s="1"/>
  <c r="U23" l="1"/>
  <c r="AC23"/>
  <c r="V23"/>
  <c r="U87"/>
  <c r="V87"/>
  <c r="AC87"/>
  <c r="U50"/>
  <c r="V50"/>
  <c r="AC50"/>
  <c r="U13"/>
  <c r="V13"/>
  <c r="AC13"/>
  <c r="V77"/>
  <c r="AC77"/>
  <c r="U77"/>
  <c r="V40"/>
  <c r="AC40"/>
  <c r="U40"/>
  <c r="U103"/>
  <c r="V103"/>
  <c r="AC103"/>
  <c r="U67"/>
  <c r="V67"/>
  <c r="AC67"/>
  <c r="V30"/>
  <c r="AC30"/>
  <c r="U30"/>
  <c r="U94"/>
  <c r="V94"/>
  <c r="AC94"/>
  <c r="V57"/>
  <c r="AC57"/>
  <c r="U57"/>
  <c r="U20"/>
  <c r="V20"/>
  <c r="AC20"/>
  <c r="V84"/>
  <c r="U84"/>
  <c r="AC84"/>
  <c r="U47"/>
  <c r="AC47"/>
  <c r="V47"/>
  <c r="V10"/>
  <c r="AC10"/>
  <c r="U10"/>
  <c r="U74"/>
  <c r="AC74"/>
  <c r="V74"/>
  <c r="V69"/>
  <c r="AC69"/>
  <c r="U69"/>
  <c r="V32"/>
  <c r="AC32"/>
  <c r="U32"/>
  <c r="V96"/>
  <c r="U96"/>
  <c r="AC96"/>
  <c r="U59"/>
  <c r="V59"/>
  <c r="AC59"/>
  <c r="U22"/>
  <c r="AC22"/>
  <c r="V22"/>
  <c r="V86"/>
  <c r="U86"/>
  <c r="AC86"/>
  <c r="U49"/>
  <c r="AC49"/>
  <c r="V49"/>
  <c r="U12"/>
  <c r="V12"/>
  <c r="AC12"/>
  <c r="V76"/>
  <c r="U76"/>
  <c r="AC76"/>
  <c r="U39"/>
  <c r="AC39"/>
  <c r="V39"/>
  <c r="U104"/>
  <c r="V104"/>
  <c r="AC104"/>
  <c r="V66"/>
  <c r="AC66"/>
  <c r="U66"/>
  <c r="V29"/>
  <c r="U29"/>
  <c r="AC29"/>
  <c r="U93"/>
  <c r="AC93"/>
  <c r="V93"/>
  <c r="U56"/>
  <c r="V56"/>
  <c r="AC56"/>
  <c r="V19"/>
  <c r="AC19"/>
  <c r="U19"/>
  <c r="V83"/>
  <c r="U83"/>
  <c r="AC83"/>
  <c r="V46"/>
  <c r="U46"/>
  <c r="AC46"/>
  <c r="U9"/>
  <c r="AC9"/>
  <c r="V9"/>
  <c r="U73"/>
  <c r="AC73"/>
  <c r="V73"/>
  <c r="U36"/>
  <c r="V36"/>
  <c r="AC36"/>
  <c r="U100"/>
  <c r="AC100"/>
  <c r="V100"/>
  <c r="U63"/>
  <c r="V63"/>
  <c r="AC63"/>
  <c r="U26"/>
  <c r="AC26"/>
  <c r="V26"/>
  <c r="V90"/>
  <c r="AC90"/>
  <c r="U90"/>
  <c r="U53"/>
  <c r="AC53"/>
  <c r="V53"/>
  <c r="V16"/>
  <c r="AC16"/>
  <c r="U16"/>
  <c r="V80"/>
  <c r="U80"/>
  <c r="AC80"/>
  <c r="V43"/>
  <c r="AC43"/>
  <c r="U43"/>
  <c r="V7"/>
  <c r="U7"/>
  <c r="AC7"/>
  <c r="V70"/>
  <c r="U70"/>
  <c r="AC70"/>
  <c r="U33"/>
  <c r="V33"/>
  <c r="AC33"/>
  <c r="U97"/>
  <c r="AC97"/>
  <c r="V97"/>
  <c r="V60"/>
  <c r="U60"/>
  <c r="AC60"/>
  <c r="V92"/>
  <c r="U92"/>
  <c r="AC92"/>
  <c r="V55"/>
  <c r="U55"/>
  <c r="AC55"/>
  <c r="U18"/>
  <c r="AC18"/>
  <c r="V18"/>
  <c r="U82"/>
  <c r="AC82"/>
  <c r="V82"/>
  <c r="V45"/>
  <c r="U45"/>
  <c r="AC45"/>
  <c r="U5"/>
  <c r="V5"/>
  <c r="U72"/>
  <c r="V72"/>
  <c r="AC72"/>
  <c r="V35"/>
  <c r="AC35"/>
  <c r="U35"/>
  <c r="U99"/>
  <c r="V99"/>
  <c r="AC99"/>
  <c r="U62"/>
  <c r="V62"/>
  <c r="AC62"/>
  <c r="V25"/>
  <c r="U25"/>
  <c r="AC25"/>
  <c r="U89"/>
  <c r="AC89"/>
  <c r="V89"/>
  <c r="V52"/>
  <c r="U52"/>
  <c r="AC52"/>
  <c r="U15"/>
  <c r="AC15"/>
  <c r="V15"/>
  <c r="U79"/>
  <c r="V79"/>
  <c r="AC79"/>
  <c r="V42"/>
  <c r="AC42"/>
  <c r="U42"/>
  <c r="U37"/>
  <c r="V37"/>
  <c r="AC37"/>
  <c r="V101"/>
  <c r="AC101"/>
  <c r="U101"/>
  <c r="V64"/>
  <c r="U64"/>
  <c r="AC64"/>
  <c r="U27"/>
  <c r="AC27"/>
  <c r="V27"/>
  <c r="U91"/>
  <c r="V91"/>
  <c r="AC91"/>
  <c r="U54"/>
  <c r="V54"/>
  <c r="AC54"/>
  <c r="V17"/>
  <c r="U17"/>
  <c r="AC17"/>
  <c r="U81"/>
  <c r="AC81"/>
  <c r="V81"/>
  <c r="U44"/>
  <c r="V44"/>
  <c r="AC44"/>
  <c r="V8"/>
  <c r="AC8"/>
  <c r="U8"/>
  <c r="U71"/>
  <c r="V71"/>
  <c r="AC71"/>
  <c r="V34"/>
  <c r="AC34"/>
  <c r="U34"/>
  <c r="V98"/>
  <c r="AC98"/>
  <c r="U98"/>
  <c r="U61"/>
  <c r="AC61"/>
  <c r="V61"/>
  <c r="U24"/>
  <c r="AC24"/>
  <c r="V24"/>
  <c r="V88"/>
  <c r="U88"/>
  <c r="AC88"/>
  <c r="V51"/>
  <c r="U51"/>
  <c r="AC51"/>
  <c r="V14"/>
  <c r="AC14"/>
  <c r="U14"/>
  <c r="V78"/>
  <c r="U78"/>
  <c r="AC78"/>
  <c r="V41"/>
  <c r="U41"/>
  <c r="AC41"/>
  <c r="V6"/>
  <c r="AC6"/>
  <c r="U6"/>
  <c r="U68"/>
  <c r="V68"/>
  <c r="AC68"/>
  <c r="V31"/>
  <c r="AC31"/>
  <c r="U31"/>
  <c r="U95"/>
  <c r="V95"/>
  <c r="AC95"/>
  <c r="U58"/>
  <c r="AC58"/>
  <c r="V58"/>
  <c r="U21"/>
  <c r="V21"/>
  <c r="AC21"/>
  <c r="V85"/>
  <c r="AC85"/>
  <c r="U85"/>
  <c r="V48"/>
  <c r="U48"/>
  <c r="AC48"/>
  <c r="U11"/>
  <c r="AC11"/>
  <c r="V11"/>
  <c r="U75"/>
  <c r="V75"/>
  <c r="AC75"/>
  <c r="U38"/>
  <c r="AC38"/>
  <c r="V38"/>
  <c r="U102"/>
  <c r="V102"/>
  <c r="AC102"/>
  <c r="U65"/>
  <c r="AC65"/>
  <c r="V65"/>
  <c r="AD28"/>
  <c r="AE28"/>
  <c r="AE102" l="1"/>
  <c r="AD102"/>
  <c r="AE48"/>
  <c r="AD48"/>
  <c r="AE95"/>
  <c r="AD95"/>
  <c r="AD68"/>
  <c r="AE68"/>
  <c r="AE78"/>
  <c r="AD78"/>
  <c r="AD24"/>
  <c r="AE24"/>
  <c r="AD44"/>
  <c r="AE44"/>
  <c r="AD75"/>
  <c r="AE75"/>
  <c r="AE21"/>
  <c r="AD21"/>
  <c r="AD6"/>
  <c r="AE6"/>
  <c r="AD41"/>
  <c r="AE41"/>
  <c r="AD51"/>
  <c r="AE51"/>
  <c r="AD34"/>
  <c r="AE34"/>
  <c r="AE71"/>
  <c r="AD71"/>
  <c r="AD17"/>
  <c r="AE17"/>
  <c r="AE91"/>
  <c r="AD91"/>
  <c r="AE37"/>
  <c r="AD37"/>
  <c r="AD42"/>
  <c r="AE42"/>
  <c r="AE79"/>
  <c r="AD79"/>
  <c r="AD25"/>
  <c r="AE25"/>
  <c r="AD45"/>
  <c r="AE45"/>
  <c r="AD18"/>
  <c r="AE18"/>
  <c r="AD55"/>
  <c r="AE55"/>
  <c r="AD33"/>
  <c r="AE33"/>
  <c r="AD26"/>
  <c r="AE26"/>
  <c r="AE63"/>
  <c r="AD63"/>
  <c r="AE83"/>
  <c r="AD83"/>
  <c r="AD29"/>
  <c r="AE29"/>
  <c r="AE104"/>
  <c r="AD104"/>
  <c r="AE59"/>
  <c r="AD59"/>
  <c r="AD96"/>
  <c r="AE96"/>
  <c r="AD10"/>
  <c r="AE10"/>
  <c r="AE67"/>
  <c r="AD67"/>
  <c r="AD13"/>
  <c r="AE13"/>
  <c r="AE50"/>
  <c r="AD50"/>
  <c r="AE87"/>
  <c r="AD87"/>
  <c r="AD65"/>
  <c r="AE65"/>
  <c r="AE38"/>
  <c r="AD38"/>
  <c r="AE11"/>
  <c r="AD11"/>
  <c r="AD85"/>
  <c r="AE85"/>
  <c r="AE58"/>
  <c r="AD58"/>
  <c r="AE31"/>
  <c r="AD31"/>
  <c r="AE14"/>
  <c r="AD14"/>
  <c r="AD88"/>
  <c r="AE88"/>
  <c r="AD61"/>
  <c r="AE61"/>
  <c r="AD98"/>
  <c r="AE98"/>
  <c r="AE8"/>
  <c r="AD8"/>
  <c r="AD81"/>
  <c r="AE81"/>
  <c r="AE54"/>
  <c r="AD54"/>
  <c r="AE27"/>
  <c r="AD27"/>
  <c r="AD64"/>
  <c r="AE64"/>
  <c r="AE101"/>
  <c r="AD101"/>
  <c r="AE15"/>
  <c r="AD15"/>
  <c r="AD52"/>
  <c r="AE52"/>
  <c r="AD89"/>
  <c r="AE89"/>
  <c r="AE62"/>
  <c r="AD62"/>
  <c r="AD99"/>
  <c r="AE99"/>
  <c r="AE35"/>
  <c r="AD35"/>
  <c r="AE72"/>
  <c r="AD72"/>
  <c r="AD5"/>
  <c r="AE82"/>
  <c r="AD82"/>
  <c r="AD92"/>
  <c r="AE92"/>
  <c r="AD60"/>
  <c r="AE60"/>
  <c r="AE97"/>
  <c r="AD97"/>
  <c r="AE70"/>
  <c r="AD70"/>
  <c r="AE7"/>
  <c r="AD7"/>
  <c r="AE43"/>
  <c r="AD43"/>
  <c r="AD80"/>
  <c r="AE80"/>
  <c r="AE16"/>
  <c r="AD16"/>
  <c r="AD53"/>
  <c r="AE53"/>
  <c r="AE90"/>
  <c r="AD90"/>
  <c r="AD100"/>
  <c r="AE100"/>
  <c r="AD36"/>
  <c r="AE36"/>
  <c r="AD73"/>
  <c r="AE73"/>
  <c r="AD9"/>
  <c r="AE9"/>
  <c r="AE46"/>
  <c r="AD46"/>
  <c r="AE19"/>
  <c r="AD19"/>
  <c r="AE56"/>
  <c r="AD56"/>
  <c r="AE93"/>
  <c r="AD93"/>
  <c r="AE66"/>
  <c r="AD66"/>
  <c r="AD39"/>
  <c r="AE39"/>
  <c r="AD76"/>
  <c r="AE76"/>
  <c r="AE12"/>
  <c r="AD12"/>
  <c r="AE49"/>
  <c r="AD49"/>
  <c r="AE86"/>
  <c r="AD86"/>
  <c r="AE22"/>
  <c r="AD22"/>
  <c r="AE32"/>
  <c r="AD32"/>
  <c r="AD69"/>
  <c r="AE69"/>
  <c r="AE74"/>
  <c r="AD74"/>
  <c r="AE47"/>
  <c r="AD47"/>
  <c r="AE84"/>
  <c r="AD84"/>
  <c r="AD20"/>
  <c r="AE20"/>
  <c r="AE57"/>
  <c r="AD57"/>
  <c r="AE94"/>
  <c r="AD94"/>
  <c r="AD30"/>
  <c r="AE30"/>
  <c r="AE103"/>
  <c r="AD103"/>
  <c r="AE40"/>
  <c r="AD40"/>
  <c r="AD77"/>
  <c r="AE77"/>
  <c r="AE23"/>
  <c r="AD23"/>
  <c r="AI29" l="1" a="1"/>
  <c r="AI29" s="1"/>
  <c r="AI30" a="1"/>
  <c r="AI30" s="1"/>
  <c r="AI31" a="1"/>
  <c r="AI31" s="1"/>
</calcChain>
</file>

<file path=xl/sharedStrings.xml><?xml version="1.0" encoding="utf-8"?>
<sst xmlns="http://schemas.openxmlformats.org/spreadsheetml/2006/main" count="117" uniqueCount="91">
  <si>
    <t>Start</t>
  </si>
  <si>
    <t>Stop</t>
  </si>
  <si>
    <t>Points</t>
  </si>
  <si>
    <t>Hz</t>
  </si>
  <si>
    <t>Inteval</t>
  </si>
  <si>
    <t>A</t>
  </si>
  <si>
    <t>V</t>
  </si>
  <si>
    <t>L</t>
  </si>
  <si>
    <t>V/A</t>
  </si>
  <si>
    <t>jω</t>
  </si>
  <si>
    <t>BW</t>
  </si>
  <si>
    <t>pF</t>
  </si>
  <si>
    <t>D</t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</si>
  <si>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SET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</si>
  <si>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RT</t>
    </r>
  </si>
  <si>
    <r>
      <t>F</t>
    </r>
    <r>
      <rPr>
        <b/>
        <vertAlign val="subscript"/>
        <sz val="12"/>
        <color theme="1"/>
        <rFont val="ＭＳ Ｐゴシック"/>
        <family val="2"/>
        <scheme val="minor"/>
      </rPr>
      <t>SW</t>
    </r>
  </si>
  <si>
    <t>KHz</t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</si>
  <si>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IN</t>
    </r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</si>
  <si>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OUT</t>
    </r>
  </si>
  <si>
    <r>
      <t>I</t>
    </r>
    <r>
      <rPr>
        <b/>
        <vertAlign val="subscript"/>
        <sz val="12"/>
        <color theme="1"/>
        <rFont val="ＭＳ Ｐゴシック"/>
        <family val="2"/>
        <scheme val="minor"/>
      </rPr>
      <t>OUT</t>
    </r>
  </si>
  <si>
    <r>
      <t>C</t>
    </r>
    <r>
      <rPr>
        <b/>
        <vertAlign val="subscript"/>
        <sz val="12"/>
        <color theme="1"/>
        <rFont val="ＭＳ Ｐゴシック"/>
        <family val="2"/>
        <scheme val="minor"/>
      </rPr>
      <t>OUT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</si>
  <si>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UVLO1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</si>
  <si>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UVLO2</t>
    </r>
  </si>
  <si>
    <r>
      <t>m</t>
    </r>
    <r>
      <rPr>
        <b/>
        <sz val="12"/>
        <color theme="1"/>
        <rFont val="Calibri"/>
        <family val="2"/>
      </rPr>
      <t>Ω</t>
    </r>
  </si>
  <si>
    <r>
      <t>K</t>
    </r>
    <r>
      <rPr>
        <b/>
        <sz val="12"/>
        <color theme="1"/>
        <rFont val="Calibri"/>
        <family val="2"/>
      </rPr>
      <t>Ω</t>
    </r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</si>
  <si>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UVLO(ON)</t>
    </r>
  </si>
  <si>
    <t>Ω</t>
  </si>
  <si>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ＭＳ Ｐゴシック"/>
        <family val="2"/>
        <scheme val="minor"/>
      </rPr>
      <t>F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</si>
  <si>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SW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</si>
  <si>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L</t>
    </r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</si>
  <si>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D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</si>
  <si>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D</t>
    </r>
  </si>
  <si>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ＭＳ Ｐゴシック"/>
        <family val="2"/>
        <scheme val="minor"/>
      </rPr>
      <t>H</t>
    </r>
  </si>
  <si>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ＭＳ Ｐゴシック"/>
        <family val="2"/>
        <scheme val="minor"/>
      </rPr>
      <t>A/V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</si>
  <si>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2</t>
    </r>
  </si>
  <si>
    <r>
      <t>C</t>
    </r>
    <r>
      <rPr>
        <b/>
        <vertAlign val="subscript"/>
        <sz val="12"/>
        <color theme="1"/>
        <rFont val="ＭＳ Ｐゴシック"/>
        <family val="2"/>
        <scheme val="minor"/>
      </rPr>
      <t>2</t>
    </r>
  </si>
  <si>
    <r>
      <t>C</t>
    </r>
    <r>
      <rPr>
        <b/>
        <vertAlign val="subscript"/>
        <sz val="12"/>
        <color theme="1"/>
        <rFont val="ＭＳ Ｐゴシック"/>
        <family val="2"/>
        <scheme val="minor"/>
      </rPr>
      <t>3</t>
    </r>
  </si>
  <si>
    <r>
      <t>g</t>
    </r>
    <r>
      <rPr>
        <b/>
        <vertAlign val="subscript"/>
        <sz val="12"/>
        <color theme="1"/>
        <rFont val="ＭＳ Ｐゴシック"/>
        <family val="2"/>
        <scheme val="minor"/>
      </rPr>
      <t>M</t>
    </r>
  </si>
  <si>
    <r>
      <t>A</t>
    </r>
    <r>
      <rPr>
        <b/>
        <vertAlign val="subscript"/>
        <sz val="12"/>
        <color theme="1"/>
        <rFont val="ＭＳ Ｐゴシック"/>
        <family val="2"/>
        <scheme val="minor"/>
      </rPr>
      <t>OL</t>
    </r>
  </si>
  <si>
    <r>
      <t>M</t>
    </r>
    <r>
      <rPr>
        <b/>
        <sz val="12"/>
        <color theme="1"/>
        <rFont val="Calibri"/>
        <family val="2"/>
      </rPr>
      <t>Ω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</si>
  <si>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O</t>
    </r>
  </si>
  <si>
    <r>
      <t>C</t>
    </r>
    <r>
      <rPr>
        <b/>
        <vertAlign val="subscript"/>
        <sz val="12"/>
        <color theme="1"/>
        <rFont val="ＭＳ Ｐゴシック"/>
        <family val="2"/>
        <scheme val="minor"/>
      </rPr>
      <t>O</t>
    </r>
  </si>
  <si>
    <r>
      <t>K</t>
    </r>
    <r>
      <rPr>
        <b/>
        <vertAlign val="subscript"/>
        <sz val="12"/>
        <color theme="1"/>
        <rFont val="ＭＳ Ｐゴシック"/>
        <family val="2"/>
        <scheme val="minor"/>
      </rPr>
      <t>1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</si>
  <si>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i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</si>
  <si>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OUT</t>
    </r>
  </si>
  <si>
    <r>
      <t>K</t>
    </r>
    <r>
      <rPr>
        <b/>
        <vertAlign val="subscript"/>
        <sz val="12"/>
        <color theme="1"/>
        <rFont val="ＭＳ Ｐゴシック"/>
        <family val="2"/>
        <scheme val="minor"/>
      </rPr>
      <t>2</t>
    </r>
  </si>
  <si>
    <r>
      <t>L</t>
    </r>
    <r>
      <rPr>
        <b/>
        <vertAlign val="subscript"/>
        <sz val="12"/>
        <color theme="1"/>
        <rFont val="ＭＳ Ｐゴシック"/>
        <family val="2"/>
        <scheme val="minor"/>
      </rPr>
      <t>e</t>
    </r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</si>
  <si>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SW</t>
    </r>
  </si>
  <si>
    <t>K</t>
  </si>
  <si>
    <t>dB</t>
  </si>
  <si>
    <t>deg</t>
  </si>
  <si>
    <r>
      <t>C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'</t>
    </r>
  </si>
  <si>
    <r>
      <t>f</t>
    </r>
    <r>
      <rPr>
        <b/>
        <vertAlign val="subscript"/>
        <sz val="12"/>
        <color theme="1"/>
        <rFont val="ＭＳ Ｐゴシック"/>
        <family val="2"/>
        <scheme val="minor"/>
      </rPr>
      <t>h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</si>
  <si>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2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</si>
  <si>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+R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+R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'</t>
    </r>
  </si>
  <si>
    <r>
      <t>R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R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2</t>
    </r>
    <r>
      <rPr>
        <b/>
        <sz val="12"/>
        <color theme="1"/>
        <rFont val="ＭＳ Ｐゴシック"/>
        <family val="2"/>
        <scheme val="minor"/>
      </rPr>
      <t>C</t>
    </r>
    <r>
      <rPr>
        <b/>
        <vertAlign val="subscript"/>
        <sz val="12"/>
        <color theme="1"/>
        <rFont val="ＭＳ Ｐゴシック"/>
        <family val="2"/>
        <scheme val="minor"/>
      </rPr>
      <t>o</t>
    </r>
    <r>
      <rPr>
        <b/>
        <sz val="12"/>
        <color theme="1"/>
        <rFont val="ＭＳ Ｐゴシック"/>
        <family val="2"/>
        <scheme val="minor"/>
      </rPr>
      <t>'</t>
    </r>
  </si>
  <si>
    <t>comp</t>
  </si>
  <si>
    <t>LG</t>
  </si>
  <si>
    <t>f (Hz)</t>
  </si>
  <si>
    <t>Calculated cell</t>
  </si>
  <si>
    <t>User-Input cell</t>
  </si>
  <si>
    <r>
      <t>ω</t>
    </r>
    <r>
      <rPr>
        <b/>
        <vertAlign val="subscript"/>
        <sz val="12"/>
        <color theme="1"/>
        <rFont val="Calibri"/>
        <family val="2"/>
      </rPr>
      <t>P1</t>
    </r>
  </si>
  <si>
    <r>
      <t>ω</t>
    </r>
    <r>
      <rPr>
        <b/>
        <vertAlign val="subscript"/>
        <sz val="12"/>
        <color theme="1"/>
        <rFont val="Calibri"/>
        <family val="2"/>
      </rPr>
      <t>P2</t>
    </r>
  </si>
  <si>
    <t>comp2</t>
  </si>
  <si>
    <r>
      <t>V</t>
    </r>
    <r>
      <rPr>
        <b/>
        <vertAlign val="subscript"/>
        <sz val="12"/>
        <color theme="1"/>
        <rFont val="ＭＳ Ｐゴシック"/>
        <family val="2"/>
        <scheme val="minor"/>
      </rPr>
      <t>pp</t>
    </r>
  </si>
  <si>
    <r>
      <t>M</t>
    </r>
    <r>
      <rPr>
        <b/>
        <vertAlign val="subscript"/>
        <sz val="12"/>
        <color theme="1"/>
        <rFont val="ＭＳ Ｐゴシック"/>
        <family val="2"/>
        <scheme val="minor"/>
      </rPr>
      <t>e</t>
    </r>
  </si>
  <si>
    <r>
      <t>M</t>
    </r>
    <r>
      <rPr>
        <b/>
        <vertAlign val="subscript"/>
        <sz val="12"/>
        <color theme="1"/>
        <rFont val="ＭＳ Ｐゴシック"/>
        <family val="2"/>
        <scheme val="minor"/>
      </rPr>
      <t>n</t>
    </r>
  </si>
  <si>
    <r>
      <t>K</t>
    </r>
    <r>
      <rPr>
        <b/>
        <vertAlign val="subscript"/>
        <sz val="12"/>
        <color theme="1"/>
        <rFont val="ＭＳ Ｐゴシック"/>
        <family val="2"/>
        <scheme val="minor"/>
      </rPr>
      <t>n</t>
    </r>
  </si>
  <si>
    <r>
      <t>K</t>
    </r>
    <r>
      <rPr>
        <b/>
        <vertAlign val="subscript"/>
        <sz val="12"/>
        <color theme="1"/>
        <rFont val="ＭＳ Ｐゴシック"/>
        <family val="2"/>
        <scheme val="minor"/>
      </rPr>
      <t>e</t>
    </r>
  </si>
  <si>
    <r>
      <t>?/</t>
    </r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ＭＳ Ｐゴシック"/>
        <family val="2"/>
        <scheme val="minor"/>
      </rPr>
      <t>S</t>
    </r>
  </si>
  <si>
    <r>
      <t>K</t>
    </r>
    <r>
      <rPr>
        <b/>
        <vertAlign val="subscript"/>
        <sz val="12"/>
        <color theme="1"/>
        <rFont val="ＭＳ Ｐゴシック"/>
        <family val="2"/>
        <scheme val="minor"/>
      </rPr>
      <t>dc</t>
    </r>
  </si>
  <si>
    <r>
      <t>ω</t>
    </r>
    <r>
      <rPr>
        <b/>
        <vertAlign val="subscript"/>
        <sz val="12"/>
        <color theme="1"/>
        <rFont val="ＭＳ Ｐゴシック"/>
        <family val="2"/>
        <scheme val="minor"/>
      </rPr>
      <t>p</t>
    </r>
  </si>
  <si>
    <r>
      <t>ω</t>
    </r>
    <r>
      <rPr>
        <b/>
        <vertAlign val="subscript"/>
        <sz val="12"/>
        <color theme="1"/>
        <rFont val="ＭＳ Ｐゴシック"/>
        <family val="2"/>
        <scheme val="minor"/>
      </rPr>
      <t>z</t>
    </r>
  </si>
  <si>
    <r>
      <t>ω</t>
    </r>
    <r>
      <rPr>
        <b/>
        <vertAlign val="subscript"/>
        <sz val="12"/>
        <color theme="1"/>
        <rFont val="ＭＳ Ｐゴシック"/>
        <family val="2"/>
        <scheme val="minor"/>
      </rPr>
      <t>rhp</t>
    </r>
  </si>
  <si>
    <r>
      <t>ω</t>
    </r>
    <r>
      <rPr>
        <b/>
        <vertAlign val="subscript"/>
        <sz val="12"/>
        <color theme="1"/>
        <rFont val="ＭＳ Ｐゴシック"/>
        <family val="2"/>
        <scheme val="minor"/>
      </rPr>
      <t>n</t>
    </r>
  </si>
  <si>
    <r>
      <t>m</t>
    </r>
    <r>
      <rPr>
        <b/>
        <vertAlign val="subscript"/>
        <sz val="12"/>
        <color theme="1"/>
        <rFont val="ＭＳ Ｐゴシック"/>
        <family val="2"/>
        <scheme val="minor"/>
      </rPr>
      <t>c</t>
    </r>
  </si>
  <si>
    <r>
      <t>Q</t>
    </r>
    <r>
      <rPr>
        <b/>
        <vertAlign val="subscript"/>
        <sz val="12"/>
        <color theme="1"/>
        <rFont val="ＭＳ Ｐゴシック"/>
        <family val="2"/>
        <scheme val="minor"/>
      </rPr>
      <t>p</t>
    </r>
  </si>
  <si>
    <r>
      <t>ω</t>
    </r>
    <r>
      <rPr>
        <b/>
        <vertAlign val="subscript"/>
        <sz val="12"/>
        <color theme="1"/>
        <rFont val="Calibri"/>
        <family val="2"/>
      </rPr>
      <t>Z</t>
    </r>
  </si>
  <si>
    <t>Control to Output</t>
  </si>
  <si>
    <r>
      <t>v</t>
    </r>
    <r>
      <rPr>
        <b/>
        <vertAlign val="subscript"/>
        <sz val="12"/>
        <color rgb="FFFF0000"/>
        <rFont val="ＭＳ Ｐゴシック"/>
        <family val="2"/>
        <scheme val="minor"/>
      </rPr>
      <t>o</t>
    </r>
    <r>
      <rPr>
        <b/>
        <sz val="12"/>
        <color rgb="FFFF0000"/>
        <rFont val="ＭＳ Ｐゴシック"/>
        <family val="2"/>
        <scheme val="minor"/>
      </rPr>
      <t>/v</t>
    </r>
    <r>
      <rPr>
        <b/>
        <vertAlign val="subscript"/>
        <sz val="12"/>
        <color rgb="FFFF0000"/>
        <rFont val="ＭＳ Ｐゴシック"/>
        <family val="2"/>
        <scheme val="minor"/>
      </rPr>
      <t>c</t>
    </r>
  </si>
  <si>
    <t>Compensation</t>
  </si>
  <si>
    <t>Loop Gain</t>
  </si>
  <si>
    <t>Phase Margin:</t>
  </si>
  <si>
    <t>Gain Margin:</t>
  </si>
  <si>
    <t>Crossover Freq:</t>
  </si>
  <si>
    <t>kHz</t>
  </si>
  <si>
    <t>"TPS84259 Calculator" by IPS Team (8/20/2012)</t>
  </si>
  <si>
    <r>
      <t>k</t>
    </r>
    <r>
      <rPr>
        <b/>
        <sz val="12"/>
        <color theme="1"/>
        <rFont val="Calibri"/>
        <family val="2"/>
      </rPr>
      <t>Ω</t>
    </r>
  </si>
  <si>
    <t>ESR</t>
  </si>
  <si>
    <t>Max Iout vs Vin for Popular Vout</t>
  </si>
  <si>
    <t>Buck-Boost Design Analysis Tool</t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</si>
</sst>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.000"/>
    <numFmt numFmtId="178" formatCode="0.0"/>
  </numFmts>
  <fonts count="14"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vertAlign val="subscript"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b/>
      <sz val="12"/>
      <color rgb="FFFF0000"/>
      <name val="ＭＳ Ｐゴシック"/>
      <family val="2"/>
      <scheme val="minor"/>
    </font>
    <font>
      <b/>
      <vertAlign val="subscript"/>
      <sz val="12"/>
      <color rgb="FFFF0000"/>
      <name val="ＭＳ Ｐゴシック"/>
      <family val="2"/>
      <scheme val="minor"/>
    </font>
    <font>
      <b/>
      <sz val="12"/>
      <color rgb="FF0099FF"/>
      <name val="ＭＳ Ｐゴシック"/>
      <family val="2"/>
      <scheme val="minor"/>
    </font>
    <font>
      <b/>
      <sz val="12"/>
      <color rgb="FF00B050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10"/>
      <name val="Arial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1" fontId="1" fillId="0" borderId="0" xfId="0" applyNumberFormat="1" applyFont="1"/>
    <xf numFmtId="17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78" fontId="3" fillId="4" borderId="16" xfId="0" applyNumberFormat="1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1" fontId="3" fillId="0" borderId="3" xfId="0" applyNumberFormat="1" applyFont="1" applyBorder="1" applyAlignment="1" applyProtection="1">
      <alignment horizontal="center"/>
      <protection hidden="1"/>
    </xf>
    <xf numFmtId="11" fontId="3" fillId="3" borderId="0" xfId="0" applyNumberFormat="1" applyFont="1" applyFill="1" applyBorder="1" applyAlignment="1" applyProtection="1">
      <alignment horizontal="center"/>
      <protection hidden="1"/>
    </xf>
    <xf numFmtId="11" fontId="3" fillId="0" borderId="0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11" fontId="3" fillId="0" borderId="0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2" fontId="3" fillId="3" borderId="0" xfId="0" applyNumberFormat="1" applyFont="1" applyFill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178" fontId="3" fillId="0" borderId="0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1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11" fillId="0" borderId="0" xfId="1"/>
    <xf numFmtId="2" fontId="11" fillId="0" borderId="0" xfId="1" applyNumberFormat="1"/>
    <xf numFmtId="2" fontId="11" fillId="0" borderId="0" xfId="1" applyNumberFormat="1" applyFill="1" applyBorder="1"/>
    <xf numFmtId="0" fontId="11" fillId="0" borderId="21" xfId="1" applyBorder="1"/>
    <xf numFmtId="0" fontId="11" fillId="0" borderId="0" xfId="1" applyFill="1" applyBorder="1"/>
    <xf numFmtId="0" fontId="11" fillId="0" borderId="22" xfId="1" applyBorder="1"/>
    <xf numFmtId="0" fontId="12" fillId="0" borderId="0" xfId="1" applyFont="1"/>
    <xf numFmtId="15" fontId="11" fillId="0" borderId="0" xfId="1" applyNumberFormat="1"/>
    <xf numFmtId="0" fontId="11" fillId="0" borderId="0" xfId="1" applyAlignment="1">
      <alignment horizontal="center"/>
    </xf>
    <xf numFmtId="0" fontId="11" fillId="0" borderId="0" xfId="1" applyBorder="1"/>
    <xf numFmtId="0" fontId="11" fillId="0" borderId="21" xfId="1" applyFill="1" applyBorder="1"/>
    <xf numFmtId="1" fontId="3" fillId="4" borderId="10" xfId="0" applyNumberFormat="1" applyFont="1" applyFill="1" applyBorder="1" applyAlignment="1" applyProtection="1">
      <alignment horizontal="center"/>
      <protection hidden="1"/>
    </xf>
    <xf numFmtId="1" fontId="3" fillId="4" borderId="13" xfId="0" applyNumberFormat="1" applyFont="1" applyFill="1" applyBorder="1" applyAlignment="1" applyProtection="1">
      <alignment horizontal="center"/>
      <protection hidden="1"/>
    </xf>
    <xf numFmtId="1" fontId="3" fillId="4" borderId="16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 2" xfId="1"/>
    <cellStyle name="標準" xfId="0" builtinId="0"/>
  </cellStyles>
  <dxfs count="0"/>
  <tableStyles count="0" defaultTableStyle="TableStyleMedium9" defaultPivotStyle="PivotStyleLight16"/>
  <colors>
    <mruColors>
      <color rgb="FF33CCCC"/>
      <color rgb="FF0099FF"/>
      <color rgb="FF0000FF"/>
      <color rgb="FFFF0000"/>
      <color rgb="FFFF9933"/>
      <color rgb="FFFF5050"/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/>
              <a:t>TPS84259 Bode Plot</a:t>
            </a:r>
          </a:p>
        </c:rich>
      </c:tx>
      <c:layout>
        <c:manualLayout>
          <c:xMode val="edge"/>
          <c:yMode val="edge"/>
          <c:x val="0.38414430524539422"/>
          <c:y val="2.295915600294553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926658363638765"/>
          <c:y val="0.11709792250772637"/>
          <c:w val="0.75532037104016569"/>
          <c:h val="0.73092863814390197"/>
        </c:manualLayout>
      </c:layout>
      <c:scatterChart>
        <c:scatterStyle val="smoothMarker"/>
        <c:ser>
          <c:idx val="3"/>
          <c:order val="0"/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Calculator!$Q$5:$Q$104</c:f>
              <c:numCache>
                <c:formatCode>0</c:formatCode>
                <c:ptCount val="100"/>
                <c:pt idx="0">
                  <c:v>1000</c:v>
                </c:pt>
                <c:pt idx="1">
                  <c:v>1064.7859778233492</c:v>
                </c:pt>
                <c:pt idx="2">
                  <c:v>1133.7691785692259</c:v>
                </c:pt>
                <c:pt idx="3">
                  <c:v>1207.2215234288087</c:v>
                </c:pt>
                <c:pt idx="4">
                  <c:v>1285.4325502735373</c:v>
                </c:pt>
                <c:pt idx="5">
                  <c:v>1368.71055496897</c:v>
                </c:pt>
                <c:pt idx="6">
                  <c:v>1457.3838066297737</c:v>
                </c:pt>
                <c:pt idx="7">
                  <c:v>1551.8018416061986</c:v>
                </c:pt>
                <c:pt idx="8">
                  <c:v>1652.3368413027304</c:v>
                </c:pt>
                <c:pt idx="9">
                  <c:v>1759.3850992600721</c:v>
                </c:pt>
                <c:pt idx="10">
                  <c:v>1873.3685832834663</c:v>
                </c:pt>
                <c:pt idx="11">
                  <c:v>1994.7365987750281</c:v>
                </c:pt>
                <c:pt idx="12">
                  <c:v>2123.9675598266904</c:v>
                </c:pt>
                <c:pt idx="13">
                  <c:v>2261.5708750551357</c:v>
                </c:pt>
                <c:pt idx="14">
                  <c:v>2408.0889556123902</c:v>
                </c:pt>
                <c:pt idx="15">
                  <c:v>2564.0993532873467</c:v>
                </c:pt>
                <c:pt idx="16">
                  <c:v>2730.217037126285</c:v>
                </c:pt>
                <c:pt idx="17">
                  <c:v>2907.0968175464791</c:v>
                </c:pt>
                <c:pt idx="18">
                  <c:v>3095.4359274983744</c:v>
                </c:pt>
                <c:pt idx="19">
                  <c:v>3295.9767708508825</c:v>
                </c:pt>
                <c:pt idx="20">
                  <c:v>3509.509848833502</c:v>
                </c:pt>
                <c:pt idx="21">
                  <c:v>3736.8768760708554</c:v>
                </c:pt>
                <c:pt idx="22">
                  <c:v>3978.9740984925684</c:v>
                </c:pt>
                <c:pt idx="23">
                  <c:v>4236.755826197189</c:v>
                </c:pt>
                <c:pt idx="24">
                  <c:v>4511.2381951961461</c:v>
                </c:pt>
                <c:pt idx="25">
                  <c:v>4803.5031728659696</c:v>
                </c:pt>
                <c:pt idx="26">
                  <c:v>5114.7028228976524</c:v>
                </c:pt>
                <c:pt idx="27">
                  <c:v>5446.0638465549218</c:v>
                </c:pt>
                <c:pt idx="28">
                  <c:v>5798.8924181423736</c:v>
                </c:pt>
                <c:pt idx="29">
                  <c:v>6174.5793337441337</c:v>
                </c:pt>
                <c:pt idx="30">
                  <c:v>6574.605493528592</c:v>
                </c:pt>
                <c:pt idx="31">
                  <c:v>7000.5477392296052</c:v>
                </c:pt>
                <c:pt idx="32">
                  <c:v>7454.0850698146323</c:v>
                </c:pt>
                <c:pt idx="33">
                  <c:v>7937.005259841002</c:v>
                </c:pt>
                <c:pt idx="34">
                  <c:v>8451.2119065888674</c:v>
                </c:pt>
                <c:pt idx="35">
                  <c:v>8998.7319337495592</c:v>
                </c:pt>
                <c:pt idx="36">
                  <c:v>9581.7235812477229</c:v>
                </c:pt>
                <c:pt idx="37">
                  <c:v>10202.4849126919</c:v>
                </c:pt>
                <c:pt idx="38">
                  <c:v>10863.462873988612</c:v>
                </c:pt>
                <c:pt idx="39">
                  <c:v>11567.262938827616</c:v>
                </c:pt>
                <c:pt idx="40">
                  <c:v>12316.659379059352</c:v>
                </c:pt>
                <c:pt idx="41">
                  <c:v>13114.606200448838</c:v>
                </c:pt>
                <c:pt idx="42">
                  <c:v>13964.248786913075</c:v>
                </c:pt>
                <c:pt idx="43">
                  <c:v>14868.936299141757</c:v>
                </c:pt>
                <c:pt idx="44">
                  <c:v>15832.234876474748</c:v>
                </c:pt>
                <c:pt idx="45">
                  <c:v>16857.941694076097</c:v>
                </c:pt>
                <c:pt idx="46">
                  <c:v>17950.099930815824</c:v>
                </c:pt>
                <c:pt idx="47">
                  <c:v>19113.014706860562</c:v>
                </c:pt>
                <c:pt idx="48">
                  <c:v>20351.270053796579</c:v>
                </c:pt>
                <c:pt idx="49">
                  <c:v>21669.746984178837</c:v>
                </c:pt>
                <c:pt idx="50">
                  <c:v>23073.642731733438</c:v>
                </c:pt>
                <c:pt idx="51">
                  <c:v>24568.491238055405</c:v>
                </c:pt>
                <c:pt idx="52">
                  <c:v>26160.184966557212</c:v>
                </c:pt>
                <c:pt idx="53">
                  <c:v>27854.998129655301</c:v>
                </c:pt>
                <c:pt idx="54">
                  <c:v>29659.611420752586</c:v>
                </c:pt>
                <c:pt idx="55">
                  <c:v>31581.138348506622</c:v>
                </c:pt>
                <c:pt idx="56">
                  <c:v>33627.1532771891</c:v>
                </c:pt>
                <c:pt idx="57">
                  <c:v>35805.721283667437</c:v>
                </c:pt>
                <c:pt idx="58">
                  <c:v>38125.429948700141</c:v>
                </c:pt>
                <c:pt idx="59">
                  <c:v>40595.423207862281</c:v>
                </c:pt>
                <c:pt idx="60">
                  <c:v>43225.437395536326</c:v>
                </c:pt>
                <c:pt idx="61">
                  <c:v>46025.839624048116</c:v>
                </c:pt>
                <c:pt idx="62">
                  <c:v>49007.668649232728</c:v>
                </c:pt>
                <c:pt idx="63">
                  <c:v>52182.678383515966</c:v>
                </c:pt>
                <c:pt idx="64">
                  <c:v>55563.384228033399</c:v>
                </c:pt>
                <c:pt idx="65">
                  <c:v>59163.112406421009</c:v>
                </c:pt>
                <c:pt idx="66">
                  <c:v>62996.052494743722</c:v>
                </c:pt>
                <c:pt idx="67">
                  <c:v>67077.313354626735</c:v>
                </c:pt>
                <c:pt idx="68">
                  <c:v>71422.982690069432</c:v>
                </c:pt>
                <c:pt idx="69">
                  <c:v>76050.190462705723</c:v>
                </c:pt>
                <c:pt idx="70">
                  <c:v>80977.176415484064</c:v>
                </c:pt>
                <c:pt idx="71">
                  <c:v>86223.361970935061</c:v>
                </c:pt>
                <c:pt idx="72">
                  <c:v>91809.426787438671</c:v>
                </c:pt>
                <c:pt idx="73">
                  <c:v>97757.390275264086</c:v>
                </c:pt>
                <c:pt idx="74">
                  <c:v>104090.69839370584</c:v>
                </c:pt>
                <c:pt idx="75">
                  <c:v>110834.3160714574</c:v>
                </c:pt>
                <c:pt idx="76">
                  <c:v>118014.82561452893</c:v>
                </c:pt>
                <c:pt idx="77">
                  <c:v>125660.53148961824</c:v>
                </c:pt>
                <c:pt idx="78">
                  <c:v>133801.57189597492</c:v>
                </c:pt>
                <c:pt idx="79">
                  <c:v>142470.03756555682</c:v>
                </c:pt>
                <c:pt idx="80">
                  <c:v>151700.09825977072</c:v>
                </c:pt>
                <c:pt idx="81">
                  <c:v>161528.13746142812</c:v>
                </c:pt>
                <c:pt idx="82">
                  <c:v>171992.89579285111</c:v>
                </c:pt>
                <c:pt idx="83">
                  <c:v>183135.62372546038</c:v>
                </c:pt>
                <c:pt idx="84">
                  <c:v>195000.24418280329</c:v>
                </c:pt>
                <c:pt idx="85">
                  <c:v>207633.52567797809</c:v>
                </c:pt>
                <c:pt idx="86">
                  <c:v>221085.26666793539</c:v>
                </c:pt>
                <c:pt idx="87">
                  <c:v>235408.49185135349</c:v>
                </c:pt>
                <c:pt idx="88">
                  <c:v>250659.66118386338</c:v>
                </c:pt>
                <c:pt idx="89">
                  <c:v>266898.89243452938</c:v>
                </c:pt>
                <c:pt idx="90">
                  <c:v>284190.1981608693</c:v>
                </c:pt>
                <c:pt idx="91">
                  <c:v>302601.7380365326</c:v>
                </c:pt>
                <c:pt idx="92">
                  <c:v>322206.08752627432</c:v>
                </c:pt>
                <c:pt idx="93">
                  <c:v>343080.52396729967</c:v>
                </c:pt>
                <c:pt idx="94">
                  <c:v>365307.33118466818</c:v>
                </c:pt>
                <c:pt idx="95">
                  <c:v>388974.12384150497</c:v>
                </c:pt>
                <c:pt idx="96">
                  <c:v>414174.19280255743</c:v>
                </c:pt>
                <c:pt idx="97">
                  <c:v>441006.8728724675</c:v>
                </c:pt>
                <c:pt idx="98">
                  <c:v>469577.93435832777</c:v>
                </c:pt>
                <c:pt idx="99">
                  <c:v>500000.00000000052</c:v>
                </c:pt>
              </c:numCache>
            </c:numRef>
          </c:xVal>
          <c:yVal>
            <c:numRef>
              <c:f>Calculator!$AD$5:$AD$104</c:f>
              <c:numCache>
                <c:formatCode>General</c:formatCode>
                <c:ptCount val="100"/>
                <c:pt idx="0">
                  <c:v>20.682499917188764</c:v>
                </c:pt>
                <c:pt idx="1">
                  <c:v>19.859425037694411</c:v>
                </c:pt>
                <c:pt idx="2">
                  <c:v>19.052851660602904</c:v>
                </c:pt>
                <c:pt idx="3">
                  <c:v>18.262795324389</c:v>
                </c:pt>
                <c:pt idx="4">
                  <c:v>17.489131092476452</c:v>
                </c:pt>
                <c:pt idx="5">
                  <c:v>16.731600168871221</c:v>
                </c:pt>
                <c:pt idx="6">
                  <c:v>15.989820119464317</c:v>
                </c:pt>
                <c:pt idx="7">
                  <c:v>15.263298114773319</c:v>
                </c:pt>
                <c:pt idx="8">
                  <c:v>14.551446450402723</c:v>
                </c:pt>
                <c:pt idx="9">
                  <c:v>13.853599516309728</c:v>
                </c:pt>
                <c:pt idx="10">
                  <c:v>13.169031376344595</c:v>
                </c:pt>
                <c:pt idx="11">
                  <c:v>12.496973177109318</c:v>
                </c:pt>
                <c:pt idx="12">
                  <c:v>11.836629714599432</c:v>
                </c:pt>
                <c:pt idx="13">
                  <c:v>11.187194629404596</c:v>
                </c:pt>
                <c:pt idx="14">
                  <c:v>10.547863857311937</c:v>
                </c:pt>
                <c:pt idx="15">
                  <c:v>9.9178471152833669</c:v>
                </c:pt>
                <c:pt idx="16">
                  <c:v>9.2963773403468366</c:v>
                </c:pt>
                <c:pt idx="17">
                  <c:v>8.6827181129711626</c:v>
                </c:pt>
                <c:pt idx="18">
                  <c:v>8.0761691834337022</c:v>
                </c:pt>
                <c:pt idx="19">
                  <c:v>7.4760702795189644</c:v>
                </c:pt>
                <c:pt idx="20">
                  <c:v>6.881803409144589</c:v>
                </c:pt>
                <c:pt idx="21">
                  <c:v>6.2927938862107036</c:v>
                </c:pt>
                <c:pt idx="22">
                  <c:v>5.708510306708269</c:v>
                </c:pt>
                <c:pt idx="23">
                  <c:v>5.128463689439581</c:v>
                </c:pt>
                <c:pt idx="24">
                  <c:v>4.5522059756550961</c:v>
                </c:pt>
                <c:pt idx="25">
                  <c:v>3.9793280578345964</c:v>
                </c:pt>
                <c:pt idx="26">
                  <c:v>3.4094574823325745</c:v>
                </c:pt>
                <c:pt idx="27">
                  <c:v>2.8422559455064285</c:v>
                </c:pt>
                <c:pt idx="28">
                  <c:v>2.2774166794955146</c:v>
                </c:pt>
                <c:pt idx="29">
                  <c:v>1.7146618027367742</c:v>
                </c:pt>
                <c:pt idx="30">
                  <c:v>1.1537396919113905</c:v>
                </c:pt>
                <c:pt idx="31">
                  <c:v>0.59442241640968885</c:v>
                </c:pt>
                <c:pt idx="32">
                  <c:v>3.6503263432570265E-2</c:v>
                </c:pt>
                <c:pt idx="33">
                  <c:v>-0.52020562868665843</c:v>
                </c:pt>
                <c:pt idx="34">
                  <c:v>-1.0758755197453125</c:v>
                </c:pt>
                <c:pt idx="35">
                  <c:v>-1.6306631968594889</c:v>
                </c:pt>
                <c:pt idx="36">
                  <c:v>-2.1847129858823475</c:v>
                </c:pt>
                <c:pt idx="37">
                  <c:v>-2.7381586510216698</c:v>
                </c:pt>
                <c:pt idx="38">
                  <c:v>-3.291125191194463</c:v>
                </c:pt>
                <c:pt idx="39">
                  <c:v>-3.8437305433505786</c:v>
                </c:pt>
                <c:pt idx="40">
                  <c:v>-4.3960872039238676</c:v>
                </c:pt>
                <c:pt idx="41">
                  <c:v>-4.9483037798762028</c:v>
                </c:pt>
                <c:pt idx="42">
                  <c:v>-5.5004864805253426</c:v>
                </c:pt>
                <c:pt idx="43">
                  <c:v>-6.0527405605380498</c:v>
                </c:pt>
                <c:pt idx="44">
                  <c:v>-6.6051717231221403</c:v>
                </c:pt>
                <c:pt idx="45">
                  <c:v>-7.1578874905009133</c:v>
                </c:pt>
                <c:pt idx="46">
                  <c:v>-7.7109985461513544</c:v>
                </c:pt>
                <c:pt idx="47">
                  <c:v>-8.2646200498842752</c:v>
                </c:pt>
                <c:pt idx="48">
                  <c:v>-8.8188729224957854</c:v>
                </c:pt>
                <c:pt idx="49">
                  <c:v>-9.373885091236275</c:v>
                </c:pt>
                <c:pt idx="50">
                  <c:v>-9.9297926804677576</c:v>
                </c:pt>
                <c:pt idx="51">
                  <c:v>-10.486741123365102</c:v>
                </c:pt>
                <c:pt idx="52">
                  <c:v>-11.044886160074185</c:v>
                </c:pt>
                <c:pt idx="53">
                  <c:v>-11.60439467503754</c:v>
                </c:pt>
                <c:pt idx="54">
                  <c:v>-12.165445311006803</c:v>
                </c:pt>
                <c:pt idx="55">
                  <c:v>-12.728228779299997</c:v>
                </c:pt>
                <c:pt idx="56">
                  <c:v>-13.292947765051883</c:v>
                </c:pt>
                <c:pt idx="57">
                  <c:v>-13.859816302593202</c:v>
                </c:pt>
                <c:pt idx="58">
                  <c:v>-14.429058470011942</c:v>
                </c:pt>
                <c:pt idx="59">
                  <c:v>-15.000906224140046</c:v>
                </c:pt>
                <c:pt idx="60">
                  <c:v>-15.575596168900098</c:v>
                </c:pt>
                <c:pt idx="61">
                  <c:v>-16.153365023022232</c:v>
                </c:pt>
                <c:pt idx="62">
                  <c:v>-16.734443530279009</c:v>
                </c:pt>
                <c:pt idx="63">
                  <c:v>-17.319048540024028</c:v>
                </c:pt>
                <c:pt idx="64">
                  <c:v>-17.907372982276133</c:v>
                </c:pt>
                <c:pt idx="65">
                  <c:v>-18.499573474753429</c:v>
                </c:pt>
                <c:pt idx="66">
                  <c:v>-19.095755334347352</c:v>
                </c:pt>
                <c:pt idx="67">
                  <c:v>-19.695954827425574</c:v>
                </c:pt>
                <c:pt idx="68">
                  <c:v>-20.300118585880554</c:v>
                </c:pt>
                <c:pt idx="69">
                  <c:v>-20.908080240766353</c:v>
                </c:pt>
                <c:pt idx="70">
                  <c:v>-21.519534481505303</c:v>
                </c:pt>
                <c:pt idx="71">
                  <c:v>-22.134008931167347</c:v>
                </c:pt>
                <c:pt idx="72">
                  <c:v>-22.750834428814834</c:v>
                </c:pt>
                <c:pt idx="73">
                  <c:v>-23.369114517340183</c:v>
                </c:pt>
                <c:pt idx="74">
                  <c:v>-23.987695138565325</c:v>
                </c:pt>
                <c:pt idx="75">
                  <c:v>-24.605135729982109</c:v>
                </c:pt>
                <c:pt idx="76">
                  <c:v>-25.219683103612688</c:v>
                </c:pt>
                <c:pt idx="77">
                  <c:v>-25.829249691365945</c:v>
                </c:pt>
                <c:pt idx="78">
                  <c:v>-26.431398019767606</c:v>
                </c:pt>
                <c:pt idx="79">
                  <c:v>-27.023333737406364</c:v>
                </c:pt>
                <c:pt idx="80">
                  <c:v>-27.601910346324146</c:v>
                </c:pt>
                <c:pt idx="81">
                  <c:v>-28.163650292784119</c:v>
                </c:pt>
                <c:pt idx="82">
                  <c:v>-28.704789761934578</c:v>
                </c:pt>
                <c:pt idx="83">
                  <c:v>-29.221359230955677</c:v>
                </c:pt>
                <c:pt idx="84">
                  <c:v>-29.709319934524324</c:v>
                </c:pt>
                <c:pt idx="85">
                  <c:v>-30.164790080344158</c:v>
                </c:pt>
                <c:pt idx="86">
                  <c:v>-30.58441726486333</c:v>
                </c:pt>
                <c:pt idx="87">
                  <c:v>-30.965989555141228</c:v>
                </c:pt>
                <c:pt idx="88">
                  <c:v>-31.30943105813143</c:v>
                </c:pt>
                <c:pt idx="89">
                  <c:v>-31.618394624380439</c:v>
                </c:pt>
                <c:pt idx="90">
                  <c:v>-31.902710147948376</c:v>
                </c:pt>
                <c:pt idx="91">
                  <c:v>-32.181849906441549</c:v>
                </c:pt>
                <c:pt idx="92">
                  <c:v>-32.489026678417481</c:v>
                </c:pt>
                <c:pt idx="93">
                  <c:v>-32.874050383559549</c:v>
                </c:pt>
                <c:pt idx="94">
                  <c:v>-33.40060322596473</c:v>
                </c:pt>
                <c:pt idx="95">
                  <c:v>-34.13261434913673</c:v>
                </c:pt>
                <c:pt idx="96">
                  <c:v>-35.110604696279715</c:v>
                </c:pt>
                <c:pt idx="97">
                  <c:v>-36.332019754011711</c:v>
                </c:pt>
                <c:pt idx="98">
                  <c:v>-37.75255205656714</c:v>
                </c:pt>
                <c:pt idx="99">
                  <c:v>-39.307185553850843</c:v>
                </c:pt>
              </c:numCache>
            </c:numRef>
          </c:yVal>
          <c:smooth val="1"/>
        </c:ser>
        <c:axId val="83116032"/>
        <c:axId val="83118336"/>
      </c:scatterChart>
      <c:scatterChart>
        <c:scatterStyle val="smoothMarker"/>
        <c:ser>
          <c:idx val="4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Calculator!$Q$5:$Q$104</c:f>
              <c:numCache>
                <c:formatCode>0</c:formatCode>
                <c:ptCount val="100"/>
                <c:pt idx="0">
                  <c:v>1000</c:v>
                </c:pt>
                <c:pt idx="1">
                  <c:v>1064.7859778233492</c:v>
                </c:pt>
                <c:pt idx="2">
                  <c:v>1133.7691785692259</c:v>
                </c:pt>
                <c:pt idx="3">
                  <c:v>1207.2215234288087</c:v>
                </c:pt>
                <c:pt idx="4">
                  <c:v>1285.4325502735373</c:v>
                </c:pt>
                <c:pt idx="5">
                  <c:v>1368.71055496897</c:v>
                </c:pt>
                <c:pt idx="6">
                  <c:v>1457.3838066297737</c:v>
                </c:pt>
                <c:pt idx="7">
                  <c:v>1551.8018416061986</c:v>
                </c:pt>
                <c:pt idx="8">
                  <c:v>1652.3368413027304</c:v>
                </c:pt>
                <c:pt idx="9">
                  <c:v>1759.3850992600721</c:v>
                </c:pt>
                <c:pt idx="10">
                  <c:v>1873.3685832834663</c:v>
                </c:pt>
                <c:pt idx="11">
                  <c:v>1994.7365987750281</c:v>
                </c:pt>
                <c:pt idx="12">
                  <c:v>2123.9675598266904</c:v>
                </c:pt>
                <c:pt idx="13">
                  <c:v>2261.5708750551357</c:v>
                </c:pt>
                <c:pt idx="14">
                  <c:v>2408.0889556123902</c:v>
                </c:pt>
                <c:pt idx="15">
                  <c:v>2564.0993532873467</c:v>
                </c:pt>
                <c:pt idx="16">
                  <c:v>2730.217037126285</c:v>
                </c:pt>
                <c:pt idx="17">
                  <c:v>2907.0968175464791</c:v>
                </c:pt>
                <c:pt idx="18">
                  <c:v>3095.4359274983744</c:v>
                </c:pt>
                <c:pt idx="19">
                  <c:v>3295.9767708508825</c:v>
                </c:pt>
                <c:pt idx="20">
                  <c:v>3509.509848833502</c:v>
                </c:pt>
                <c:pt idx="21">
                  <c:v>3736.8768760708554</c:v>
                </c:pt>
                <c:pt idx="22">
                  <c:v>3978.9740984925684</c:v>
                </c:pt>
                <c:pt idx="23">
                  <c:v>4236.755826197189</c:v>
                </c:pt>
                <c:pt idx="24">
                  <c:v>4511.2381951961461</c:v>
                </c:pt>
                <c:pt idx="25">
                  <c:v>4803.5031728659696</c:v>
                </c:pt>
                <c:pt idx="26">
                  <c:v>5114.7028228976524</c:v>
                </c:pt>
                <c:pt idx="27">
                  <c:v>5446.0638465549218</c:v>
                </c:pt>
                <c:pt idx="28">
                  <c:v>5798.8924181423736</c:v>
                </c:pt>
                <c:pt idx="29">
                  <c:v>6174.5793337441337</c:v>
                </c:pt>
                <c:pt idx="30">
                  <c:v>6574.605493528592</c:v>
                </c:pt>
                <c:pt idx="31">
                  <c:v>7000.5477392296052</c:v>
                </c:pt>
                <c:pt idx="32">
                  <c:v>7454.0850698146323</c:v>
                </c:pt>
                <c:pt idx="33">
                  <c:v>7937.005259841002</c:v>
                </c:pt>
                <c:pt idx="34">
                  <c:v>8451.2119065888674</c:v>
                </c:pt>
                <c:pt idx="35">
                  <c:v>8998.7319337495592</c:v>
                </c:pt>
                <c:pt idx="36">
                  <c:v>9581.7235812477229</c:v>
                </c:pt>
                <c:pt idx="37">
                  <c:v>10202.4849126919</c:v>
                </c:pt>
                <c:pt idx="38">
                  <c:v>10863.462873988612</c:v>
                </c:pt>
                <c:pt idx="39">
                  <c:v>11567.262938827616</c:v>
                </c:pt>
                <c:pt idx="40">
                  <c:v>12316.659379059352</c:v>
                </c:pt>
                <c:pt idx="41">
                  <c:v>13114.606200448838</c:v>
                </c:pt>
                <c:pt idx="42">
                  <c:v>13964.248786913075</c:v>
                </c:pt>
                <c:pt idx="43">
                  <c:v>14868.936299141757</c:v>
                </c:pt>
                <c:pt idx="44">
                  <c:v>15832.234876474748</c:v>
                </c:pt>
                <c:pt idx="45">
                  <c:v>16857.941694076097</c:v>
                </c:pt>
                <c:pt idx="46">
                  <c:v>17950.099930815824</c:v>
                </c:pt>
                <c:pt idx="47">
                  <c:v>19113.014706860562</c:v>
                </c:pt>
                <c:pt idx="48">
                  <c:v>20351.270053796579</c:v>
                </c:pt>
                <c:pt idx="49">
                  <c:v>21669.746984178837</c:v>
                </c:pt>
                <c:pt idx="50">
                  <c:v>23073.642731733438</c:v>
                </c:pt>
                <c:pt idx="51">
                  <c:v>24568.491238055405</c:v>
                </c:pt>
                <c:pt idx="52">
                  <c:v>26160.184966557212</c:v>
                </c:pt>
                <c:pt idx="53">
                  <c:v>27854.998129655301</c:v>
                </c:pt>
                <c:pt idx="54">
                  <c:v>29659.611420752586</c:v>
                </c:pt>
                <c:pt idx="55">
                  <c:v>31581.138348506622</c:v>
                </c:pt>
                <c:pt idx="56">
                  <c:v>33627.1532771891</c:v>
                </c:pt>
                <c:pt idx="57">
                  <c:v>35805.721283667437</c:v>
                </c:pt>
                <c:pt idx="58">
                  <c:v>38125.429948700141</c:v>
                </c:pt>
                <c:pt idx="59">
                  <c:v>40595.423207862281</c:v>
                </c:pt>
                <c:pt idx="60">
                  <c:v>43225.437395536326</c:v>
                </c:pt>
                <c:pt idx="61">
                  <c:v>46025.839624048116</c:v>
                </c:pt>
                <c:pt idx="62">
                  <c:v>49007.668649232728</c:v>
                </c:pt>
                <c:pt idx="63">
                  <c:v>52182.678383515966</c:v>
                </c:pt>
                <c:pt idx="64">
                  <c:v>55563.384228033399</c:v>
                </c:pt>
                <c:pt idx="65">
                  <c:v>59163.112406421009</c:v>
                </c:pt>
                <c:pt idx="66">
                  <c:v>62996.052494743722</c:v>
                </c:pt>
                <c:pt idx="67">
                  <c:v>67077.313354626735</c:v>
                </c:pt>
                <c:pt idx="68">
                  <c:v>71422.982690069432</c:v>
                </c:pt>
                <c:pt idx="69">
                  <c:v>76050.190462705723</c:v>
                </c:pt>
                <c:pt idx="70">
                  <c:v>80977.176415484064</c:v>
                </c:pt>
                <c:pt idx="71">
                  <c:v>86223.361970935061</c:v>
                </c:pt>
                <c:pt idx="72">
                  <c:v>91809.426787438671</c:v>
                </c:pt>
                <c:pt idx="73">
                  <c:v>97757.390275264086</c:v>
                </c:pt>
                <c:pt idx="74">
                  <c:v>104090.69839370584</c:v>
                </c:pt>
                <c:pt idx="75">
                  <c:v>110834.3160714574</c:v>
                </c:pt>
                <c:pt idx="76">
                  <c:v>118014.82561452893</c:v>
                </c:pt>
                <c:pt idx="77">
                  <c:v>125660.53148961824</c:v>
                </c:pt>
                <c:pt idx="78">
                  <c:v>133801.57189597492</c:v>
                </c:pt>
                <c:pt idx="79">
                  <c:v>142470.03756555682</c:v>
                </c:pt>
                <c:pt idx="80">
                  <c:v>151700.09825977072</c:v>
                </c:pt>
                <c:pt idx="81">
                  <c:v>161528.13746142812</c:v>
                </c:pt>
                <c:pt idx="82">
                  <c:v>171992.89579285111</c:v>
                </c:pt>
                <c:pt idx="83">
                  <c:v>183135.62372546038</c:v>
                </c:pt>
                <c:pt idx="84">
                  <c:v>195000.24418280329</c:v>
                </c:pt>
                <c:pt idx="85">
                  <c:v>207633.52567797809</c:v>
                </c:pt>
                <c:pt idx="86">
                  <c:v>221085.26666793539</c:v>
                </c:pt>
                <c:pt idx="87">
                  <c:v>235408.49185135349</c:v>
                </c:pt>
                <c:pt idx="88">
                  <c:v>250659.66118386338</c:v>
                </c:pt>
                <c:pt idx="89">
                  <c:v>266898.89243452938</c:v>
                </c:pt>
                <c:pt idx="90">
                  <c:v>284190.1981608693</c:v>
                </c:pt>
                <c:pt idx="91">
                  <c:v>302601.7380365326</c:v>
                </c:pt>
                <c:pt idx="92">
                  <c:v>322206.08752627432</c:v>
                </c:pt>
                <c:pt idx="93">
                  <c:v>343080.52396729967</c:v>
                </c:pt>
                <c:pt idx="94">
                  <c:v>365307.33118466818</c:v>
                </c:pt>
                <c:pt idx="95">
                  <c:v>388974.12384150497</c:v>
                </c:pt>
                <c:pt idx="96">
                  <c:v>414174.19280255743</c:v>
                </c:pt>
                <c:pt idx="97">
                  <c:v>441006.8728724675</c:v>
                </c:pt>
                <c:pt idx="98">
                  <c:v>469577.93435832777</c:v>
                </c:pt>
                <c:pt idx="99">
                  <c:v>500000.00000000052</c:v>
                </c:pt>
              </c:numCache>
            </c:numRef>
          </c:xVal>
          <c:yVal>
            <c:numRef>
              <c:f>Calculator!$AE$5:$AE$104</c:f>
              <c:numCache>
                <c:formatCode>General</c:formatCode>
                <c:ptCount val="100"/>
                <c:pt idx="0">
                  <c:v>48.281128480263959</c:v>
                </c:pt>
                <c:pt idx="1">
                  <c:v>49.69392049069787</c:v>
                </c:pt>
                <c:pt idx="2">
                  <c:v>51.126159514867425</c:v>
                </c:pt>
                <c:pt idx="3">
                  <c:v>52.569432328890898</c:v>
                </c:pt>
                <c:pt idx="4">
                  <c:v>54.015503536556665</c:v>
                </c:pt>
                <c:pt idx="5">
                  <c:v>55.456444728864277</c:v>
                </c:pt>
                <c:pt idx="6">
                  <c:v>56.884751632571835</c:v>
                </c:pt>
                <c:pt idx="7">
                  <c:v>58.293444309179996</c:v>
                </c:pt>
                <c:pt idx="8">
                  <c:v>59.676146815027877</c:v>
                </c:pt>
                <c:pt idx="9">
                  <c:v>61.027144274109503</c:v>
                </c:pt>
                <c:pt idx="10">
                  <c:v>62.341416868671139</c:v>
                </c:pt>
                <c:pt idx="11">
                  <c:v>63.614651660085379</c:v>
                </c:pt>
                <c:pt idx="12">
                  <c:v>64.843234296535698</c:v>
                </c:pt>
                <c:pt idx="13">
                  <c:v>66.024223478585128</c:v>
                </c:pt>
                <c:pt idx="14">
                  <c:v>67.155311523164812</c:v>
                </c:pt>
                <c:pt idx="15">
                  <c:v>68.234774517104299</c:v>
                </c:pt>
                <c:pt idx="16">
                  <c:v>69.261415437844747</c:v>
                </c:pt>
                <c:pt idx="17">
                  <c:v>70.234503310539907</c:v>
                </c:pt>
                <c:pt idx="18">
                  <c:v>71.153711038587801</c:v>
                </c:pt>
                <c:pt idx="19">
                  <c:v>72.019054052971981</c:v>
                </c:pt>
                <c:pt idx="20">
                  <c:v>72.830831426627569</c:v>
                </c:pt>
                <c:pt idx="21">
                  <c:v>73.589570631182838</c:v>
                </c:pt>
                <c:pt idx="22">
                  <c:v>74.295976698892389</c:v>
                </c:pt>
                <c:pt idx="23">
                  <c:v>74.950886204670013</c:v>
                </c:pt>
                <c:pt idx="24">
                  <c:v>75.555226205061373</c:v>
                </c:pt>
                <c:pt idx="25">
                  <c:v>76.109978059628858</c:v>
                </c:pt>
                <c:pt idx="26">
                  <c:v>76.616145908528765</c:v>
                </c:pt>
                <c:pt idx="27">
                  <c:v>77.07472947906318</c:v>
                </c:pt>
                <c:pt idx="28">
                  <c:v>77.48670083419114</c:v>
                </c:pt>
                <c:pt idx="29">
                  <c:v>77.85298464830403</c:v>
                </c:pt>
                <c:pt idx="30">
                  <c:v>78.174441591919845</c:v>
                </c:pt>
                <c:pt idx="31">
                  <c:v>78.451854420464997</c:v>
                </c:pt>
                <c:pt idx="32">
                  <c:v>78.685916387432258</c:v>
                </c:pt>
                <c:pt idx="33">
                  <c:v>78.877221634579925</c:v>
                </c:pt>
                <c:pt idx="34">
                  <c:v>79.026257248234614</c:v>
                </c:pt>
                <c:pt idx="35">
                  <c:v>79.133396708831157</c:v>
                </c:pt>
                <c:pt idx="36">
                  <c:v>79.198894499003373</c:v>
                </c:pt>
                <c:pt idx="37">
                  <c:v>79.222881672830326</c:v>
                </c:pt>
                <c:pt idx="38">
                  <c:v>79.205362224723146</c:v>
                </c:pt>
                <c:pt idx="39">
                  <c:v>79.146210130709903</c:v>
                </c:pt>
                <c:pt idx="40">
                  <c:v>79.045166967596131</c:v>
                </c:pt>
                <c:pt idx="41">
                  <c:v>78.901840046870163</c:v>
                </c:pt>
                <c:pt idx="42">
                  <c:v>78.715701030611683</c:v>
                </c:pt>
                <c:pt idx="43">
                  <c:v>78.486085026438403</c:v>
                </c:pt>
                <c:pt idx="44">
                  <c:v>78.212190188083454</c:v>
                </c:pt>
                <c:pt idx="45">
                  <c:v>77.893077877907999</c:v>
                </c:pt>
                <c:pt idx="46">
                  <c:v>77.527673477805848</c:v>
                </c:pt>
                <c:pt idx="47">
                  <c:v>77.114767965717874</c:v>
                </c:pt>
                <c:pt idx="48">
                  <c:v>76.653020406323918</c:v>
                </c:pt>
                <c:pt idx="49">
                  <c:v>76.140961536123456</c:v>
                </c:pt>
                <c:pt idx="50">
                  <c:v>75.576998654408229</c:v>
                </c:pt>
                <c:pt idx="51">
                  <c:v>74.959422061428512</c:v>
                </c:pt>
                <c:pt idx="52">
                  <c:v>74.286413311610545</c:v>
                </c:pt>
                <c:pt idx="53">
                  <c:v>73.556055570432491</c:v>
                </c:pt>
                <c:pt idx="54">
                  <c:v>72.766346374997468</c:v>
                </c:pt>
                <c:pt idx="55">
                  <c:v>71.915213095752534</c:v>
                </c:pt>
                <c:pt idx="56">
                  <c:v>71.000531374184078</c:v>
                </c:pt>
                <c:pt idx="57">
                  <c:v>70.020146761189935</c:v>
                </c:pt>
                <c:pt idx="58">
                  <c:v>68.971899694282243</c:v>
                </c:pt>
                <c:pt idx="59">
                  <c:v>67.853653818570592</c:v>
                </c:pt>
                <c:pt idx="60">
                  <c:v>66.663327465554175</c:v>
                </c:pt>
                <c:pt idx="61">
                  <c:v>65.398927843957253</c:v>
                </c:pt>
                <c:pt idx="62">
                  <c:v>64.05858715810075</c:v>
                </c:pt>
                <c:pt idx="63">
                  <c:v>62.640599444484792</c:v>
                </c:pt>
                <c:pt idx="64">
                  <c:v>61.143456404042595</c:v>
                </c:pt>
                <c:pt idx="65">
                  <c:v>59.565879911102861</c:v>
                </c:pt>
                <c:pt idx="66">
                  <c:v>57.90684821519806</c:v>
                </c:pt>
                <c:pt idx="67">
                  <c:v>56.165612144439542</c:v>
                </c:pt>
                <c:pt idx="68">
                  <c:v>54.341696906337226</c:v>
                </c:pt>
                <c:pt idx="69">
                  <c:v>52.434884409132799</c:v>
                </c:pt>
                <c:pt idx="70">
                  <c:v>50.445170441385692</c:v>
                </c:pt>
                <c:pt idx="71">
                  <c:v>48.372690588275397</c:v>
                </c:pt>
                <c:pt idx="72">
                  <c:v>46.217608444113225</c:v>
                </c:pt>
                <c:pt idx="73">
                  <c:v>43.979959472876743</c:v>
                </c:pt>
                <c:pt idx="74">
                  <c:v>41.659443679286348</c:v>
                </c:pt>
                <c:pt idx="75">
                  <c:v>39.255159905935898</c:v>
                </c:pt>
                <c:pt idx="76">
                  <c:v>36.765273793345528</c:v>
                </c:pt>
                <c:pt idx="77">
                  <c:v>34.186609850426393</c:v>
                </c:pt>
                <c:pt idx="78">
                  <c:v>31.514155200609725</c:v>
                </c:pt>
                <c:pt idx="79">
                  <c:v>28.740457823394653</c:v>
                </c:pt>
                <c:pt idx="80">
                  <c:v>25.854894880121702</c:v>
                </c:pt>
                <c:pt idx="81">
                  <c:v>22.842776410677207</c:v>
                </c:pt>
                <c:pt idx="82">
                  <c:v>19.684235984569838</c:v>
                </c:pt>
                <c:pt idx="83">
                  <c:v>16.352843256682153</c:v>
                </c:pt>
                <c:pt idx="84">
                  <c:v>12.813856405973487</c:v>
                </c:pt>
                <c:pt idx="85">
                  <c:v>9.022022914571453</c:v>
                </c:pt>
                <c:pt idx="86">
                  <c:v>4.9188549914674784</c:v>
                </c:pt>
                <c:pt idx="87">
                  <c:v>0.42939808561711301</c:v>
                </c:pt>
                <c:pt idx="88">
                  <c:v>-4.5412189913439196</c:v>
                </c:pt>
                <c:pt idx="89">
                  <c:v>-10.110504458738346</c:v>
                </c:pt>
                <c:pt idx="90">
                  <c:v>-16.418223306580572</c:v>
                </c:pt>
                <c:pt idx="91">
                  <c:v>-23.617889799087337</c:v>
                </c:pt>
                <c:pt idx="92">
                  <c:v>-31.851333708306111</c:v>
                </c:pt>
                <c:pt idx="93">
                  <c:v>-41.195662566592567</c:v>
                </c:pt>
                <c:pt idx="94">
                  <c:v>-51.581666191197293</c:v>
                </c:pt>
                <c:pt idx="95">
                  <c:v>-62.716611853277797</c:v>
                </c:pt>
                <c:pt idx="96">
                  <c:v>-74.086398375676723</c:v>
                </c:pt>
                <c:pt idx="97">
                  <c:v>-85.08866838850345</c:v>
                </c:pt>
                <c:pt idx="98">
                  <c:v>-95.229113463599816</c:v>
                </c:pt>
                <c:pt idx="99">
                  <c:v>-104.24107146463609</c:v>
                </c:pt>
              </c:numCache>
            </c:numRef>
          </c:yVal>
          <c:smooth val="1"/>
        </c:ser>
        <c:axId val="83122432"/>
        <c:axId val="83120512"/>
      </c:scatterChart>
      <c:valAx>
        <c:axId val="83116032"/>
        <c:scaling>
          <c:logBase val="10"/>
          <c:orientation val="minMax"/>
          <c:max val="500000"/>
          <c:min val="10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Frequency - Hz</a:t>
                </a:r>
              </a:p>
            </c:rich>
          </c:tx>
          <c:layout>
            <c:manualLayout>
              <c:xMode val="edge"/>
              <c:yMode val="edge"/>
              <c:x val="0.41518546239308002"/>
              <c:y val="0.92391881921715469"/>
            </c:manualLayout>
          </c:layout>
        </c:title>
        <c:numFmt formatCode="[&gt;=999]0,&quot;K&quot;;General" sourceLinked="0"/>
        <c:tickLblPos val="low"/>
        <c:spPr>
          <a:ln cap="flat"/>
        </c:spPr>
        <c:txPr>
          <a:bodyPr rot="0" vert="horz" anchor="ctr" anchorCtr="0"/>
          <a:lstStyle/>
          <a:p>
            <a:pPr>
              <a:defRPr sz="1400" b="1" baseline="0"/>
            </a:pPr>
            <a:endParaRPr lang="ja-JP"/>
          </a:p>
        </c:txPr>
        <c:crossAx val="83118336"/>
        <c:crossesAt val="-50"/>
        <c:crossBetween val="midCat"/>
      </c:valAx>
      <c:valAx>
        <c:axId val="83118336"/>
        <c:scaling>
          <c:orientation val="minMax"/>
          <c:max val="50"/>
          <c:min val="-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 baseline="0">
                    <a:solidFill>
                      <a:srgbClr val="0000FF"/>
                    </a:solidFill>
                  </a:defRPr>
                </a:pPr>
                <a:r>
                  <a:rPr lang="en-US" sz="1600" baseline="0">
                    <a:solidFill>
                      <a:srgbClr val="0000FF"/>
                    </a:solidFill>
                  </a:rPr>
                  <a:t>Gain (dB)</a:t>
                </a:r>
              </a:p>
            </c:rich>
          </c:tx>
          <c:layout>
            <c:manualLayout>
              <c:xMode val="edge"/>
              <c:yMode val="edge"/>
              <c:x val="1.8615847934182826E-2"/>
              <c:y val="0.40667253735432607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83116032"/>
        <c:crosses val="autoZero"/>
        <c:crossBetween val="midCat"/>
        <c:majorUnit val="10"/>
      </c:valAx>
      <c:valAx>
        <c:axId val="83120512"/>
        <c:scaling>
          <c:orientation val="minMax"/>
          <c:max val="150"/>
          <c:min val="-150"/>
        </c:scaling>
        <c:axPos val="r"/>
        <c:title>
          <c:tx>
            <c:rich>
              <a:bodyPr rot="-5400000" vert="horz"/>
              <a:lstStyle/>
              <a:p>
                <a:pPr>
                  <a:defRPr sz="1600" baseline="0">
                    <a:solidFill>
                      <a:srgbClr val="FF0000"/>
                    </a:solidFill>
                  </a:defRPr>
                </a:pPr>
                <a:r>
                  <a:rPr lang="en-US" sz="1600" baseline="0">
                    <a:solidFill>
                      <a:srgbClr val="FF0000"/>
                    </a:solidFill>
                  </a:rPr>
                  <a:t>Phase (deg)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400" b="1" i="0" baseline="0"/>
            </a:pPr>
            <a:endParaRPr lang="ja-JP"/>
          </a:p>
        </c:txPr>
        <c:crossAx val="83122432"/>
        <c:crosses val="max"/>
        <c:crossBetween val="midCat"/>
        <c:majorUnit val="30"/>
      </c:valAx>
      <c:valAx>
        <c:axId val="83122432"/>
        <c:scaling>
          <c:logBase val="10"/>
          <c:orientation val="minMax"/>
          <c:max val="500000"/>
          <c:min val="1000"/>
        </c:scaling>
        <c:axPos val="t"/>
        <c:numFmt formatCode="0" sourceLinked="1"/>
        <c:tickLblPos val="none"/>
        <c:txPr>
          <a:bodyPr rot="0"/>
          <a:lstStyle/>
          <a:p>
            <a:pPr>
              <a:defRPr/>
            </a:pPr>
            <a:endParaRPr lang="ja-JP"/>
          </a:p>
        </c:txPr>
        <c:crossAx val="83120512"/>
        <c:crosses val="max"/>
        <c:crossBetween val="midCat"/>
      </c:valAx>
    </c:plotArea>
    <c:dispBlanksAs val="gap"/>
  </c:chart>
  <c:spPr>
    <a:ln>
      <a:solidFill>
        <a:schemeClr val="tx1"/>
      </a:solidFill>
    </a:ln>
    <a:effectLst>
      <a:outerShdw sx="1000" sy="1000" algn="ctr" rotWithShape="0">
        <a:srgbClr val="000000"/>
      </a:outerShdw>
    </a:effectLst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 Iout vs Vin (SOI [Safe Output Current])</a:t>
            </a:r>
          </a:p>
        </c:rich>
      </c:tx>
      <c:layout>
        <c:manualLayout>
          <c:xMode val="edge"/>
          <c:yMode val="edge"/>
          <c:x val="0.21565217391304337"/>
          <c:y val="3.16623099211405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4347826086957"/>
          <c:y val="0.18469680787331991"/>
          <c:w val="0.71304347826087022"/>
          <c:h val="0.63324619842281094"/>
        </c:manualLayout>
      </c:layout>
      <c:scatterChart>
        <c:scatterStyle val="lineMarker"/>
        <c:ser>
          <c:idx val="0"/>
          <c:order val="0"/>
          <c:tx>
            <c:strRef>
              <c:f>'SOI Chart'!$B$6</c:f>
              <c:strCache>
                <c:ptCount val="1"/>
                <c:pt idx="0">
                  <c:v>-3.3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Chart'!$B$7:$B$16</c:f>
              <c:numCache>
                <c:formatCode>0.00</c:formatCode>
                <c:ptCount val="10"/>
                <c:pt idx="0">
                  <c:v>1</c:v>
                </c:pt>
                <c:pt idx="1">
                  <c:v>1.2</c:v>
                </c:pt>
                <c:pt idx="2">
                  <c:v>1.6</c:v>
                </c:pt>
                <c:pt idx="3">
                  <c:v>1.8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</c:ser>
        <c:ser>
          <c:idx val="1"/>
          <c:order val="1"/>
          <c:tx>
            <c:strRef>
              <c:f>'SOI Chart'!$C$6</c:f>
              <c:strCache>
                <c:ptCount val="1"/>
                <c:pt idx="0">
                  <c:v>-5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Chart'!$C$7:$C$16</c:f>
              <c:numCache>
                <c:formatCode>0.00</c:formatCode>
                <c:ptCount val="10"/>
                <c:pt idx="0">
                  <c:v>0.6</c:v>
                </c:pt>
                <c:pt idx="1">
                  <c:v>0.8</c:v>
                </c:pt>
                <c:pt idx="2">
                  <c:v>1.3</c:v>
                </c:pt>
                <c:pt idx="3">
                  <c:v>1.65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</c:ser>
        <c:ser>
          <c:idx val="2"/>
          <c:order val="2"/>
          <c:tx>
            <c:strRef>
              <c:f>'SOI Chart'!$D$6</c:f>
              <c:strCache>
                <c:ptCount val="1"/>
                <c:pt idx="0">
                  <c:v>-9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Chart'!$D$7:$D$16</c:f>
              <c:numCache>
                <c:formatCode>0.00</c:formatCode>
                <c:ptCount val="10"/>
                <c:pt idx="0">
                  <c:v>0.4</c:v>
                </c:pt>
                <c:pt idx="1">
                  <c:v>0.5</c:v>
                </c:pt>
                <c:pt idx="2">
                  <c:v>0.78</c:v>
                </c:pt>
                <c:pt idx="3">
                  <c:v>1.06</c:v>
                </c:pt>
                <c:pt idx="4">
                  <c:v>1.35</c:v>
                </c:pt>
                <c:pt idx="5">
                  <c:v>1.6</c:v>
                </c:pt>
                <c:pt idx="6">
                  <c:v>1.8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</c:ser>
        <c:ser>
          <c:idx val="5"/>
          <c:order val="3"/>
          <c:tx>
            <c:strRef>
              <c:f>'SOI Chart'!$E$6</c:f>
              <c:strCache>
                <c:ptCount val="1"/>
                <c:pt idx="0">
                  <c:v>-12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Chart'!$E$7:$E$16</c:f>
              <c:numCache>
                <c:formatCode>0.00</c:formatCode>
                <c:ptCount val="10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1.35</c:v>
                </c:pt>
                <c:pt idx="7">
                  <c:v>1.5</c:v>
                </c:pt>
                <c:pt idx="8">
                  <c:v>1.75</c:v>
                </c:pt>
                <c:pt idx="9">
                  <c:v>1.85</c:v>
                </c:pt>
              </c:numCache>
            </c:numRef>
          </c:yVal>
        </c:ser>
        <c:ser>
          <c:idx val="6"/>
          <c:order val="4"/>
          <c:tx>
            <c:strRef>
              <c:f>'SOI Chart'!$F$6</c:f>
              <c:strCache>
                <c:ptCount val="1"/>
                <c:pt idx="0">
                  <c:v>-15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Chart'!$F$7:$F$16</c:f>
              <c:numCache>
                <c:formatCode>0.00</c:formatCode>
                <c:ptCount val="10"/>
                <c:pt idx="0">
                  <c:v>0.25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1.1499999999999999</c:v>
                </c:pt>
                <c:pt idx="7">
                  <c:v>1.3</c:v>
                </c:pt>
                <c:pt idx="8">
                  <c:v>1.4</c:v>
                </c:pt>
                <c:pt idx="9">
                  <c:v>1.45</c:v>
                </c:pt>
              </c:numCache>
            </c:numRef>
          </c:yVal>
        </c:ser>
        <c:ser>
          <c:idx val="7"/>
          <c:order val="5"/>
          <c:tx>
            <c:strRef>
              <c:f>'SOI Chart'!$G$6</c:f>
              <c:strCache>
                <c:ptCount val="1"/>
                <c:pt idx="0">
                  <c:v>-17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'SOI Chart'!$A$7:$A$16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</c:numCache>
            </c:numRef>
          </c:xVal>
          <c:yVal>
            <c:numRef>
              <c:f>'SOI Chart'!$G$7:$G$16</c:f>
              <c:numCache>
                <c:formatCode>0.00</c:formatCode>
                <c:ptCount val="10"/>
                <c:pt idx="0">
                  <c:v>0.2</c:v>
                </c:pt>
                <c:pt idx="1">
                  <c:v>0.25</c:v>
                </c:pt>
                <c:pt idx="2">
                  <c:v>0.4</c:v>
                </c:pt>
                <c:pt idx="3">
                  <c:v>0.6</c:v>
                </c:pt>
                <c:pt idx="4">
                  <c:v>0.7</c:v>
                </c:pt>
                <c:pt idx="5">
                  <c:v>0.85</c:v>
                </c:pt>
                <c:pt idx="6">
                  <c:v>0.9</c:v>
                </c:pt>
                <c:pt idx="7">
                  <c:v>1</c:v>
                </c:pt>
                <c:pt idx="8">
                  <c:v>1.1499999999999999</c:v>
                </c:pt>
                <c:pt idx="9">
                  <c:v>1.25</c:v>
                </c:pt>
              </c:numCache>
            </c:numRef>
          </c:yVal>
        </c:ser>
        <c:axId val="86366080"/>
        <c:axId val="86372736"/>
      </c:scatterChart>
      <c:valAx>
        <c:axId val="86366080"/>
        <c:scaling>
          <c:orientation val="minMax"/>
          <c:max val="36"/>
          <c:min val="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Vin - Volts</a:t>
                </a:r>
              </a:p>
            </c:rich>
          </c:tx>
          <c:layout>
            <c:manualLayout>
              <c:xMode val="edge"/>
              <c:yMode val="edge"/>
              <c:x val="0.42782608695652202"/>
              <c:y val="0.8997373069257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372736"/>
        <c:crosses val="autoZero"/>
        <c:crossBetween val="midCat"/>
      </c:valAx>
      <c:valAx>
        <c:axId val="86372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Iout - Amps</a:t>
                </a:r>
              </a:p>
            </c:rich>
          </c:tx>
          <c:layout>
            <c:manualLayout>
              <c:xMode val="edge"/>
              <c:yMode val="edge"/>
              <c:x val="2.782608695652174E-2"/>
              <c:y val="0.3984173998410189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6366080"/>
        <c:crossesAt val="5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26086956521743"/>
          <c:y val="0.33509277999873788"/>
          <c:w val="0.10782608695652185"/>
          <c:h val="0.335092779998737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1298</xdr:colOff>
      <xdr:row>4</xdr:row>
      <xdr:rowOff>3170</xdr:rowOff>
    </xdr:from>
    <xdr:to>
      <xdr:col>46</xdr:col>
      <xdr:colOff>4763</xdr:colOff>
      <xdr:row>26</xdr:row>
      <xdr:rowOff>4763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238125</xdr:colOff>
      <xdr:row>14</xdr:row>
      <xdr:rowOff>23812</xdr:rowOff>
    </xdr:from>
    <xdr:ext cx="184731" cy="264560"/>
    <xdr:sp macro="" textlink="">
      <xdr:nvSpPr>
        <xdr:cNvPr id="5" name="TextBox 4"/>
        <xdr:cNvSpPr txBox="1"/>
      </xdr:nvSpPr>
      <xdr:spPr>
        <a:xfrm>
          <a:off x="16025813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85725</xdr:rowOff>
    </xdr:from>
    <xdr:to>
      <xdr:col>9</xdr:col>
      <xdr:colOff>133350</xdr:colOff>
      <xdr:row>39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6</xdr:row>
      <xdr:rowOff>0</xdr:rowOff>
    </xdr:from>
    <xdr:to>
      <xdr:col>12</xdr:col>
      <xdr:colOff>9525</xdr:colOff>
      <xdr:row>10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886325" y="971550"/>
          <a:ext cx="2438400" cy="647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values chosen from actual bench measurements. They are chosen to avoid operating points that are the verge of runaway power dissipation.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0796436/My%20Documents/IPS/TPS84259%20(Everly)/TPS84259_Everly/Buck-Boost%20Analys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ol"/>
      <sheetName val="Max Iout Charts"/>
    </sheetNames>
    <sheetDataSet>
      <sheetData sheetId="0">
        <row r="5">
          <cell r="B5">
            <v>800</v>
          </cell>
        </row>
        <row r="6">
          <cell r="B6">
            <v>4.5</v>
          </cell>
        </row>
        <row r="7">
          <cell r="B7">
            <v>0.21299999999999999</v>
          </cell>
        </row>
        <row r="8">
          <cell r="B8">
            <v>120</v>
          </cell>
        </row>
        <row r="9">
          <cell r="B9">
            <v>300</v>
          </cell>
        </row>
        <row r="10">
          <cell r="B10">
            <v>0.3</v>
          </cell>
        </row>
        <row r="11">
          <cell r="B11">
            <v>0.2</v>
          </cell>
        </row>
        <row r="12">
          <cell r="B12">
            <v>12</v>
          </cell>
        </row>
        <row r="13">
          <cell r="B13">
            <v>-5</v>
          </cell>
        </row>
        <row r="14">
          <cell r="B14">
            <v>1.5</v>
          </cell>
        </row>
        <row r="18">
          <cell r="B18">
            <v>0.29411764705882354</v>
          </cell>
        </row>
        <row r="19">
          <cell r="B19">
            <v>0.72500000000000009</v>
          </cell>
        </row>
        <row r="20">
          <cell r="B20">
            <v>-5.9799999999999995</v>
          </cell>
        </row>
        <row r="21">
          <cell r="B21">
            <v>11.642134657641503</v>
          </cell>
        </row>
        <row r="22">
          <cell r="B22">
            <v>0.33934594850044947</v>
          </cell>
        </row>
        <row r="24">
          <cell r="B24">
            <v>1.8611248116681718</v>
          </cell>
        </row>
        <row r="26">
          <cell r="B26">
            <v>0.77047725900613884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115"/>
  <sheetViews>
    <sheetView tabSelected="1" showWhiteSpace="0" zoomScale="80" zoomScaleNormal="80" workbookViewId="0">
      <selection activeCell="G19" sqref="G19"/>
    </sheetView>
  </sheetViews>
  <sheetFormatPr defaultColWidth="9.125" defaultRowHeight="18" customHeight="1" outlineLevelCol="1"/>
  <cols>
    <col min="1" max="2" width="9.125" style="2"/>
    <col min="3" max="3" width="9.125" style="1"/>
    <col min="4" max="4" width="9.125" style="2" customWidth="1"/>
    <col min="5" max="6" width="9.125" style="1"/>
    <col min="7" max="7" width="9.125" style="4"/>
    <col min="8" max="8" width="9.125" style="2" hidden="1" customWidth="1" outlineLevel="1"/>
    <col min="9" max="9" width="9.125" style="7" hidden="1" customWidth="1" outlineLevel="1"/>
    <col min="10" max="10" width="9.125" style="12" hidden="1" customWidth="1" outlineLevel="1"/>
    <col min="11" max="11" width="9.125" style="7" hidden="1" customWidth="1" outlineLevel="1"/>
    <col min="12" max="12" width="9.625" style="12" hidden="1" customWidth="1" outlineLevel="1"/>
    <col min="13" max="13" width="9.125" style="7" hidden="1" customWidth="1" outlineLevel="1"/>
    <col min="14" max="14" width="9.125" style="12" hidden="1" customWidth="1" outlineLevel="1"/>
    <col min="15" max="15" width="9.125" style="7" hidden="1" customWidth="1" outlineLevel="1"/>
    <col min="16" max="16" width="9.125" style="2" hidden="1" customWidth="1" outlineLevel="1"/>
    <col min="17" max="22" width="9.125" style="12" hidden="1" customWidth="1" outlineLevel="1"/>
    <col min="23" max="25" width="9.125" style="19" hidden="1" customWidth="1" outlineLevel="1"/>
    <col min="26" max="31" width="9.125" style="12" hidden="1" customWidth="1" outlineLevel="1"/>
    <col min="32" max="32" width="9.125" style="12" customWidth="1" collapsed="1"/>
    <col min="33" max="16384" width="9.125" style="2"/>
  </cols>
  <sheetData>
    <row r="1" spans="2:32" s="4" customFormat="1" ht="18" customHeight="1">
      <c r="B1" s="4" t="s">
        <v>86</v>
      </c>
      <c r="I1" s="10"/>
      <c r="J1" s="10"/>
      <c r="K1" s="10"/>
      <c r="L1" s="10"/>
      <c r="M1" s="10"/>
      <c r="N1" s="10"/>
      <c r="O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2:32" s="3" customFormat="1" ht="18" customHeight="1">
      <c r="C2" s="4"/>
      <c r="E2" s="4"/>
      <c r="F2" s="4"/>
      <c r="G2" s="4"/>
      <c r="I2" s="10"/>
      <c r="J2" s="19"/>
      <c r="K2" s="10"/>
      <c r="L2" s="19"/>
      <c r="M2" s="10"/>
      <c r="N2" s="19"/>
      <c r="O2" s="10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2:32" s="4" customFormat="1" ht="18" customHeight="1">
      <c r="I3" s="10"/>
      <c r="J3" s="10"/>
      <c r="K3" s="10"/>
      <c r="L3" s="10"/>
      <c r="M3" s="10"/>
      <c r="N3" s="10"/>
      <c r="O3" s="10"/>
      <c r="Q3" s="10"/>
      <c r="R3" s="25"/>
      <c r="S3" s="25"/>
      <c r="T3" s="108" t="s">
        <v>78</v>
      </c>
      <c r="U3" s="108"/>
      <c r="V3" s="108"/>
      <c r="W3" s="109" t="s">
        <v>80</v>
      </c>
      <c r="X3" s="109"/>
      <c r="Y3" s="109"/>
      <c r="Z3" s="109"/>
      <c r="AA3" s="109"/>
      <c r="AB3" s="109"/>
      <c r="AC3" s="110" t="s">
        <v>81</v>
      </c>
      <c r="AD3" s="110"/>
      <c r="AE3" s="110"/>
      <c r="AF3" s="46"/>
    </row>
    <row r="4" spans="2:32" s="7" customFormat="1" ht="18" customHeight="1" thickBot="1">
      <c r="B4" s="2"/>
      <c r="C4" s="1"/>
      <c r="D4" s="2"/>
      <c r="E4" s="1"/>
      <c r="F4" s="1"/>
      <c r="G4" s="10"/>
      <c r="H4" s="8"/>
      <c r="I4" s="8"/>
      <c r="J4" s="8"/>
      <c r="K4" s="8"/>
      <c r="M4" s="8"/>
      <c r="N4" s="8"/>
      <c r="O4" s="8"/>
      <c r="Q4" s="7" t="s">
        <v>58</v>
      </c>
      <c r="R4" s="9" t="s">
        <v>9</v>
      </c>
      <c r="S4" s="7" t="s">
        <v>52</v>
      </c>
      <c r="T4" s="22" t="s">
        <v>79</v>
      </c>
      <c r="U4" s="7" t="s">
        <v>49</v>
      </c>
      <c r="V4" s="7" t="s">
        <v>50</v>
      </c>
      <c r="W4" s="45" t="s">
        <v>56</v>
      </c>
      <c r="X4" s="10" t="s">
        <v>49</v>
      </c>
      <c r="Y4" s="10" t="s">
        <v>50</v>
      </c>
      <c r="Z4" s="44" t="s">
        <v>63</v>
      </c>
      <c r="AA4" s="7" t="s">
        <v>49</v>
      </c>
      <c r="AB4" s="7" t="s">
        <v>50</v>
      </c>
      <c r="AC4" s="23" t="s">
        <v>57</v>
      </c>
      <c r="AD4" s="7" t="s">
        <v>49</v>
      </c>
      <c r="AE4" s="7" t="s">
        <v>50</v>
      </c>
    </row>
    <row r="5" spans="2:32" ht="18" customHeight="1">
      <c r="H5" s="2">
        <v>2</v>
      </c>
      <c r="I5" s="26" t="s">
        <v>28</v>
      </c>
      <c r="J5" s="59"/>
      <c r="K5" s="27" t="s">
        <v>26</v>
      </c>
      <c r="M5" s="13" t="s">
        <v>70</v>
      </c>
      <c r="N5" s="79">
        <f>(1-J12)*J11/J22</f>
        <v>114.34146341463416</v>
      </c>
      <c r="O5" s="7">
        <f>20*LOG10(N5)</f>
        <v>41.164074925805977</v>
      </c>
      <c r="Q5" s="93">
        <f>N24</f>
        <v>1000</v>
      </c>
      <c r="R5" s="93" t="str">
        <f>COMPLEX(0,2*PI()*Q5)</f>
        <v>6283.18530717959i</v>
      </c>
      <c r="S5" s="82" t="str">
        <f t="shared" ref="S5:S36" si="0">IMDIV(1,IMSUM(1,IMDIV(R5,$N$11*$N$13),IMDIV(IMPRODUCT(R5,R5),$N$11*$N$11)))</f>
        <v>1.00000322057467-0.00174053846485092i</v>
      </c>
      <c r="T5" s="82" t="str">
        <f>IMDIV(IMPRODUCT($N$5,IMSUM(1,IMDIV(R5,$N$7)),IMSUB(1,IMDIV(R5,$N$8)),S5),IMSUM(1,IMDIV(R5,$N$6)))</f>
        <v>1.1242437460212-11.3536276372558i</v>
      </c>
      <c r="U5" s="82">
        <f>20*LOG10(IMABS(T5))</f>
        <v>21.14506849566186</v>
      </c>
      <c r="V5" s="82">
        <f>DEGREES(IMARGUMENT(T5))</f>
        <v>-84.344968496656207</v>
      </c>
      <c r="W5" s="57" t="str">
        <f t="shared" ref="W5:W36" si="1">IMDIV(IMPRODUCT($N$16,$J$26*$J$29,IMSUM(1,IMPRODUCT(R5,$J$35))),IMSUM(1,IMPRODUCT(R5,$J$36),IMPRODUCT(R5,R5,$J$37)))</f>
        <v>0.642089676616197-0.69762926386925i</v>
      </c>
      <c r="X5" s="57">
        <f>20*LOG10(IMABS(W5))</f>
        <v>-0.46256857847309119</v>
      </c>
      <c r="Y5" s="57">
        <f>DEGREES(IMARGUMENT(W5))</f>
        <v>-47.373903023079848</v>
      </c>
      <c r="Z5" s="82" t="str">
        <f>IMDIV(IMPRODUCT($N$16,$J$27,IMSUM(1,IMDIV(R5,$N$19))),IMPRODUCT(IMSUM(1,IMDIV(R5,$N$20)),IMSUM(1,IMDIV(R5,$N$21))))</f>
        <v>0.648168638559848-0.704326820184656i</v>
      </c>
      <c r="AA5" s="82">
        <f>20*LOG10(IMABS(Z5))</f>
        <v>-0.38010255952661526</v>
      </c>
      <c r="AB5" s="82">
        <f>DEGREES(IMARGUMENT(Z5))</f>
        <v>-47.377663855276666</v>
      </c>
      <c r="AC5" s="82" t="str">
        <f>IMPRODUCT(-1,T5,W5)</f>
        <v>7.1987575875038+8.07435243497267i</v>
      </c>
      <c r="AD5" s="82">
        <f>20*LOG10(IMABS(AC5))</f>
        <v>20.682499917188764</v>
      </c>
      <c r="AE5" s="82">
        <f>DEGREES(IMARGUMENT(AC5))</f>
        <v>48.281128480263959</v>
      </c>
    </row>
    <row r="6" spans="2:32" ht="18" customHeight="1">
      <c r="I6" s="28" t="s">
        <v>47</v>
      </c>
      <c r="J6" s="60"/>
      <c r="K6" s="29" t="s">
        <v>6</v>
      </c>
      <c r="M6" s="15" t="s">
        <v>71</v>
      </c>
      <c r="N6" s="80">
        <f>(1+J12)/D19/J11*1000000</f>
        <v>630.08130081300806</v>
      </c>
      <c r="O6" s="7">
        <f>N6/2/PI()</f>
        <v>100.28055357416169</v>
      </c>
      <c r="Q6" s="93">
        <f>Q5*$N$27</f>
        <v>1064.7859778233492</v>
      </c>
      <c r="R6" s="93" t="str">
        <f t="shared" ref="R6:R69" si="2">COMPLEX(0,2*PI()*Q6)</f>
        <v>6690.24761115052i</v>
      </c>
      <c r="S6" s="82" t="str">
        <f t="shared" si="0"/>
        <v>1.000003651387-0.00185330329913533i</v>
      </c>
      <c r="T6" s="82" t="str">
        <f t="shared" ref="T6:T69" si="3">IMDIV(IMPRODUCT($N$5,IMSUM(1,IMDIV(R6,$N$7)),IMSUB(1,IMDIV(R6,$N$8)),S6),IMSUM(1,IMDIV(R6,$N$6)))</f>
        <v>0.991093365284842-10.6753838673082i</v>
      </c>
      <c r="U6" s="82">
        <f t="shared" ref="U6:U69" si="4">20*LOG10(IMABS(T6))</f>
        <v>20.604941907268341</v>
      </c>
      <c r="V6" s="82">
        <f t="shared" ref="V6:V69" si="5">DEGREES(IMARGUMENT(T6))</f>
        <v>-84.695913555522793</v>
      </c>
      <c r="W6" s="57" t="str">
        <f t="shared" si="1"/>
        <v>0.641999329082408-0.655820864282366i</v>
      </c>
      <c r="X6" s="57">
        <f t="shared" ref="X6:X69" si="6">20*LOG10(IMABS(W6))</f>
        <v>-0.74551686957393604</v>
      </c>
      <c r="Y6" s="57">
        <f t="shared" ref="Y6:Y69" si="7">DEGREES(IMARGUMENT(W6))</f>
        <v>-45.61016595377933</v>
      </c>
      <c r="Z6" s="82" t="str">
        <f t="shared" ref="Z6:Z69" si="8">IMDIV(IMPRODUCT($N$16,$J$27,IMSUM(1,IMDIV(R6,$N$19))),IMPRODUCT(IMSUM(1,IMDIV(R6,$N$20)),IMSUM(1,IMDIV(R6,$N$21))))</f>
        <v>0.648076507884623-0.662123095670509i</v>
      </c>
      <c r="AA6" s="82">
        <f t="shared" ref="AA6:AA69" si="9">20*LOG10(IMABS(Z6))</f>
        <v>-0.66305153864469679</v>
      </c>
      <c r="AB6" s="82">
        <f t="shared" ref="AB6:AB16" si="10">DEGREES(IMARGUMENT(Z6))</f>
        <v>-45.614241801011154</v>
      </c>
      <c r="AC6" s="82" t="str">
        <f t="shared" ref="AC6:AC69" si="11">IMPRODUCT(-1,T6,W6)</f>
        <v>6.3648581988332+7.50356898791465i</v>
      </c>
      <c r="AD6" s="82">
        <f t="shared" ref="AD6:AD69" si="12">20*LOG10(IMABS(AC6))</f>
        <v>19.859425037694411</v>
      </c>
      <c r="AE6" s="82">
        <f t="shared" ref="AE6:AE69" si="13">DEGREES(IMARGUMENT(AC6))</f>
        <v>49.69392049069787</v>
      </c>
    </row>
    <row r="7" spans="2:32" ht="18" customHeight="1">
      <c r="H7" s="2">
        <v>3</v>
      </c>
      <c r="I7" s="28" t="s">
        <v>7</v>
      </c>
      <c r="J7" s="61">
        <v>4.7</v>
      </c>
      <c r="K7" s="29" t="s">
        <v>32</v>
      </c>
      <c r="M7" s="15" t="s">
        <v>72</v>
      </c>
      <c r="N7" s="80">
        <f>1/D19/D20*1000000000</f>
        <v>2000000</v>
      </c>
      <c r="O7" s="7">
        <f t="shared" ref="O7:O11" si="14">N7/2/PI()</f>
        <v>318309.88618379069</v>
      </c>
      <c r="Q7" s="93">
        <f t="shared" ref="Q7:Q70" si="15">Q6*$N$27</f>
        <v>1133.7691785692259</v>
      </c>
      <c r="R7" s="93" t="str">
        <f t="shared" si="2"/>
        <v>7123.68184451923i</v>
      </c>
      <c r="S7" s="82" t="str">
        <f t="shared" si="0"/>
        <v>1.00000413982837-0.00197337420001265i</v>
      </c>
      <c r="T7" s="82" t="str">
        <f t="shared" si="3"/>
        <v>0.873392679715621-10.0362789159822i</v>
      </c>
      <c r="U7" s="82">
        <f t="shared" si="4"/>
        <v>20.064220083429731</v>
      </c>
      <c r="V7" s="82">
        <f t="shared" si="5"/>
        <v>-85.026447340763085</v>
      </c>
      <c r="W7" s="57" t="str">
        <f t="shared" si="1"/>
        <v>0.641918286421835-0.616597578115102i</v>
      </c>
      <c r="X7" s="57">
        <f t="shared" si="6"/>
        <v>-1.0113684228268287</v>
      </c>
      <c r="Y7" s="57">
        <f t="shared" si="7"/>
        <v>-43.847393144369505</v>
      </c>
      <c r="Z7" s="82" t="str">
        <f t="shared" si="8"/>
        <v>0.64799385343946-0.622529325968406i</v>
      </c>
      <c r="AA7" s="82">
        <f t="shared" si="9"/>
        <v>-0.92890387461004753</v>
      </c>
      <c r="AB7" s="82">
        <f t="shared" si="10"/>
        <v>-43.851800062548982</v>
      </c>
      <c r="AC7" s="82" t="str">
        <f t="shared" si="11"/>
        <v>5.62769854054586+6.981002774855i</v>
      </c>
      <c r="AD7" s="82">
        <f t="shared" si="12"/>
        <v>19.052851660602904</v>
      </c>
      <c r="AE7" s="82">
        <f t="shared" si="13"/>
        <v>51.126159514867425</v>
      </c>
    </row>
    <row r="8" spans="2:32" ht="18" customHeight="1" thickBot="1">
      <c r="I8" s="28" t="s">
        <v>29</v>
      </c>
      <c r="J8" s="60">
        <v>80</v>
      </c>
      <c r="K8" s="29" t="s">
        <v>23</v>
      </c>
      <c r="M8" s="17" t="s">
        <v>73</v>
      </c>
      <c r="N8" s="81">
        <f>J11/J12/J13*1000000</f>
        <v>2372303.3582919417</v>
      </c>
      <c r="O8" s="7">
        <f t="shared" si="14"/>
        <v>377563.80598566617</v>
      </c>
      <c r="Q8" s="93">
        <f t="shared" si="15"/>
        <v>1207.2215234288087</v>
      </c>
      <c r="R8" s="93" t="str">
        <f t="shared" si="2"/>
        <v>7585.19653851885i</v>
      </c>
      <c r="S8" s="82" t="str">
        <f t="shared" si="0"/>
        <v>1.00000469360767-0.00210122459897426i</v>
      </c>
      <c r="T8" s="82" t="str">
        <f t="shared" si="3"/>
        <v>0.769375981321835-9.43429087433065i</v>
      </c>
      <c r="U8" s="82">
        <f t="shared" si="4"/>
        <v>19.522972670522275</v>
      </c>
      <c r="V8" s="82">
        <f t="shared" si="5"/>
        <v>-85.337788303769841</v>
      </c>
      <c r="W8" s="57" t="str">
        <f t="shared" si="1"/>
        <v>0.641845269594765-0.579804794039203i</v>
      </c>
      <c r="X8" s="57">
        <f t="shared" si="6"/>
        <v>-1.260177346133271</v>
      </c>
      <c r="Y8" s="57">
        <f t="shared" si="7"/>
        <v>-42.092779367339283</v>
      </c>
      <c r="Z8" s="82" t="str">
        <f t="shared" si="8"/>
        <v>0.647919370748355-0.585389439360767i</v>
      </c>
      <c r="AA8" s="82">
        <f t="shared" si="9"/>
        <v>-1.1777136876719352</v>
      </c>
      <c r="AB8" s="82">
        <f t="shared" si="10"/>
        <v>-42.097534715238254</v>
      </c>
      <c r="AC8" s="82" t="str">
        <f t="shared" si="11"/>
        <v>4.97622674314596+6.5014428520592i</v>
      </c>
      <c r="AD8" s="82">
        <f t="shared" si="12"/>
        <v>18.262795324389</v>
      </c>
      <c r="AE8" s="82">
        <f t="shared" si="13"/>
        <v>52.569432328890898</v>
      </c>
    </row>
    <row r="9" spans="2:32" ht="18" customHeight="1">
      <c r="H9" s="2">
        <v>4</v>
      </c>
      <c r="I9" s="28" t="s">
        <v>30</v>
      </c>
      <c r="J9" s="61">
        <v>0.6</v>
      </c>
      <c r="K9" s="29" t="s">
        <v>6</v>
      </c>
      <c r="N9" s="82"/>
      <c r="Q9" s="93">
        <f t="shared" si="15"/>
        <v>1285.4325502735373</v>
      </c>
      <c r="R9" s="93" t="str">
        <f t="shared" si="2"/>
        <v>8076.61091324907i</v>
      </c>
      <c r="S9" s="82" t="str">
        <f t="shared" si="0"/>
        <v>1.00000532146495-0.00223735862012691i</v>
      </c>
      <c r="T9" s="82" t="str">
        <f t="shared" si="3"/>
        <v>0.677473399401695-8.8674608081687i</v>
      </c>
      <c r="U9" s="82">
        <f t="shared" si="4"/>
        <v>18.981261408054671</v>
      </c>
      <c r="V9" s="82">
        <f t="shared" si="5"/>
        <v>-85.631093534521369</v>
      </c>
      <c r="W9" s="57" t="str">
        <f t="shared" si="1"/>
        <v>0.641779126243768-0.545297480292416i</v>
      </c>
      <c r="X9" s="57">
        <f t="shared" si="6"/>
        <v>-1.4921303155782286</v>
      </c>
      <c r="Y9" s="57">
        <f t="shared" si="7"/>
        <v>-40.353402928921959</v>
      </c>
      <c r="Z9" s="82" t="str">
        <f t="shared" si="8"/>
        <v>0.647851884321223-0.550557035823508i</v>
      </c>
      <c r="AA9" s="82">
        <f t="shared" si="9"/>
        <v>-1.4096676679505062</v>
      </c>
      <c r="AB9" s="82">
        <f t="shared" si="10"/>
        <v>-40.35852543614849</v>
      </c>
      <c r="AC9" s="82" t="str">
        <f t="shared" si="11"/>
        <v>4.40061574896473+6.06037578712625i</v>
      </c>
      <c r="AD9" s="82">
        <f t="shared" si="12"/>
        <v>17.489131092476452</v>
      </c>
      <c r="AE9" s="82">
        <f t="shared" si="13"/>
        <v>54.015503536556665</v>
      </c>
    </row>
    <row r="10" spans="2:32" ht="18" customHeight="1" thickBot="1">
      <c r="I10" s="30" t="s">
        <v>31</v>
      </c>
      <c r="J10" s="62"/>
      <c r="K10" s="31" t="s">
        <v>23</v>
      </c>
      <c r="N10" s="82"/>
      <c r="Q10" s="93">
        <f t="shared" si="15"/>
        <v>1368.71055496897</v>
      </c>
      <c r="R10" s="93" t="str">
        <f t="shared" si="2"/>
        <v>8599.86204876265i</v>
      </c>
      <c r="S10" s="82" t="str">
        <f t="shared" si="0"/>
        <v>1.0000060333094-0.00238231307297364i</v>
      </c>
      <c r="T10" s="82" t="str">
        <f t="shared" si="3"/>
        <v>0.596290506947856-8.33389880013983i</v>
      </c>
      <c r="U10" s="82">
        <f t="shared" si="4"/>
        <v>18.439141017962907</v>
      </c>
      <c r="V10" s="82">
        <f t="shared" si="5"/>
        <v>-85.907460924668911</v>
      </c>
      <c r="W10" s="57" t="str">
        <f t="shared" si="1"/>
        <v>0.641718812510058-0.51293961297664i</v>
      </c>
      <c r="X10" s="57">
        <f t="shared" si="6"/>
        <v>-1.7075408490916906</v>
      </c>
      <c r="Y10" s="57">
        <f t="shared" si="7"/>
        <v>-38.636094346466841</v>
      </c>
      <c r="Z10" s="82" t="str">
        <f t="shared" si="8"/>
        <v>0.647790329105255-0.517894809929318i</v>
      </c>
      <c r="AA10" s="82">
        <f t="shared" si="9"/>
        <v>-1.6250793493206295</v>
      </c>
      <c r="AB10" s="82">
        <f t="shared" si="10"/>
        <v>-38.641604186752275</v>
      </c>
      <c r="AC10" s="82" t="str">
        <f t="shared" si="11"/>
        <v>3.89213598910061+5.65388066346021i</v>
      </c>
      <c r="AD10" s="82">
        <f t="shared" si="12"/>
        <v>16.731600168871221</v>
      </c>
      <c r="AE10" s="82">
        <f t="shared" si="13"/>
        <v>55.456444728864277</v>
      </c>
    </row>
    <row r="11" spans="2:32" ht="18" customHeight="1">
      <c r="I11" s="8" t="s">
        <v>44</v>
      </c>
      <c r="J11" s="63">
        <f>-D17/D18</f>
        <v>24</v>
      </c>
      <c r="K11" s="32" t="s">
        <v>26</v>
      </c>
      <c r="M11" s="13" t="s">
        <v>74</v>
      </c>
      <c r="N11" s="79">
        <f>PI()*D26*1000</f>
        <v>2513274.1228718348</v>
      </c>
      <c r="O11" s="7">
        <f t="shared" si="14"/>
        <v>400000.00000000006</v>
      </c>
      <c r="Q11" s="93">
        <f t="shared" si="15"/>
        <v>1457.3838066297737</v>
      </c>
      <c r="R11" s="93" t="str">
        <f t="shared" si="2"/>
        <v>9157.01252073765i</v>
      </c>
      <c r="S11" s="82" t="str">
        <f t="shared" si="0"/>
        <v>1.00000684037569-0.00253665957519615i</v>
      </c>
      <c r="T11" s="82" t="str">
        <f t="shared" si="3"/>
        <v>0.524589749856778-7.83178804413824i</v>
      </c>
      <c r="U11" s="82">
        <f t="shared" si="4"/>
        <v>17.896660001700301</v>
      </c>
      <c r="V11" s="82">
        <f t="shared" si="5"/>
        <v>-86.167931494346746</v>
      </c>
      <c r="W11" s="57" t="str">
        <f t="shared" si="1"/>
        <v>0.641663376563144-0.482603639824175i</v>
      </c>
      <c r="X11" s="57">
        <f t="shared" si="6"/>
        <v>-1.9068398822359907</v>
      </c>
      <c r="Y11" s="57">
        <f t="shared" si="7"/>
        <v>-36.947316873081405</v>
      </c>
      <c r="Z11" s="82" t="str">
        <f t="shared" si="8"/>
        <v>0.647733733680421-0.487274009559763i</v>
      </c>
      <c r="AA11" s="82">
        <f t="shared" si="9"/>
        <v>-1.8243796854486047</v>
      </c>
      <c r="AB11" s="82">
        <f t="shared" si="10"/>
        <v>-36.953235743147836</v>
      </c>
      <c r="AC11" s="82" t="str">
        <f t="shared" si="11"/>
        <v>3.44303938622906+5.27854048362394i</v>
      </c>
      <c r="AD11" s="82">
        <f t="shared" si="12"/>
        <v>15.989820119464317</v>
      </c>
      <c r="AE11" s="82">
        <f t="shared" si="13"/>
        <v>56.884751632571835</v>
      </c>
    </row>
    <row r="12" spans="2:32" ht="18" customHeight="1">
      <c r="I12" s="8" t="s">
        <v>12</v>
      </c>
      <c r="J12" s="63">
        <f>(-D17+J9)/(D16-D17+J9)</f>
        <v>0.51219512195121952</v>
      </c>
      <c r="K12" s="8"/>
      <c r="M12" s="15" t="s">
        <v>75</v>
      </c>
      <c r="N12" s="83">
        <f>1+(J20*J21)/(J18*J19)</f>
        <v>1.4793007900126236</v>
      </c>
      <c r="Q12" s="93">
        <f t="shared" si="15"/>
        <v>1551.8018416061986</v>
      </c>
      <c r="R12" s="93" t="str">
        <f t="shared" si="2"/>
        <v>9750.25853083429i</v>
      </c>
      <c r="S12" s="82" t="str">
        <f t="shared" si="0"/>
        <v>1.00000775540126-0.00270100681404705i</v>
      </c>
      <c r="T12" s="82" t="str">
        <f t="shared" si="3"/>
        <v>0.46127360756175-7.3593873517105i</v>
      </c>
      <c r="U12" s="82">
        <f t="shared" si="4"/>
        <v>17.353861353695006</v>
      </c>
      <c r="V12" s="82">
        <f t="shared" si="5"/>
        <v>-86.413491827613811</v>
      </c>
      <c r="W12" s="57" t="str">
        <f t="shared" si="1"/>
        <v>0.641611943584317-0.454169977316794i</v>
      </c>
      <c r="X12" s="57">
        <f t="shared" si="6"/>
        <v>-2.0905632389216851</v>
      </c>
      <c r="Y12" s="57">
        <f t="shared" si="7"/>
        <v>-35.29306386320625</v>
      </c>
      <c r="Z12" s="82" t="str">
        <f t="shared" si="8"/>
        <v>0.647681204933989-0.458573928290545i</v>
      </c>
      <c r="AA12" s="82">
        <f t="shared" si="9"/>
        <v>-2.0081045207940895</v>
      </c>
      <c r="AB12" s="82">
        <f t="shared" si="10"/>
        <v>-35.29941506750194</v>
      </c>
      <c r="AC12" s="82" t="str">
        <f t="shared" si="11"/>
        <v>3.04645413072001+4.93136744620397i</v>
      </c>
      <c r="AD12" s="82">
        <f t="shared" si="12"/>
        <v>15.263298114773319</v>
      </c>
      <c r="AE12" s="82">
        <f t="shared" si="13"/>
        <v>58.293444309179996</v>
      </c>
    </row>
    <row r="13" spans="2:32" ht="18" customHeight="1" thickBot="1">
      <c r="I13" s="8" t="s">
        <v>46</v>
      </c>
      <c r="J13" s="63">
        <f>J7/(1-J12)^2</f>
        <v>19.751750000000001</v>
      </c>
      <c r="K13" s="8" t="s">
        <v>32</v>
      </c>
      <c r="M13" s="17" t="s">
        <v>76</v>
      </c>
      <c r="N13" s="84">
        <f>1/PI()/(N12*(1-J12)-0.5)</f>
        <v>1.4363507196600716</v>
      </c>
      <c r="Q13" s="93">
        <f t="shared" si="15"/>
        <v>1652.3368413027304</v>
      </c>
      <c r="R13" s="93" t="str">
        <f t="shared" si="2"/>
        <v>10381.9385637848i</v>
      </c>
      <c r="S13" s="82" t="str">
        <f t="shared" si="0"/>
        <v>1.00000879282739-0.00287600295555632i</v>
      </c>
      <c r="T13" s="82" t="str">
        <f t="shared" si="3"/>
        <v>0.405369378820851-6.91503237460965i</v>
      </c>
      <c r="U13" s="82">
        <f t="shared" si="4"/>
        <v>16.81078319927834</v>
      </c>
      <c r="V13" s="82">
        <f t="shared" si="5"/>
        <v>-86.645076571879272</v>
      </c>
      <c r="W13" s="57" t="str">
        <f t="shared" si="1"/>
        <v>0.641563701967239-0.427526539172086i</v>
      </c>
      <c r="X13" s="57">
        <f t="shared" si="6"/>
        <v>-2.2593367488756129</v>
      </c>
      <c r="Y13" s="57">
        <f t="shared" si="7"/>
        <v>-33.678776613092843</v>
      </c>
      <c r="Z13" s="82" t="str">
        <f t="shared" si="8"/>
        <v>0.64763191397277-0.431681429445817i</v>
      </c>
      <c r="AA13" s="82">
        <f t="shared" si="9"/>
        <v>-2.1768797084013567</v>
      </c>
      <c r="AB13" s="82">
        <f t="shared" si="10"/>
        <v>-33.68558515470076</v>
      </c>
      <c r="AC13" s="82" t="str">
        <f t="shared" si="11"/>
        <v>2.69628958003933+4.60973993709149i</v>
      </c>
      <c r="AD13" s="82">
        <f t="shared" si="12"/>
        <v>14.551446450402723</v>
      </c>
      <c r="AE13" s="82">
        <f t="shared" si="13"/>
        <v>59.676146815027877</v>
      </c>
    </row>
    <row r="14" spans="2:32" ht="18" customHeight="1">
      <c r="I14" s="8"/>
      <c r="J14" s="63"/>
      <c r="K14" s="8"/>
      <c r="N14" s="82"/>
      <c r="Q14" s="93">
        <f t="shared" si="15"/>
        <v>1759.3850992600721</v>
      </c>
      <c r="R14" s="93" t="str">
        <f t="shared" si="2"/>
        <v>11054.5426053416i</v>
      </c>
      <c r="S14" s="82" t="str">
        <f t="shared" si="0"/>
        <v>1.00000996902701-0.00306233821139961i</v>
      </c>
      <c r="T14" s="82" t="str">
        <f t="shared" si="3"/>
        <v>0.356015478412851-6.49713579936012i</v>
      </c>
      <c r="U14" s="82">
        <f t="shared" si="4"/>
        <v>16.267459364675396</v>
      </c>
      <c r="V14" s="82">
        <f t="shared" si="5"/>
        <v>-86.863570965480193</v>
      </c>
      <c r="W14" s="57" t="str">
        <f t="shared" si="1"/>
        <v>0.641517890518296-0.402568294333668i</v>
      </c>
      <c r="X14" s="57">
        <f t="shared" si="6"/>
        <v>-2.4138598483656617</v>
      </c>
      <c r="Y14" s="57">
        <f t="shared" si="7"/>
        <v>-32.109284760410311</v>
      </c>
      <c r="Z14" s="82" t="str">
        <f t="shared" si="8"/>
        <v>0.647585083051132-0.40649049994042i</v>
      </c>
      <c r="AA14" s="82">
        <f t="shared" si="9"/>
        <v>-2.3314047109904861</v>
      </c>
      <c r="AB14" s="82">
        <f t="shared" si="10"/>
        <v>-32.116577438455558</v>
      </c>
      <c r="AC14" s="82" t="str">
        <f t="shared" si="11"/>
        <v>2.38715057809934+4.31134939631745i</v>
      </c>
      <c r="AD14" s="82">
        <f t="shared" si="12"/>
        <v>13.853599516309728</v>
      </c>
      <c r="AE14" s="82">
        <f t="shared" si="13"/>
        <v>61.027144274109503</v>
      </c>
    </row>
    <row r="15" spans="2:32" ht="18" customHeight="1" thickBot="1">
      <c r="C15" s="7"/>
      <c r="D15" s="12"/>
      <c r="E15" s="7"/>
      <c r="I15" s="8"/>
      <c r="J15" s="64"/>
      <c r="K15" s="8"/>
      <c r="N15" s="82"/>
      <c r="Q15" s="93">
        <f t="shared" si="15"/>
        <v>1873.3685832834663</v>
      </c>
      <c r="R15" s="93" t="str">
        <f t="shared" si="2"/>
        <v>11770.7219574185i</v>
      </c>
      <c r="S15" s="82" t="str">
        <f t="shared" si="0"/>
        <v>1.00001130256312-0.00326074757396927i</v>
      </c>
      <c r="T15" s="82" t="str">
        <f t="shared" si="3"/>
        <v>0.312449127630352-6.10418672792945i</v>
      </c>
      <c r="U15" s="82">
        <f t="shared" si="4"/>
        <v>15.723919886112228</v>
      </c>
      <c r="V15" s="82">
        <f t="shared" si="5"/>
        <v>-87.06981336498248</v>
      </c>
      <c r="W15" s="57" t="str">
        <f t="shared" si="1"/>
        <v>0.641473786455438-0.379196852716577i</v>
      </c>
      <c r="X15" s="57">
        <f t="shared" si="6"/>
        <v>-2.5548885097676246</v>
      </c>
      <c r="Y15" s="57">
        <f t="shared" si="7"/>
        <v>-30.588769766346342</v>
      </c>
      <c r="Z15" s="82" t="str">
        <f t="shared" si="8"/>
        <v>0.647539973309206-0.382901832144689i</v>
      </c>
      <c r="AA15" s="82">
        <f t="shared" si="9"/>
        <v>-2.47243553094021</v>
      </c>
      <c r="AB15" s="82">
        <f t="shared" si="10"/>
        <v>-30.596575280244778</v>
      </c>
      <c r="AC15" s="82" t="str">
        <f t="shared" si="11"/>
        <v>2.11426047064941+4.0341554994274i</v>
      </c>
      <c r="AD15" s="82">
        <f t="shared" si="12"/>
        <v>13.169031376344595</v>
      </c>
      <c r="AE15" s="82">
        <f t="shared" si="13"/>
        <v>62.341416868671139</v>
      </c>
    </row>
    <row r="16" spans="2:32" ht="18" customHeight="1" thickBot="1">
      <c r="C16" s="13" t="s">
        <v>17</v>
      </c>
      <c r="D16" s="49">
        <v>12</v>
      </c>
      <c r="E16" s="14" t="s">
        <v>6</v>
      </c>
      <c r="I16" s="26" t="s">
        <v>42</v>
      </c>
      <c r="J16" s="65">
        <f>1/(90*1000)*1.5*10</f>
        <v>1.6666666666666669E-4</v>
      </c>
      <c r="K16" s="33"/>
      <c r="M16" s="20" t="s">
        <v>48</v>
      </c>
      <c r="N16" s="85">
        <f>10/(D25+10)</f>
        <v>6.6666666666666666E-2</v>
      </c>
      <c r="Q16" s="93">
        <f t="shared" si="15"/>
        <v>1994.7365987750281</v>
      </c>
      <c r="R16" s="93" t="str">
        <f t="shared" si="2"/>
        <v>12533.2996891166i</v>
      </c>
      <c r="S16" s="82" t="str">
        <f t="shared" si="0"/>
        <v>1.00001281448171-0.00347201373094137i</v>
      </c>
      <c r="T16" s="82" t="str">
        <f t="shared" si="3"/>
        <v>0.273995322296796-5.73474942275458i</v>
      </c>
      <c r="U16" s="82">
        <f t="shared" si="4"/>
        <v>15.180191464550175</v>
      </c>
      <c r="V16" s="82">
        <f t="shared" si="5"/>
        <v>-87.264597749962945</v>
      </c>
      <c r="W16" s="57" t="str">
        <f t="shared" si="1"/>
        <v>0.641430694016794-0.357320077066345i</v>
      </c>
      <c r="X16" s="57">
        <f t="shared" si="6"/>
        <v>-2.6832182874408654</v>
      </c>
      <c r="Y16" s="57">
        <f t="shared" si="7"/>
        <v>-29.120750589951619</v>
      </c>
      <c r="Z16" s="82" t="str">
        <f t="shared" si="8"/>
        <v>0.647495873128522-0.360822432114723i</v>
      </c>
      <c r="AA16" s="82">
        <f t="shared" si="9"/>
        <v>-2.6007677566351592</v>
      </c>
      <c r="AB16" s="82">
        <f t="shared" si="10"/>
        <v>-29.129099650861033</v>
      </c>
      <c r="AC16" s="82" t="str">
        <f t="shared" si="11"/>
        <v>1.87339209595666+3.77634833192879i</v>
      </c>
      <c r="AD16" s="82">
        <f t="shared" si="12"/>
        <v>12.496973177109318</v>
      </c>
      <c r="AE16" s="82">
        <f t="shared" si="13"/>
        <v>63.614651660085379</v>
      </c>
    </row>
    <row r="17" spans="3:36" ht="18" customHeight="1">
      <c r="C17" s="15" t="s">
        <v>18</v>
      </c>
      <c r="D17" s="50">
        <v>-12</v>
      </c>
      <c r="E17" s="16" t="s">
        <v>6</v>
      </c>
      <c r="I17" s="28" t="s">
        <v>45</v>
      </c>
      <c r="J17" s="66"/>
      <c r="K17" s="29"/>
      <c r="N17" s="82"/>
      <c r="Q17" s="93">
        <f t="shared" si="15"/>
        <v>2123.9675598266904</v>
      </c>
      <c r="R17" s="93" t="str">
        <f t="shared" si="2"/>
        <v>13345.2817648291i</v>
      </c>
      <c r="S17" s="82" t="str">
        <f t="shared" si="0"/>
        <v>1.00001452864383-0.00369697017144351i</v>
      </c>
      <c r="T17" s="82" t="str">
        <f t="shared" si="3"/>
        <v>0.240056965470221-5.38746156379213i</v>
      </c>
      <c r="U17" s="82">
        <f t="shared" si="4"/>
        <v>14.63629787203309</v>
      </c>
      <c r="V17" s="82">
        <f t="shared" si="5"/>
        <v>-87.448676188176506</v>
      </c>
      <c r="W17" s="57" t="str">
        <f t="shared" si="1"/>
        <v>0.641387933500372-0.336851719391142i</v>
      </c>
      <c r="X17" s="57">
        <f t="shared" si="6"/>
        <v>-2.7996681574336497</v>
      </c>
      <c r="Y17" s="57">
        <f t="shared" si="7"/>
        <v>-27.708089515287845</v>
      </c>
      <c r="Z17" s="82" t="str">
        <f t="shared" si="8"/>
        <v>0.647452086922483-0.340165252632822i</v>
      </c>
      <c r="AA17" s="82">
        <f t="shared" si="9"/>
        <v>-2.7172204027050748</v>
      </c>
      <c r="AB17" s="82">
        <f t="shared" ref="AB17:AB80" si="16">DEGREES(IMARGUMENT(Z17))</f>
        <v>-27.717014965142614</v>
      </c>
      <c r="AC17" s="82" t="str">
        <f t="shared" si="11"/>
        <v>1.66080604991175+3.53631644078378i</v>
      </c>
      <c r="AD17" s="82">
        <f t="shared" si="12"/>
        <v>11.836629714599432</v>
      </c>
      <c r="AE17" s="82">
        <f t="shared" si="13"/>
        <v>64.843234296535698</v>
      </c>
    </row>
    <row r="18" spans="3:36" ht="18" customHeight="1" thickBot="1">
      <c r="C18" s="15" t="s">
        <v>19</v>
      </c>
      <c r="D18" s="50">
        <v>0.5</v>
      </c>
      <c r="E18" s="16" t="s">
        <v>5</v>
      </c>
      <c r="I18" s="28" t="s">
        <v>67</v>
      </c>
      <c r="J18" s="67">
        <f>1/(58.6*1000)</f>
        <v>1.7064846416382253E-5</v>
      </c>
      <c r="K18" s="34"/>
      <c r="N18" s="82"/>
      <c r="Q18" s="93">
        <f t="shared" si="15"/>
        <v>2261.5708750551357</v>
      </c>
      <c r="R18" s="93" t="str">
        <f t="shared" si="2"/>
        <v>14209.8688932917i</v>
      </c>
      <c r="S18" s="82" t="str">
        <f t="shared" si="0"/>
        <v>1.00001647210215-0.00393650449681304i</v>
      </c>
      <c r="T18" s="82" t="str">
        <f t="shared" si="3"/>
        <v>0.210106057182308-5.06103213931053i</v>
      </c>
      <c r="U18" s="82">
        <f t="shared" si="4"/>
        <v>14.092260315127438</v>
      </c>
      <c r="V18" s="82">
        <f t="shared" si="5"/>
        <v>-87.62276124827433</v>
      </c>
      <c r="W18" s="57" t="str">
        <f t="shared" si="1"/>
        <v>0.641344830563132-0.317711080520536i</v>
      </c>
      <c r="X18" s="57">
        <f t="shared" si="6"/>
        <v>-2.9050656857228452</v>
      </c>
      <c r="Y18" s="57">
        <f t="shared" si="7"/>
        <v>-26.353015273140617</v>
      </c>
      <c r="Z18" s="82" t="str">
        <f t="shared" si="8"/>
        <v>0.647407924185992-0.32084884959765i</v>
      </c>
      <c r="AA18" s="82">
        <f t="shared" si="9"/>
        <v>-2.8226210788705104</v>
      </c>
      <c r="AB18" s="82">
        <f t="shared" si="16"/>
        <v>-26.362552211666014</v>
      </c>
      <c r="AC18" s="82" t="str">
        <f t="shared" si="11"/>
        <v>1.47319555588563+3.31261982231198i</v>
      </c>
      <c r="AD18" s="82">
        <f t="shared" si="12"/>
        <v>11.187194629404596</v>
      </c>
      <c r="AE18" s="82">
        <f t="shared" si="13"/>
        <v>66.024223478585128</v>
      </c>
    </row>
    <row r="19" spans="3:36" ht="18" customHeight="1">
      <c r="C19" s="15" t="s">
        <v>20</v>
      </c>
      <c r="D19" s="50">
        <v>100</v>
      </c>
      <c r="E19" s="16" t="s">
        <v>27</v>
      </c>
      <c r="I19" s="28" t="s">
        <v>66</v>
      </c>
      <c r="J19" s="68">
        <f>D16/J7</f>
        <v>2.5531914893617018</v>
      </c>
      <c r="K19" s="29" t="s">
        <v>69</v>
      </c>
      <c r="M19" s="35" t="s">
        <v>77</v>
      </c>
      <c r="N19" s="86">
        <f>1/J31/J32*1000000000</f>
        <v>6733.0999192028003</v>
      </c>
      <c r="O19" s="10">
        <f>N19/2/PI()</f>
        <v>1071.6061344727668</v>
      </c>
      <c r="Q19" s="93">
        <f t="shared" si="15"/>
        <v>2408.0889556123902</v>
      </c>
      <c r="R19" s="93" t="str">
        <f t="shared" si="2"/>
        <v>15130.4691442852i</v>
      </c>
      <c r="S19" s="82" t="str">
        <f t="shared" si="0"/>
        <v>1.00001867552775-0.00419156194989521i</v>
      </c>
      <c r="T19" s="82" t="str">
        <f t="shared" si="3"/>
        <v>0.183675839851132-4.75423907022486i</v>
      </c>
      <c r="U19" s="82">
        <f t="shared" si="4"/>
        <v>13.548097760462189</v>
      </c>
      <c r="V19" s="82">
        <f t="shared" si="5"/>
        <v>-87.787528350753291</v>
      </c>
      <c r="W19" s="57" t="str">
        <f t="shared" si="1"/>
        <v>0.641300705612257-0.299822691432409i</v>
      </c>
      <c r="X19" s="57">
        <f t="shared" si="6"/>
        <v>-3.0002339031502618</v>
      </c>
      <c r="Y19" s="57">
        <f t="shared" si="7"/>
        <v>-25.057160126081865</v>
      </c>
      <c r="Z19" s="82" t="str">
        <f t="shared" si="8"/>
        <v>0.647362688633341-0.302797060392655i</v>
      </c>
      <c r="AA19" s="82">
        <f t="shared" si="9"/>
        <v>-2.9177928655645058</v>
      </c>
      <c r="AB19" s="82">
        <f t="shared" si="16"/>
        <v>-25.067346046203472</v>
      </c>
      <c r="AC19" s="82" t="str">
        <f t="shared" si="11"/>
        <v>1.30763730804748+3.10396705503984i</v>
      </c>
      <c r="AD19" s="82">
        <f t="shared" si="12"/>
        <v>10.547863857311937</v>
      </c>
      <c r="AE19" s="82">
        <f t="shared" si="13"/>
        <v>67.155311523164812</v>
      </c>
    </row>
    <row r="20" spans="3:36" ht="18" customHeight="1" thickBot="1">
      <c r="C20" s="47" t="s">
        <v>88</v>
      </c>
      <c r="D20" s="51">
        <v>5</v>
      </c>
      <c r="E20" s="18" t="s">
        <v>23</v>
      </c>
      <c r="I20" s="28" t="s">
        <v>68</v>
      </c>
      <c r="J20" s="69">
        <f>1/(65.2*1000*4.18)*10</f>
        <v>3.6692400270056067E-5</v>
      </c>
      <c r="K20" s="34"/>
      <c r="M20" s="36" t="s">
        <v>61</v>
      </c>
      <c r="N20" s="87">
        <f>1/J29/J32*1000000</f>
        <v>6.5957446808510634</v>
      </c>
      <c r="O20" s="10">
        <f t="shared" ref="O20:O21" si="17">N20/2/PI()</f>
        <v>1.0497453693295224</v>
      </c>
      <c r="Q20" s="93">
        <f t="shared" si="15"/>
        <v>2564.0993532873467</v>
      </c>
      <c r="R20" s="93" t="str">
        <f t="shared" si="2"/>
        <v>16110.7113827237i</v>
      </c>
      <c r="S20" s="82" t="str">
        <f t="shared" si="0"/>
        <v>1.00002117369408-0.00446314917787928i</v>
      </c>
      <c r="T20" s="82" t="str">
        <f t="shared" si="3"/>
        <v>0.16035380491595-4.46592664934336i</v>
      </c>
      <c r="U20" s="82">
        <f t="shared" si="4"/>
        <v>13.003827226935414</v>
      </c>
      <c r="V20" s="82">
        <f t="shared" si="5"/>
        <v>-87.943618050701275</v>
      </c>
      <c r="W20" s="57" t="str">
        <f t="shared" si="1"/>
        <v>0.641254863123295-0.283116015071804i</v>
      </c>
      <c r="X20" s="57">
        <f t="shared" si="6"/>
        <v>-3.0859801116520575</v>
      </c>
      <c r="Y20" s="57">
        <f t="shared" si="7"/>
        <v>-23.821607432194423</v>
      </c>
      <c r="Z20" s="82" t="str">
        <f t="shared" si="8"/>
        <v>0.647315667255003-0.285938702943957i</v>
      </c>
      <c r="AA20" s="82">
        <f t="shared" si="9"/>
        <v>-3.0035431209393537</v>
      </c>
      <c r="AB20" s="82">
        <f t="shared" si="16"/>
        <v>-23.832482364270195</v>
      </c>
      <c r="AC20" s="82" t="str">
        <f t="shared" si="11"/>
        <v>1.16154769934239+2.90919591249276i</v>
      </c>
      <c r="AD20" s="82">
        <f t="shared" si="12"/>
        <v>9.9178471152833669</v>
      </c>
      <c r="AE20" s="82">
        <f t="shared" si="13"/>
        <v>68.234774517104299</v>
      </c>
    </row>
    <row r="21" spans="3:36" ht="18" customHeight="1" thickBot="1">
      <c r="C21" s="7"/>
      <c r="D21" s="52"/>
      <c r="E21" s="7"/>
      <c r="H21" s="2">
        <v>6</v>
      </c>
      <c r="I21" s="30" t="s">
        <v>65</v>
      </c>
      <c r="J21" s="70">
        <f>0.71/0.998*D26*1000*0.000001</f>
        <v>0.56913827655310611</v>
      </c>
      <c r="K21" s="31" t="s">
        <v>69</v>
      </c>
      <c r="L21" s="37"/>
      <c r="M21" s="38" t="s">
        <v>62</v>
      </c>
      <c r="N21" s="88">
        <f>1/J31/J34*1000000000</f>
        <v>785769.57961677026</v>
      </c>
      <c r="O21" s="10">
        <f t="shared" si="17"/>
        <v>125059.11272724959</v>
      </c>
      <c r="Q21" s="93">
        <f t="shared" si="15"/>
        <v>2730.217037126285</v>
      </c>
      <c r="R21" s="93" t="str">
        <f t="shared" si="2"/>
        <v>17154.4595730833i</v>
      </c>
      <c r="S21" s="82" t="str">
        <f t="shared" si="0"/>
        <v>1.00002400602559-0.00475233824481607i</v>
      </c>
      <c r="T21" s="82" t="str">
        <f t="shared" si="3"/>
        <v>0.139775473415733-4.19500286145771i</v>
      </c>
      <c r="U21" s="82">
        <f t="shared" si="4"/>
        <v>12.459464048756168</v>
      </c>
      <c r="V21" s="82">
        <f t="shared" si="5"/>
        <v>-88.091638248260409</v>
      </c>
      <c r="W21" s="57" t="str">
        <f t="shared" si="1"/>
        <v>0.641206580719514-0.267525167461818i</v>
      </c>
      <c r="X21" s="57">
        <f t="shared" si="6"/>
        <v>-3.1630867084093244</v>
      </c>
      <c r="Y21" s="57">
        <f t="shared" si="7"/>
        <v>-22.646946313894745</v>
      </c>
      <c r="Z21" s="82" t="str">
        <f t="shared" si="8"/>
        <v>0.64726611912379-0.270207294256105i</v>
      </c>
      <c r="AA21" s="82">
        <f t="shared" si="9"/>
        <v>-3.0806543058966742</v>
      </c>
      <c r="AB21" s="82">
        <f t="shared" si="16"/>
        <v>-22.658552979214477</v>
      </c>
      <c r="AC21" s="82" t="str">
        <f t="shared" si="11"/>
        <v>1.03264388963693+2.72725689783647i</v>
      </c>
      <c r="AD21" s="82">
        <f t="shared" si="12"/>
        <v>9.2963773403468366</v>
      </c>
      <c r="AE21" s="82">
        <f t="shared" si="13"/>
        <v>69.261415437844747</v>
      </c>
    </row>
    <row r="22" spans="3:36" ht="18" customHeight="1" thickBot="1">
      <c r="C22" s="20" t="s">
        <v>25</v>
      </c>
      <c r="D22" s="53">
        <v>4.5</v>
      </c>
      <c r="E22" s="21" t="s">
        <v>6</v>
      </c>
      <c r="G22" s="3"/>
      <c r="H22" s="2">
        <v>7</v>
      </c>
      <c r="I22" s="7" t="s">
        <v>43</v>
      </c>
      <c r="J22" s="71">
        <f>J18/J16</f>
        <v>0.1023890784982935</v>
      </c>
      <c r="K22" s="7" t="s">
        <v>8</v>
      </c>
      <c r="N22" s="82"/>
      <c r="Q22" s="93">
        <f t="shared" si="15"/>
        <v>2907.0968175464791</v>
      </c>
      <c r="R22" s="93" t="str">
        <f t="shared" si="2"/>
        <v>18265.8280105566i</v>
      </c>
      <c r="S22" s="82" t="str">
        <f t="shared" si="0"/>
        <v>1.00002721721974-0.0050602709112164i</v>
      </c>
      <c r="T22" s="82" t="str">
        <f t="shared" si="3"/>
        <v>0.121618870412378-3.94043663732338i</v>
      </c>
      <c r="U22" s="82">
        <f t="shared" si="4"/>
        <v>11.915022113123081</v>
      </c>
      <c r="V22" s="82">
        <f t="shared" si="5"/>
        <v>-88.232166324648219</v>
      </c>
      <c r="W22" s="57" t="str">
        <f t="shared" si="1"/>
        <v>0.641155097843499-0.252988656977484i</v>
      </c>
      <c r="X22" s="57">
        <f t="shared" si="6"/>
        <v>-3.2323040001519288</v>
      </c>
      <c r="Y22" s="57">
        <f t="shared" si="7"/>
        <v>-21.53333036481191</v>
      </c>
      <c r="Z22" s="82" t="str">
        <f t="shared" si="8"/>
        <v>0.64721326377719-0.255540787285258i</v>
      </c>
      <c r="AA22" s="82">
        <f t="shared" si="9"/>
        <v>-3.149876799387568</v>
      </c>
      <c r="AB22" s="82">
        <f t="shared" si="16"/>
        <v>-21.545714338815486</v>
      </c>
      <c r="AC22" s="82" t="str">
        <f t="shared" si="11"/>
        <v>0.918909214022451+2.55719923243793i</v>
      </c>
      <c r="AD22" s="82">
        <f t="shared" si="12"/>
        <v>8.6827181129711626</v>
      </c>
      <c r="AE22" s="82">
        <f t="shared" si="13"/>
        <v>70.234503310539907</v>
      </c>
    </row>
    <row r="23" spans="3:36" ht="18" customHeight="1" thickBot="1">
      <c r="C23" s="7"/>
      <c r="D23" s="12"/>
      <c r="E23" s="7"/>
      <c r="G23" s="3"/>
      <c r="I23" s="7" t="s">
        <v>64</v>
      </c>
      <c r="J23" s="72">
        <f>J20/J16*J21</f>
        <v>0.1252982967137786</v>
      </c>
      <c r="K23" s="7" t="s">
        <v>6</v>
      </c>
      <c r="N23" s="82"/>
      <c r="Q23" s="93">
        <f t="shared" si="15"/>
        <v>3095.4359274983744</v>
      </c>
      <c r="R23" s="93" t="str">
        <f t="shared" si="2"/>
        <v>19449.1975389736i</v>
      </c>
      <c r="S23" s="82" t="str">
        <f t="shared" si="0"/>
        <v>1.00003085795209-0.0053881631995115i</v>
      </c>
      <c r="T23" s="82" t="str">
        <f t="shared" si="3"/>
        <v>0.105599620163925-3.70125508386606i</v>
      </c>
      <c r="U23" s="82">
        <f t="shared" si="4"/>
        <v>11.370514076020301</v>
      </c>
      <c r="V23" s="82">
        <f t="shared" si="5"/>
        <v>-88.365751203130316</v>
      </c>
      <c r="W23" s="57" t="str">
        <f t="shared" si="1"/>
        <v>0.641099603846959-0.239449140718916i</v>
      </c>
      <c r="X23" s="57">
        <f t="shared" si="6"/>
        <v>-3.2943448925865999</v>
      </c>
      <c r="Y23" s="57">
        <f t="shared" si="7"/>
        <v>-20.480537758281873</v>
      </c>
      <c r="Z23" s="82" t="str">
        <f t="shared" si="8"/>
        <v>0.647156268997544-0.241881325075271i</v>
      </c>
      <c r="AA23" s="82">
        <f t="shared" si="9"/>
        <v>-3.2119235889683755</v>
      </c>
      <c r="AB23" s="82">
        <f t="shared" si="16"/>
        <v>-20.493747643957295</v>
      </c>
      <c r="AC23" s="82" t="str">
        <f t="shared" si="11"/>
        <v>0.818562474759766+2.39815890631157i</v>
      </c>
      <c r="AD23" s="82">
        <f t="shared" si="12"/>
        <v>8.0761691834337022</v>
      </c>
      <c r="AE23" s="82">
        <f t="shared" si="13"/>
        <v>71.153711038587801</v>
      </c>
    </row>
    <row r="24" spans="3:36" ht="18" customHeight="1" thickBot="1">
      <c r="C24" s="7"/>
      <c r="D24" s="12"/>
      <c r="E24" s="7"/>
      <c r="J24" s="71"/>
      <c r="M24" s="13" t="s">
        <v>0</v>
      </c>
      <c r="N24" s="89">
        <v>1000</v>
      </c>
      <c r="O24" s="14" t="s">
        <v>3</v>
      </c>
      <c r="Q24" s="93">
        <f t="shared" si="15"/>
        <v>3295.9767708508825</v>
      </c>
      <c r="R24" s="93" t="str">
        <f t="shared" si="2"/>
        <v>20709.2328194155i</v>
      </c>
      <c r="S24" s="82" t="str">
        <f t="shared" si="0"/>
        <v>1.00003498567572-0.00573731026567916i</v>
      </c>
      <c r="T24" s="82" t="str">
        <f t="shared" si="3"/>
        <v>0.0914665956601907-3.47654072407399i</v>
      </c>
      <c r="U24" s="82">
        <f t="shared" si="4"/>
        <v>10.825951559325105</v>
      </c>
      <c r="V24" s="82">
        <f t="shared" si="5"/>
        <v>-88.492915335589757</v>
      </c>
      <c r="W24" s="57" t="str">
        <f t="shared" si="1"/>
        <v>0.641039225316562-0.226853196979903i</v>
      </c>
      <c r="X24" s="57">
        <f t="shared" si="6"/>
        <v>-3.3498812798061293</v>
      </c>
      <c r="Y24" s="57">
        <f t="shared" si="7"/>
        <v>-19.488030611438234</v>
      </c>
      <c r="Z24" s="82" t="str">
        <f t="shared" si="8"/>
        <v>0.647094237803292-0.229175011142381i</v>
      </c>
      <c r="AA24" s="82">
        <f t="shared" si="9"/>
        <v>-3.2674666614857499</v>
      </c>
      <c r="AB24" s="82">
        <f t="shared" si="16"/>
        <v>-19.502118223362064</v>
      </c>
      <c r="AC24" s="82" t="str">
        <f t="shared" si="11"/>
        <v>0.73003070206266+2.24934846218425i</v>
      </c>
      <c r="AD24" s="82">
        <f t="shared" si="12"/>
        <v>7.4760702795189644</v>
      </c>
      <c r="AE24" s="82">
        <f t="shared" si="13"/>
        <v>72.019054052971981</v>
      </c>
    </row>
    <row r="25" spans="3:36" ht="18" customHeight="1" thickBot="1">
      <c r="C25" s="13" t="s">
        <v>13</v>
      </c>
      <c r="D25" s="54">
        <f>(-D17/0.8-1)*10</f>
        <v>140</v>
      </c>
      <c r="E25" s="14" t="s">
        <v>87</v>
      </c>
      <c r="I25" s="8"/>
      <c r="J25" s="61"/>
      <c r="K25" s="8"/>
      <c r="M25" s="15" t="s">
        <v>1</v>
      </c>
      <c r="N25" s="90">
        <v>500000</v>
      </c>
      <c r="O25" s="16" t="s">
        <v>3</v>
      </c>
      <c r="Q25" s="93">
        <f t="shared" si="15"/>
        <v>3509.509848833502</v>
      </c>
      <c r="R25" s="93" t="str">
        <f t="shared" si="2"/>
        <v>22050.9007175927i</v>
      </c>
      <c r="S25" s="82" t="str">
        <f t="shared" si="0"/>
        <v>1.00003966552749-0.00610909159902518i</v>
      </c>
      <c r="T25" s="82" t="str">
        <f t="shared" si="3"/>
        <v>0.0789980624649048-3.26542877270765i</v>
      </c>
      <c r="U25" s="82">
        <f t="shared" si="4"/>
        <v>10.281345332171432</v>
      </c>
      <c r="V25" s="82">
        <f t="shared" si="5"/>
        <v>-88.614156616344047</v>
      </c>
      <c r="W25" s="57" t="str">
        <f t="shared" si="1"/>
        <v>0.640973012443392-0.215151112862558i</v>
      </c>
      <c r="X25" s="57">
        <f t="shared" si="6"/>
        <v>-3.3995419230268413</v>
      </c>
      <c r="Y25" s="57">
        <f t="shared" si="7"/>
        <v>-18.55501195702837</v>
      </c>
      <c r="Z25" s="82" t="str">
        <f t="shared" si="8"/>
        <v>0.647026194453918-0.217371695148849i</v>
      </c>
      <c r="AA25" s="82">
        <f t="shared" si="9"/>
        <v>-3.3171348832580483</v>
      </c>
      <c r="AB25" s="82">
        <f t="shared" si="16"/>
        <v>-18.570032516507389</v>
      </c>
      <c r="AC25" s="82" t="str">
        <f t="shared" si="11"/>
        <v>0.651925008346147+2.11004823841506i</v>
      </c>
      <c r="AD25" s="82">
        <f t="shared" si="12"/>
        <v>6.881803409144589</v>
      </c>
      <c r="AE25" s="82">
        <f t="shared" si="13"/>
        <v>72.830831426627569</v>
      </c>
    </row>
    <row r="26" spans="3:36" ht="18" customHeight="1">
      <c r="C26" s="15" t="s">
        <v>15</v>
      </c>
      <c r="D26" s="55">
        <f>IF(AND(D16&gt;18, -D17&lt;8), 500, 800)</f>
        <v>800</v>
      </c>
      <c r="E26" s="16" t="s">
        <v>85</v>
      </c>
      <c r="I26" s="26" t="s">
        <v>37</v>
      </c>
      <c r="J26" s="73">
        <v>310</v>
      </c>
      <c r="K26" s="33" t="s">
        <v>33</v>
      </c>
      <c r="M26" s="15" t="s">
        <v>2</v>
      </c>
      <c r="N26" s="90">
        <v>100</v>
      </c>
      <c r="O26" s="16"/>
      <c r="Q26" s="93">
        <f t="shared" si="15"/>
        <v>3736.8768760708554</v>
      </c>
      <c r="R26" s="93" t="str">
        <f t="shared" si="2"/>
        <v>23479.4898824676i</v>
      </c>
      <c r="S26" s="82" t="str">
        <f t="shared" si="0"/>
        <v>1.00004497135542-0.00650497657398174i</v>
      </c>
      <c r="T26" s="82" t="str">
        <f t="shared" si="3"/>
        <v>0.0679982627197115-3.06710446793139i</v>
      </c>
      <c r="U26" s="82">
        <f t="shared" si="4"/>
        <v>9.7367054793024739</v>
      </c>
      <c r="V26" s="82">
        <f t="shared" si="5"/>
        <v>-88.729950225664581</v>
      </c>
      <c r="W26" s="57" t="str">
        <f t="shared" si="1"/>
        <v>0.640899924230598-0.204296686137547i</v>
      </c>
      <c r="X26" s="57">
        <f t="shared" si="6"/>
        <v>-3.4439115930917508</v>
      </c>
      <c r="Y26" s="57">
        <f t="shared" si="7"/>
        <v>-17.680479143152557</v>
      </c>
      <c r="Z26" s="82" t="str">
        <f t="shared" si="8"/>
        <v>0.646951069257946-0.206424772955056i</v>
      </c>
      <c r="AA26" s="82">
        <f t="shared" si="9"/>
        <v>-3.3615131442110577</v>
      </c>
      <c r="AB26" s="82">
        <f t="shared" si="16"/>
        <v>-17.696491484915963</v>
      </c>
      <c r="AC26" s="82" t="str">
        <f t="shared" si="11"/>
        <v>0.583019197411172+1.9795988408413i</v>
      </c>
      <c r="AD26" s="82">
        <f t="shared" si="12"/>
        <v>6.2927938862107036</v>
      </c>
      <c r="AE26" s="82">
        <f t="shared" si="13"/>
        <v>73.589570631182838</v>
      </c>
    </row>
    <row r="27" spans="3:36" ht="18" customHeight="1" thickBot="1">
      <c r="C27" s="17" t="s">
        <v>14</v>
      </c>
      <c r="D27" s="56">
        <f>IF(D26=800, 0, 93.1)</f>
        <v>0</v>
      </c>
      <c r="E27" s="18" t="s">
        <v>87</v>
      </c>
      <c r="I27" s="28" t="s">
        <v>38</v>
      </c>
      <c r="J27" s="74">
        <v>10000</v>
      </c>
      <c r="K27" s="29"/>
      <c r="M27" s="17" t="s">
        <v>4</v>
      </c>
      <c r="N27" s="91">
        <f>10^(LOG10(N25/N24)/(N26-1))</f>
        <v>1.0647859778233493</v>
      </c>
      <c r="O27" s="18"/>
      <c r="Q27" s="93">
        <f t="shared" si="15"/>
        <v>3978.9740984925684</v>
      </c>
      <c r="R27" s="93" t="str">
        <f t="shared" si="2"/>
        <v>25000.6315932966i</v>
      </c>
      <c r="S27" s="82" t="str">
        <f t="shared" si="0"/>
        <v>1.0000509868833-0.00692653037986928i</v>
      </c>
      <c r="T27" s="82" t="str">
        <f t="shared" si="3"/>
        <v>0.0582943906353077-2.88080047403276i</v>
      </c>
      <c r="U27" s="82">
        <f t="shared" si="4"/>
        <v>9.1920415589676239</v>
      </c>
      <c r="V27" s="82">
        <f t="shared" si="5"/>
        <v>-88.840750406094685</v>
      </c>
      <c r="W27" s="57" t="str">
        <f t="shared" si="1"/>
        <v>0.640818812318285-0.194247040492599i</v>
      </c>
      <c r="X27" s="57">
        <f t="shared" si="6"/>
        <v>-3.4835312522593376</v>
      </c>
      <c r="Y27" s="57">
        <f t="shared" si="7"/>
        <v>-16.863272895012916</v>
      </c>
      <c r="Z27" s="82" t="str">
        <f t="shared" si="8"/>
        <v>0.64686768195727-0.196291000182668i</v>
      </c>
      <c r="AA27" s="82">
        <f t="shared" si="9"/>
        <v>-3.4011425415130461</v>
      </c>
      <c r="AB27" s="82">
        <f t="shared" si="16"/>
        <v>-16.880339685881864</v>
      </c>
      <c r="AC27" s="82" t="str">
        <f t="shared" si="11"/>
        <v>0.522230824158804+1.85739465115385i</v>
      </c>
      <c r="AD27" s="82">
        <f t="shared" si="12"/>
        <v>5.708510306708269</v>
      </c>
      <c r="AE27" s="82">
        <f t="shared" si="13"/>
        <v>74.295976698892389</v>
      </c>
    </row>
    <row r="28" spans="3:36" ht="18" customHeight="1" thickBot="1">
      <c r="C28" s="7"/>
      <c r="D28" s="57"/>
      <c r="E28" s="7"/>
      <c r="I28" s="28" t="s">
        <v>10</v>
      </c>
      <c r="J28" s="74">
        <v>2700</v>
      </c>
      <c r="K28" s="29" t="s">
        <v>16</v>
      </c>
      <c r="N28" s="82"/>
      <c r="Q28" s="93">
        <f t="shared" si="15"/>
        <v>4236.755826197189</v>
      </c>
      <c r="R28" s="93" t="str">
        <f t="shared" si="2"/>
        <v>26620.3219572697i</v>
      </c>
      <c r="S28" s="82" t="str">
        <f t="shared" si="0"/>
        <v>1.00005780703105-0.00737542035690302i</v>
      </c>
      <c r="T28" s="82" t="str">
        <f t="shared" si="3"/>
        <v>0.0497339158201932-2.70579436636593i</v>
      </c>
      <c r="U28" s="82">
        <f t="shared" si="4"/>
        <v>8.6473627527761323</v>
      </c>
      <c r="V28" s="82">
        <f t="shared" si="5"/>
        <v>-88.94699217517433</v>
      </c>
      <c r="W28" s="57" t="str">
        <f t="shared" si="1"/>
        <v>0.640728403186331-0.184962453349225i</v>
      </c>
      <c r="X28" s="57">
        <f t="shared" si="6"/>
        <v>-3.5188990633365536</v>
      </c>
      <c r="Y28" s="57">
        <f t="shared" si="7"/>
        <v>-16.102121620155682</v>
      </c>
      <c r="Z28" s="82" t="str">
        <f t="shared" si="8"/>
        <v>0.646774723442368-0.186930318458709i</v>
      </c>
      <c r="AA28" s="82">
        <f t="shared" si="9"/>
        <v>-3.4365213907939851</v>
      </c>
      <c r="AB28" s="82">
        <f t="shared" si="16"/>
        <v>-16.120309590087874</v>
      </c>
      <c r="AC28" s="82" t="str">
        <f t="shared" si="11"/>
        <v>0.468604431793878+1.74287821079698i</v>
      </c>
      <c r="AD28" s="82">
        <f t="shared" si="12"/>
        <v>5.128463689439581</v>
      </c>
      <c r="AE28" s="82">
        <f t="shared" si="13"/>
        <v>74.950886204670013</v>
      </c>
    </row>
    <row r="29" spans="3:36" ht="18" customHeight="1">
      <c r="C29" s="13" t="s">
        <v>21</v>
      </c>
      <c r="D29" s="54">
        <v>174</v>
      </c>
      <c r="E29" s="14" t="s">
        <v>87</v>
      </c>
      <c r="I29" s="28" t="s">
        <v>40</v>
      </c>
      <c r="J29" s="75">
        <f>J27/J26</f>
        <v>32.258064516129032</v>
      </c>
      <c r="K29" s="29" t="s">
        <v>39</v>
      </c>
      <c r="M29" s="39"/>
      <c r="N29" s="57"/>
      <c r="O29" s="10"/>
      <c r="Q29" s="93">
        <f t="shared" si="15"/>
        <v>4511.2381951961461</v>
      </c>
      <c r="R29" s="93" t="str">
        <f t="shared" si="2"/>
        <v>28344.9455452438i</v>
      </c>
      <c r="S29" s="82" t="str">
        <f t="shared" si="0"/>
        <v>1.00006553941134-0.00785342276934317i</v>
      </c>
      <c r="T29" s="82" t="str">
        <f t="shared" si="3"/>
        <v>0.0421822153868676-2.54140620638341i</v>
      </c>
      <c r="U29" s="82">
        <f t="shared" si="4"/>
        <v>8.1026780098096971</v>
      </c>
      <c r="V29" s="82">
        <f t="shared" si="5"/>
        <v>-89.04909297858984</v>
      </c>
      <c r="W29" s="57" t="str">
        <f t="shared" si="1"/>
        <v>0.64062727847482-0.176406195458461i</v>
      </c>
      <c r="X29" s="57">
        <f t="shared" si="6"/>
        <v>-3.5504720341546143</v>
      </c>
      <c r="Y29" s="57">
        <f t="shared" si="7"/>
        <v>-15.395680816348815</v>
      </c>
      <c r="Z29" s="82" t="str">
        <f t="shared" si="8"/>
        <v>0.646670735531343-0.178305693540923i</v>
      </c>
      <c r="AA29" s="82">
        <f t="shared" si="9"/>
        <v>-3.4681068729784652</v>
      </c>
      <c r="AB29" s="82">
        <f t="shared" si="16"/>
        <v>-15.415061002207334</v>
      </c>
      <c r="AC29" s="82" t="str">
        <f t="shared" si="11"/>
        <v>0.42129672213929+1.63553534562683i</v>
      </c>
      <c r="AD29" s="82">
        <f t="shared" si="12"/>
        <v>4.5522059756550961</v>
      </c>
      <c r="AE29" s="82">
        <f t="shared" si="13"/>
        <v>75.555226205061373</v>
      </c>
      <c r="AG29" s="115" t="s">
        <v>84</v>
      </c>
      <c r="AH29" s="116"/>
      <c r="AI29" s="105">
        <f t="array" ref="AI29">INDEX(Q5:Q104,MATCH(MIN(ABS(AD5:AD104)),ABS(AD5:AD104),0))/1000</f>
        <v>7.4540850698146324</v>
      </c>
      <c r="AJ29" s="14" t="s">
        <v>85</v>
      </c>
    </row>
    <row r="30" spans="3:36" ht="18" customHeight="1" thickBot="1">
      <c r="C30" s="17" t="s">
        <v>22</v>
      </c>
      <c r="D30" s="58">
        <f>1.25/((D22-1.25)/D29+0.9*0.001)</f>
        <v>63.84665061938589</v>
      </c>
      <c r="E30" s="18" t="s">
        <v>87</v>
      </c>
      <c r="I30" s="28" t="s">
        <v>41</v>
      </c>
      <c r="J30" s="75">
        <f>J26/(2*PI()*J28)*1000</f>
        <v>18.273345317958356</v>
      </c>
      <c r="K30" s="29" t="s">
        <v>11</v>
      </c>
      <c r="M30" s="39"/>
      <c r="N30" s="57"/>
      <c r="O30" s="10"/>
      <c r="Q30" s="93">
        <f t="shared" si="15"/>
        <v>4803.5031728659696</v>
      </c>
      <c r="R30" s="93" t="str">
        <f t="shared" si="2"/>
        <v>30181.300558742i</v>
      </c>
      <c r="S30" s="82" t="str">
        <f t="shared" si="0"/>
        <v>1.00007430602619-0.00836243004964392i</v>
      </c>
      <c r="T30" s="82" t="str">
        <f t="shared" si="3"/>
        <v>0.0355204799459958-2.38699621197627i</v>
      </c>
      <c r="U30" s="82">
        <f t="shared" si="4"/>
        <v>7.5579961872164176</v>
      </c>
      <c r="V30" s="82">
        <f t="shared" si="5"/>
        <v>-89.147454288098672</v>
      </c>
      <c r="W30" s="57" t="str">
        <f t="shared" si="1"/>
        <v>0.640513853137821-0.16854438151053i</v>
      </c>
      <c r="X30" s="57">
        <f t="shared" si="6"/>
        <v>-3.5786681293818292</v>
      </c>
      <c r="Y30" s="57">
        <f t="shared" si="7"/>
        <v>-14.742567652272479</v>
      </c>
      <c r="Z30" s="82" t="str">
        <f t="shared" si="8"/>
        <v>0.646554088521299-0.170382964548511i</v>
      </c>
      <c r="AA30" s="82">
        <f t="shared" si="9"/>
        <v>-3.4963171487595099</v>
      </c>
      <c r="AB30" s="82">
        <f t="shared" si="16"/>
        <v>-14.763215654604107</v>
      </c>
      <c r="AC30" s="82" t="str">
        <f t="shared" si="11"/>
        <v>0.379563440740004+1.53489091848176i</v>
      </c>
      <c r="AD30" s="82">
        <f t="shared" si="12"/>
        <v>3.9793280578345964</v>
      </c>
      <c r="AE30" s="82">
        <f t="shared" si="13"/>
        <v>76.109978059628858</v>
      </c>
      <c r="AG30" s="113" t="s">
        <v>82</v>
      </c>
      <c r="AH30" s="114"/>
      <c r="AI30" s="106">
        <f t="array" ref="AI30">INDEX(AE5:AE104,MATCH(MIN(ABS(AD5:AD104)),ABS(AD5:AD104),0))</f>
        <v>78.685916387432258</v>
      </c>
      <c r="AJ30" s="48" t="s">
        <v>50</v>
      </c>
    </row>
    <row r="31" spans="3:36" ht="18" customHeight="1" thickBot="1">
      <c r="C31" s="11"/>
      <c r="D31" s="12"/>
      <c r="E31" s="7"/>
      <c r="I31" s="28" t="s">
        <v>34</v>
      </c>
      <c r="J31" s="61">
        <v>31.6</v>
      </c>
      <c r="K31" s="29" t="s">
        <v>24</v>
      </c>
      <c r="M31" s="39"/>
      <c r="N31" s="57"/>
      <c r="O31" s="10"/>
      <c r="Q31" s="93">
        <f t="shared" si="15"/>
        <v>5114.7028228976524</v>
      </c>
      <c r="R31" s="93" t="str">
        <f t="shared" si="2"/>
        <v>32136.6256274205i</v>
      </c>
      <c r="S31" s="82" t="str">
        <f t="shared" si="0"/>
        <v>1.00008424519014-0.0089044585507967i</v>
      </c>
      <c r="T31" s="82" t="str">
        <f t="shared" si="3"/>
        <v>0.0296438623737366-2.24196252622205i</v>
      </c>
      <c r="U31" s="82">
        <f t="shared" si="4"/>
        <v>7.01332618946671</v>
      </c>
      <c r="V31" s="82">
        <f t="shared" si="5"/>
        <v>-89.24246314885481</v>
      </c>
      <c r="W31" s="57" t="str">
        <f t="shared" si="1"/>
        <v>0.640386351119523-0.161345831009972i</v>
      </c>
      <c r="X31" s="57">
        <f t="shared" si="6"/>
        <v>-3.6038687071341213</v>
      </c>
      <c r="Y31" s="57">
        <f t="shared" si="7"/>
        <v>-14.141390942616423</v>
      </c>
      <c r="Z31" s="82" t="str">
        <f t="shared" si="8"/>
        <v>0.646422956193115-0.163130703538332i</v>
      </c>
      <c r="AA31" s="82">
        <f t="shared" si="9"/>
        <v>-3.5215337982123129</v>
      </c>
      <c r="AB31" s="82">
        <f t="shared" si="16"/>
        <v>-14.163387195640814</v>
      </c>
      <c r="AC31" s="82" t="str">
        <f t="shared" si="11"/>
        <v>0.342747782027906+1.44050511512308i</v>
      </c>
      <c r="AD31" s="82">
        <f t="shared" si="12"/>
        <v>3.4094574823325745</v>
      </c>
      <c r="AE31" s="82">
        <f t="shared" si="13"/>
        <v>76.616145908528765</v>
      </c>
      <c r="AG31" s="111" t="s">
        <v>83</v>
      </c>
      <c r="AH31" s="112"/>
      <c r="AI31" s="107">
        <f t="array" ref="AI31">-INDEX(AD5:AD104,MATCH(MIN(ABS(AE5:AE104)),ABS(AE5:AE104),0))</f>
        <v>30.965989555141228</v>
      </c>
      <c r="AJ31" s="18" t="s">
        <v>49</v>
      </c>
    </row>
    <row r="32" spans="3:36" ht="18" customHeight="1">
      <c r="C32" s="11"/>
      <c r="D32" s="12"/>
      <c r="E32" s="7"/>
      <c r="I32" s="28" t="s">
        <v>35</v>
      </c>
      <c r="J32" s="74">
        <v>4700</v>
      </c>
      <c r="K32" s="29" t="s">
        <v>11</v>
      </c>
      <c r="N32" s="92"/>
      <c r="Q32" s="93">
        <f t="shared" si="15"/>
        <v>5446.0638465549218</v>
      </c>
      <c r="R32" s="93" t="str">
        <f t="shared" si="2"/>
        <v>34218.6283426358i</v>
      </c>
      <c r="S32" s="82" t="str">
        <f t="shared" si="0"/>
        <v>1.0000955137102-0.00948165684786373i</v>
      </c>
      <c r="T32" s="82" t="str">
        <f t="shared" si="3"/>
        <v>0.024459841641633-2.10573908594644i</v>
      </c>
      <c r="U32" s="82">
        <f t="shared" si="4"/>
        <v>6.4686771084333792</v>
      </c>
      <c r="V32" s="82">
        <f t="shared" si="5"/>
        <v>-89.334493680994967</v>
      </c>
      <c r="W32" s="57" t="str">
        <f t="shared" si="1"/>
        <v>0.640242778212094-0.154781938676255i</v>
      </c>
      <c r="X32" s="57">
        <f t="shared" si="6"/>
        <v>-3.6264211629269498</v>
      </c>
      <c r="Y32" s="57">
        <f t="shared" si="7"/>
        <v>-13.590776839941874</v>
      </c>
      <c r="Z32" s="82" t="str">
        <f t="shared" si="8"/>
        <v>0.646275287920521-0.156520084674224i</v>
      </c>
      <c r="AA32" s="82">
        <f t="shared" si="9"/>
        <v>-3.5441044681327512</v>
      </c>
      <c r="AB32" s="82">
        <f t="shared" si="16"/>
        <v>-13.614206894837185</v>
      </c>
      <c r="AC32" s="82" t="str">
        <f t="shared" si="11"/>
        <v>0.310270141101888+1.35197018428515i</v>
      </c>
      <c r="AD32" s="82">
        <f t="shared" si="12"/>
        <v>2.8422559455064285</v>
      </c>
      <c r="AE32" s="82">
        <f t="shared" si="13"/>
        <v>77.07472947906318</v>
      </c>
    </row>
    <row r="33" spans="3:31" ht="18" customHeight="1" thickBot="1">
      <c r="C33" s="117" t="s">
        <v>60</v>
      </c>
      <c r="D33" s="117"/>
      <c r="E33" s="117"/>
      <c r="F33" s="3"/>
      <c r="I33" s="30" t="s">
        <v>36</v>
      </c>
      <c r="J33" s="76">
        <v>22</v>
      </c>
      <c r="K33" s="31" t="s">
        <v>11</v>
      </c>
      <c r="N33" s="92"/>
      <c r="Q33" s="93">
        <f t="shared" si="15"/>
        <v>5798.8924181423736</v>
      </c>
      <c r="R33" s="93" t="str">
        <f t="shared" si="2"/>
        <v>36435.5156395873i</v>
      </c>
      <c r="S33" s="82" t="str">
        <f t="shared" si="0"/>
        <v>1.00010828935673-0.0100963146340315i</v>
      </c>
      <c r="T33" s="82" t="str">
        <f t="shared" si="3"/>
        <v>0.0198867770595963-1.97779359016847i</v>
      </c>
      <c r="U33" s="82">
        <f t="shared" si="4"/>
        <v>5.924058366477146</v>
      </c>
      <c r="V33" s="82">
        <f t="shared" si="5"/>
        <v>-89.423908540558344</v>
      </c>
      <c r="W33" s="57" t="str">
        <f t="shared" si="1"/>
        <v>0.640080891722383-0.148826553629171i</v>
      </c>
      <c r="X33" s="57">
        <f t="shared" si="6"/>
        <v>-3.6466416869816398</v>
      </c>
      <c r="Y33" s="57">
        <f t="shared" si="7"/>
        <v>-13.089390625250521</v>
      </c>
      <c r="Z33" s="82" t="str">
        <f t="shared" si="8"/>
        <v>0.646108777501414-0.150524762235287i</v>
      </c>
      <c r="AA33" s="82">
        <f t="shared" si="9"/>
        <v>-3.5643456331601016</v>
      </c>
      <c r="AB33" s="82">
        <f t="shared" si="16"/>
        <v>-13.114345446678055</v>
      </c>
      <c r="AC33" s="82" t="str">
        <f t="shared" si="11"/>
        <v>0.281619057820848+1.26890756533042i</v>
      </c>
      <c r="AD33" s="82">
        <f t="shared" si="12"/>
        <v>2.2774166794955146</v>
      </c>
      <c r="AE33" s="82">
        <f t="shared" si="13"/>
        <v>77.48670083419114</v>
      </c>
    </row>
    <row r="34" spans="3:31" ht="18" customHeight="1">
      <c r="C34" s="118" t="s">
        <v>59</v>
      </c>
      <c r="D34" s="118"/>
      <c r="E34" s="118"/>
      <c r="F34" s="3"/>
      <c r="I34" s="8" t="s">
        <v>51</v>
      </c>
      <c r="J34" s="75">
        <f>J30+J33</f>
        <v>40.273345317958359</v>
      </c>
      <c r="K34" s="8" t="s">
        <v>11</v>
      </c>
      <c r="N34" s="82"/>
      <c r="Q34" s="93">
        <f t="shared" si="15"/>
        <v>6174.5793337441337</v>
      </c>
      <c r="R34" s="93" t="str">
        <f t="shared" si="2"/>
        <v>38796.0261477959i</v>
      </c>
      <c r="S34" s="82" t="str">
        <f t="shared" si="0"/>
        <v>1.00012277366416-0.0107508722614788i</v>
      </c>
      <c r="T34" s="82" t="str">
        <f t="shared" si="3"/>
        <v>0.015852631028105-1.85762556745467i</v>
      </c>
      <c r="U34" s="82">
        <f t="shared" si="4"/>
        <v>5.3794798647730149</v>
      </c>
      <c r="V34" s="82">
        <f t="shared" si="5"/>
        <v>-89.511060345014755</v>
      </c>
      <c r="W34" s="57" t="str">
        <f t="shared" si="1"/>
        <v>0.639898166539765-0.143455866607361i</v>
      </c>
      <c r="X34" s="57">
        <f t="shared" si="6"/>
        <v>-3.6648180620362609</v>
      </c>
      <c r="Y34" s="57">
        <f t="shared" si="7"/>
        <v>-12.635955006681224</v>
      </c>
      <c r="Z34" s="82" t="str">
        <f t="shared" si="8"/>
        <v>0.645920828293928-0.145120756696517i</v>
      </c>
      <c r="AA34" s="82">
        <f t="shared" si="9"/>
        <v>-3.5825453978851018</v>
      </c>
      <c r="AB34" s="82">
        <f t="shared" si="16"/>
        <v>-12.662531282305522</v>
      </c>
      <c r="AC34" s="82" t="str">
        <f t="shared" si="11"/>
        <v>0.256343216081485+1.19096534765378i</v>
      </c>
      <c r="AD34" s="82">
        <f t="shared" si="12"/>
        <v>1.7146618027367742</v>
      </c>
      <c r="AE34" s="82">
        <f t="shared" si="13"/>
        <v>77.85298464830403</v>
      </c>
    </row>
    <row r="35" spans="3:31" ht="18" customHeight="1">
      <c r="C35" s="11"/>
      <c r="D35" s="12"/>
      <c r="E35" s="7"/>
      <c r="H35" s="3"/>
      <c r="I35" s="7" t="s">
        <v>53</v>
      </c>
      <c r="J35" s="77">
        <f>J31*J32*0.000000001</f>
        <v>1.4852000000000002E-4</v>
      </c>
      <c r="K35" s="9"/>
      <c r="N35" s="82"/>
      <c r="Q35" s="93">
        <f t="shared" si="15"/>
        <v>6574.605493528592</v>
      </c>
      <c r="R35" s="93" t="str">
        <f t="shared" si="2"/>
        <v>41309.464637441i</v>
      </c>
      <c r="S35" s="82" t="str">
        <f t="shared" si="0"/>
        <v>1.00013919510522-0.0114479309830641i</v>
      </c>
      <c r="T35" s="82" t="str">
        <f t="shared" si="3"/>
        <v>0.0122938408529066-1.74476454039992i</v>
      </c>
      <c r="U35" s="82">
        <f t="shared" si="4"/>
        <v>4.834952139190456</v>
      </c>
      <c r="V35" s="82">
        <f t="shared" si="5"/>
        <v>-89.596293068883767</v>
      </c>
      <c r="W35" s="57" t="str">
        <f t="shared" si="1"/>
        <v>0.639691757160459-0.138648304445599i</v>
      </c>
      <c r="X35" s="57">
        <f t="shared" si="6"/>
        <v>-3.6812124472791021</v>
      </c>
      <c r="Y35" s="57">
        <f t="shared" si="7"/>
        <v>-12.229265339196443</v>
      </c>
      <c r="Z35" s="82" t="str">
        <f t="shared" si="8"/>
        <v>0.645708514202246-0.140286348090687i</v>
      </c>
      <c r="AA35" s="82">
        <f t="shared" si="9"/>
        <v>-3.5989662856170423</v>
      </c>
      <c r="AB35" s="82">
        <f t="shared" si="16"/>
        <v>-12.257565801726697</v>
      </c>
      <c r="AC35" s="82" t="str">
        <f t="shared" si="11"/>
        <v>0.234044376525807+1.11781601486907i</v>
      </c>
      <c r="AD35" s="82">
        <f t="shared" si="12"/>
        <v>1.1537396919113905</v>
      </c>
      <c r="AE35" s="82">
        <f t="shared" si="13"/>
        <v>78.174441591919845</v>
      </c>
    </row>
    <row r="36" spans="3:31" ht="18" customHeight="1">
      <c r="C36" s="5"/>
      <c r="H36" s="3"/>
      <c r="I36" s="7" t="s">
        <v>54</v>
      </c>
      <c r="J36" s="78">
        <f>(J31*J32*0.000000001+J29*J32*0.000001+J29*J34*0.000001)</f>
        <v>0.15306056339735349</v>
      </c>
      <c r="N36" s="82"/>
      <c r="Q36" s="93">
        <f t="shared" si="15"/>
        <v>7000.5477392296052</v>
      </c>
      <c r="R36" s="93" t="str">
        <f t="shared" si="2"/>
        <v>43985.7386973367i</v>
      </c>
      <c r="S36" s="82" t="str">
        <f t="shared" si="0"/>
        <v>1.00015781268854-0.0121902639574294i</v>
      </c>
      <c r="T36" s="82" t="str">
        <f t="shared" si="3"/>
        <v>0.00915432237052359-1.6387682848435i</v>
      </c>
      <c r="U36" s="82">
        <f t="shared" si="4"/>
        <v>4.2904865261656102</v>
      </c>
      <c r="V36" s="82">
        <f t="shared" si="5"/>
        <v>-89.679943415151115</v>
      </c>
      <c r="W36" s="57" t="str">
        <f t="shared" si="1"/>
        <v>0.639458455185314-0.134384431000548i</v>
      </c>
      <c r="X36" s="57">
        <f t="shared" si="6"/>
        <v>-3.6960641097559268</v>
      </c>
      <c r="Y36" s="57">
        <f t="shared" si="7"/>
        <v>-11.8682021643839</v>
      </c>
      <c r="Z36" s="82" t="str">
        <f t="shared" si="8"/>
        <v>0.645468536018284-0.136001975822154i</v>
      </c>
      <c r="AA36" s="82">
        <f t="shared" si="9"/>
        <v>-3.6138479752224875</v>
      </c>
      <c r="AB36" s="82">
        <f t="shared" si="16"/>
        <v>-11.898335925370036</v>
      </c>
      <c r="AC36" s="82" t="str">
        <f t="shared" si="11"/>
        <v>0.214371134659114+1.04915443423567i</v>
      </c>
      <c r="AD36" s="82">
        <f t="shared" si="12"/>
        <v>0.59442241640968885</v>
      </c>
      <c r="AE36" s="82">
        <f t="shared" si="13"/>
        <v>78.451854420464997</v>
      </c>
    </row>
    <row r="37" spans="3:31" ht="18" customHeight="1">
      <c r="C37" s="5"/>
      <c r="H37" s="3"/>
      <c r="I37" s="7" t="s">
        <v>55</v>
      </c>
      <c r="J37" s="77">
        <f>J31*J29*J32*J34*0.000000000000001</f>
        <v>1.9294829827816695E-7</v>
      </c>
      <c r="N37" s="82"/>
      <c r="Q37" s="93">
        <f t="shared" si="15"/>
        <v>7454.0850698146323</v>
      </c>
      <c r="R37" s="93" t="str">
        <f t="shared" si="2"/>
        <v>46835.397789126i</v>
      </c>
      <c r="S37" s="82" t="str">
        <f t="shared" ref="S37:S68" si="18">IMDIV(1,IMSUM(1,IMDIV(R37,$N$11*$N$13),IMDIV(IMPRODUCT(R37,R37),$N$11*$N$11)))</f>
        <v>1.0001789200357-0.012980828087755i</v>
      </c>
      <c r="T37" s="82" t="str">
        <f t="shared" si="3"/>
        <v>0.00638459009038463-1.53922118097607i</v>
      </c>
      <c r="U37" s="82">
        <f t="shared" si="4"/>
        <v>3.746095341155776</v>
      </c>
      <c r="V37" s="82">
        <f t="shared" si="5"/>
        <v>-89.762342168443837</v>
      </c>
      <c r="W37" s="57" t="str">
        <f t="shared" ref="W37:W68" si="19">IMDIV(IMPRODUCT($N$16,$J$26*$J$29,IMSUM(1,IMPRODUCT(R37,$J$35))),IMSUM(1,IMPRODUCT(R37,$J$36),IMPRODUCT(R37,R37,$J$37)))</f>
        <v>0.639194641768894-0.130646853663451i</v>
      </c>
      <c r="X37" s="57">
        <f t="shared" si="6"/>
        <v>-3.709592077723209</v>
      </c>
      <c r="Y37" s="57">
        <f t="shared" si="7"/>
        <v>-11.551741444123929</v>
      </c>
      <c r="Z37" s="82" t="str">
        <f t="shared" si="8"/>
        <v>0.64519717258593-0.132250144049392i</v>
      </c>
      <c r="AA37" s="82">
        <f t="shared" si="9"/>
        <v>-3.6274099605736758</v>
      </c>
      <c r="AB37" s="82">
        <f t="shared" si="16"/>
        <v>-11.583824338386112</v>
      </c>
      <c r="AC37" s="82" t="str">
        <f t="shared" si="11"/>
        <v>0.197013408611+0.984696057984333i</v>
      </c>
      <c r="AD37" s="82">
        <f t="shared" si="12"/>
        <v>3.6503263432570265E-2</v>
      </c>
      <c r="AE37" s="82">
        <f t="shared" si="13"/>
        <v>78.685916387432258</v>
      </c>
    </row>
    <row r="38" spans="3:31" ht="18" customHeight="1">
      <c r="C38" s="5"/>
      <c r="H38" s="3"/>
      <c r="J38" s="41"/>
      <c r="Q38" s="93">
        <f t="shared" si="15"/>
        <v>7937.005259841002</v>
      </c>
      <c r="R38" s="93" t="str">
        <f t="shared" si="2"/>
        <v>49869.6748316401i</v>
      </c>
      <c r="S38" s="82" t="str">
        <f t="shared" si="18"/>
        <v>1.00020285000158-0.0138227767732839i</v>
      </c>
      <c r="T38" s="82" t="str">
        <f t="shared" si="3"/>
        <v>0.00394098030270775-1.4457326531709i</v>
      </c>
      <c r="U38" s="82">
        <f t="shared" si="4"/>
        <v>3.201792072464007</v>
      </c>
      <c r="V38" s="82">
        <f t="shared" si="5"/>
        <v>-89.843815536223019</v>
      </c>
      <c r="W38" s="57" t="str">
        <f t="shared" si="19"/>
        <v>0.638896234459323-0.127420134529651i</v>
      </c>
      <c r="X38" s="57">
        <f t="shared" si="6"/>
        <v>-3.7219977011506673</v>
      </c>
      <c r="Y38" s="57">
        <f t="shared" si="7"/>
        <v>-11.278962829197068</v>
      </c>
      <c r="Z38" s="82" t="str">
        <f t="shared" si="8"/>
        <v>0.644890226216012-0.12901533168111i</v>
      </c>
      <c r="AA38" s="82">
        <f t="shared" si="9"/>
        <v>-3.6398541178816486</v>
      </c>
      <c r="AB38" s="82">
        <f t="shared" si="16"/>
        <v>-11.313117768321954</v>
      </c>
      <c r="AC38" s="82" t="str">
        <f t="shared" si="11"/>
        <v>0.181697571685467+0.924175308386124i</v>
      </c>
      <c r="AD38" s="82">
        <f t="shared" si="12"/>
        <v>-0.52020562868665843</v>
      </c>
      <c r="AE38" s="82">
        <f t="shared" si="13"/>
        <v>78.877221634579925</v>
      </c>
    </row>
    <row r="39" spans="3:31" ht="18" customHeight="1">
      <c r="C39" s="5"/>
      <c r="H39" s="3"/>
      <c r="I39" s="39"/>
      <c r="J39" s="19"/>
      <c r="K39" s="10"/>
      <c r="N39" s="40"/>
      <c r="Q39" s="93">
        <f t="shared" si="15"/>
        <v>8451.2119065888674</v>
      </c>
      <c r="R39" s="93" t="str">
        <f t="shared" si="2"/>
        <v>53100.5304793403i</v>
      </c>
      <c r="S39" s="82" t="str">
        <f t="shared" si="18"/>
        <v>1.00022997990983-0.0147194736631027i</v>
      </c>
      <c r="T39" s="82" t="str">
        <f t="shared" si="3"/>
        <v>0.0017849651518306-1.35793569515347i</v>
      </c>
      <c r="U39" s="82">
        <f t="shared" si="4"/>
        <v>2.6575915934579823</v>
      </c>
      <c r="V39" s="82">
        <f t="shared" si="5"/>
        <v>-89.924686484609992</v>
      </c>
      <c r="W39" s="57" t="str">
        <f t="shared" si="19"/>
        <v>0.638558627832201-0.124690705206227i</v>
      </c>
      <c r="X39" s="57">
        <f t="shared" si="6"/>
        <v>-3.7334671132032948</v>
      </c>
      <c r="Y39" s="57">
        <f t="shared" si="7"/>
        <v>-11.049056267155407</v>
      </c>
      <c r="Z39" s="82" t="str">
        <f t="shared" si="8"/>
        <v>0.644542961744303-0.126283905938441i</v>
      </c>
      <c r="AA39" s="82">
        <f t="shared" si="9"/>
        <v>-3.6513671748200065</v>
      </c>
      <c r="AB39" s="82">
        <f t="shared" si="16"/>
        <v>-11.085413599958194</v>
      </c>
      <c r="AC39" s="82" t="str">
        <f t="shared" si="11"/>
        <v>0.168182154555313+0.867344122745116i</v>
      </c>
      <c r="AD39" s="82">
        <f t="shared" si="12"/>
        <v>-1.0758755197453125</v>
      </c>
      <c r="AE39" s="82">
        <f t="shared" si="13"/>
        <v>79.026257248234614</v>
      </c>
    </row>
    <row r="40" spans="3:31" ht="18" customHeight="1">
      <c r="C40" s="5"/>
      <c r="H40" s="3"/>
      <c r="I40" s="39"/>
      <c r="J40" s="19"/>
      <c r="K40" s="10"/>
      <c r="Q40" s="93">
        <f t="shared" si="15"/>
        <v>8998.7319337495592</v>
      </c>
      <c r="R40" s="93" t="str">
        <f t="shared" si="2"/>
        <v>56540.700269383i</v>
      </c>
      <c r="S40" s="82" t="str">
        <f t="shared" si="18"/>
        <v>1.00026073748509-0.0156745075138031i</v>
      </c>
      <c r="T40" s="82" t="str">
        <f t="shared" si="3"/>
        <v>-0.000117452947665674-1.27548547698802i</v>
      </c>
      <c r="U40" s="82">
        <f t="shared" si="4"/>
        <v>2.1135103964895547</v>
      </c>
      <c r="V40" s="82">
        <f t="shared" si="5"/>
        <v>-90.005276075890322</v>
      </c>
      <c r="W40" s="57" t="str">
        <f t="shared" si="19"/>
        <v>0.638176627290759-0.122446784127728i</v>
      </c>
      <c r="X40" s="57">
        <f t="shared" si="6"/>
        <v>-3.7441735933490481</v>
      </c>
      <c r="Y40" s="57">
        <f t="shared" si="7"/>
        <v>-10.861327215278525</v>
      </c>
      <c r="Z40" s="82" t="str">
        <f t="shared" si="8"/>
        <v>0.644150038594424-0.124044038319709i</v>
      </c>
      <c r="AA40" s="82">
        <f t="shared" si="9"/>
        <v>-3.6621230821658242</v>
      </c>
      <c r="AB40" s="82">
        <f t="shared" si="16"/>
        <v>-10.900025092471113</v>
      </c>
      <c r="AC40" s="82" t="str">
        <f t="shared" si="11"/>
        <v>0.156254050584811+0.813970638126832i</v>
      </c>
      <c r="AD40" s="82">
        <f t="shared" si="12"/>
        <v>-1.6306631968594889</v>
      </c>
      <c r="AE40" s="82">
        <f t="shared" si="13"/>
        <v>79.133396708831157</v>
      </c>
    </row>
    <row r="41" spans="3:31" ht="18" customHeight="1">
      <c r="H41" s="3"/>
      <c r="I41" s="39"/>
      <c r="J41" s="19"/>
      <c r="K41" s="10"/>
      <c r="Q41" s="93">
        <f t="shared" si="15"/>
        <v>9581.7235812477229</v>
      </c>
      <c r="R41" s="93" t="str">
        <f t="shared" si="2"/>
        <v>60203.7448231519i</v>
      </c>
      <c r="S41" s="82" t="str">
        <f t="shared" si="18"/>
        <v>1.00029560757408-0.0166917082669064i</v>
      </c>
      <c r="T41" s="82" t="str">
        <f t="shared" si="3"/>
        <v>-0.00179627595188346-1.19805803029123i</v>
      </c>
      <c r="U41" s="82">
        <f t="shared" si="4"/>
        <v>1.5695668521575046</v>
      </c>
      <c r="V41" s="82">
        <f t="shared" si="5"/>
        <v>-90.085904815261102</v>
      </c>
      <c r="W41" s="57" t="str">
        <f t="shared" si="19"/>
        <v>0.637744375380963-0.120678295112666i</v>
      </c>
      <c r="X41" s="57">
        <f t="shared" si="6"/>
        <v>-3.7542798380398517</v>
      </c>
      <c r="Y41" s="57">
        <f t="shared" si="7"/>
        <v>-10.715200685735535</v>
      </c>
      <c r="Z41" s="82" t="str">
        <f t="shared" si="8"/>
        <v>0.643705435185416-0.122285621661705i</v>
      </c>
      <c r="AA41" s="82">
        <f t="shared" si="9"/>
        <v>-3.6722852939884412</v>
      </c>
      <c r="AB41" s="82">
        <f t="shared" si="16"/>
        <v>-10.756385425251711</v>
      </c>
      <c r="AC41" s="82" t="str">
        <f t="shared" si="11"/>
        <v>0.14572516542653+0.763837998678802i</v>
      </c>
      <c r="AD41" s="82">
        <f t="shared" si="12"/>
        <v>-2.1847129858823475</v>
      </c>
      <c r="AE41" s="82">
        <f t="shared" si="13"/>
        <v>79.198894499003373</v>
      </c>
    </row>
    <row r="42" spans="3:31" ht="18" customHeight="1">
      <c r="H42" s="3"/>
      <c r="I42" s="10"/>
      <c r="J42" s="19"/>
      <c r="K42" s="10"/>
      <c r="Q42" s="93">
        <f t="shared" si="15"/>
        <v>10202.4849126919</v>
      </c>
      <c r="R42" s="93" t="str">
        <f t="shared" si="2"/>
        <v>64104.1033001472i</v>
      </c>
      <c r="S42" s="82" t="str">
        <f t="shared" si="18"/>
        <v>1.00033513975958-0.0177751644787371i</v>
      </c>
      <c r="T42" s="82" t="str">
        <f t="shared" si="3"/>
        <v>-0.00327798220103023-1.12534900806579i</v>
      </c>
      <c r="U42" s="82">
        <f t="shared" si="4"/>
        <v>1.0257814979353828</v>
      </c>
      <c r="V42" s="82">
        <f t="shared" si="5"/>
        <v>-90.166894015019807</v>
      </c>
      <c r="W42" s="57" t="str">
        <f t="shared" si="19"/>
        <v>0.63725526995938-0.119376785726886i</v>
      </c>
      <c r="X42" s="57">
        <f t="shared" si="6"/>
        <v>-3.7639401489570594</v>
      </c>
      <c r="Y42" s="57">
        <f t="shared" si="7"/>
        <v>-10.61022431214988</v>
      </c>
      <c r="Z42" s="82" t="str">
        <f t="shared" si="8"/>
        <v>0.643202365015114-0.121000186818652i</v>
      </c>
      <c r="AA42" s="82">
        <f t="shared" si="9"/>
        <v>-3.6820089664616589</v>
      </c>
      <c r="AB42" s="82">
        <f t="shared" si="16"/>
        <v>-10.654050760623536</v>
      </c>
      <c r="AC42" s="82" t="str">
        <f t="shared" si="11"/>
        <v>0.136429458836273+0.716743270954657i</v>
      </c>
      <c r="AD42" s="82">
        <f t="shared" si="12"/>
        <v>-2.7381586510216698</v>
      </c>
      <c r="AE42" s="82">
        <f t="shared" si="13"/>
        <v>79.222881672830326</v>
      </c>
    </row>
    <row r="43" spans="3:31" ht="18" customHeight="1">
      <c r="H43" s="3"/>
      <c r="I43" s="10"/>
      <c r="J43" s="19"/>
      <c r="K43" s="10"/>
      <c r="Q43" s="93">
        <f t="shared" si="15"/>
        <v>10863.462873988612</v>
      </c>
      <c r="R43" s="93" t="str">
        <f t="shared" si="2"/>
        <v>68257.1503149362i</v>
      </c>
      <c r="S43" s="82" t="str">
        <f t="shared" si="18"/>
        <v>1.00037995698528-0.0189292422552761i</v>
      </c>
      <c r="T43" s="82" t="str">
        <f t="shared" si="3"/>
        <v>-0.00458594315982055-1.05707251557318i</v>
      </c>
      <c r="U43" s="82">
        <f t="shared" si="4"/>
        <v>0.48217736064296607</v>
      </c>
      <c r="V43" s="82">
        <f t="shared" si="5"/>
        <v>-90.248567185159487</v>
      </c>
      <c r="W43" s="57" t="str">
        <f t="shared" si="19"/>
        <v>0.636701873558225-0.118535343820465i</v>
      </c>
      <c r="X43" s="57">
        <f t="shared" si="6"/>
        <v>-3.7733025518374257</v>
      </c>
      <c r="Y43" s="57">
        <f t="shared" si="7"/>
        <v>-10.546070590117367</v>
      </c>
      <c r="Z43" s="82" t="str">
        <f t="shared" si="8"/>
        <v>0.642633183760392-0.120180817273566i</v>
      </c>
      <c r="AA43" s="82">
        <f t="shared" si="9"/>
        <v>-3.6914430883991463</v>
      </c>
      <c r="AB43" s="82">
        <f t="shared" si="16"/>
        <v>-10.592702474869212</v>
      </c>
      <c r="AC43" s="82" t="str">
        <f t="shared" si="11"/>
        <v>0.12822033267852+0.672496454803159i</v>
      </c>
      <c r="AD43" s="82">
        <f t="shared" si="12"/>
        <v>-3.291125191194463</v>
      </c>
      <c r="AE43" s="82">
        <f t="shared" si="13"/>
        <v>79.205362224723146</v>
      </c>
    </row>
    <row r="44" spans="3:31" ht="18" customHeight="1">
      <c r="H44" s="3"/>
      <c r="I44" s="10"/>
      <c r="J44" s="19"/>
      <c r="K44" s="10"/>
      <c r="Q44" s="93">
        <f t="shared" si="15"/>
        <v>11567.262938827616</v>
      </c>
      <c r="R44" s="93" t="str">
        <f t="shared" si="2"/>
        <v>72679.2565415246i</v>
      </c>
      <c r="S44" s="82" t="str">
        <f t="shared" si="18"/>
        <v>1.00043076532408-0.0201586058680423i</v>
      </c>
      <c r="T44" s="82" t="str">
        <f t="shared" si="3"/>
        <v>-0.00574079138850804-0.992960008720081i</v>
      </c>
      <c r="U44" s="82">
        <f t="shared" si="4"/>
        <v>-6.1219682260905996E-2</v>
      </c>
      <c r="V44" s="82">
        <f t="shared" si="5"/>
        <v>-90.331251460267495</v>
      </c>
      <c r="W44" s="57" t="str">
        <f t="shared" si="19"/>
        <v>0.636075813323681-0.118148510368912i</v>
      </c>
      <c r="X44" s="57">
        <f t="shared" si="6"/>
        <v>-3.7825108610896683</v>
      </c>
      <c r="Y44" s="57">
        <f t="shared" si="7"/>
        <v>-10.522538409022625</v>
      </c>
      <c r="Z44" s="82" t="str">
        <f t="shared" si="8"/>
        <v>0.641989286771911-0.119822059752915i</v>
      </c>
      <c r="AA44" s="82">
        <f t="shared" si="9"/>
        <v>-3.7007325588024109</v>
      </c>
      <c r="AB44" s="82">
        <f t="shared" si="16"/>
        <v>-10.572148673551082</v>
      </c>
      <c r="AC44" s="82" t="str">
        <f t="shared" si="11"/>
        <v>0.120968324437746+0.630919579193624i</v>
      </c>
      <c r="AD44" s="82">
        <f t="shared" si="12"/>
        <v>-3.8437305433505786</v>
      </c>
      <c r="AE44" s="82">
        <f t="shared" si="13"/>
        <v>79.146210130709903</v>
      </c>
    </row>
    <row r="45" spans="3:31" ht="18" customHeight="1">
      <c r="H45" s="3"/>
      <c r="I45" s="10"/>
      <c r="J45" s="19"/>
      <c r="K45" s="10"/>
      <c r="Q45" s="93">
        <f t="shared" si="15"/>
        <v>12316.659379059352</v>
      </c>
      <c r="R45" s="93" t="str">
        <f t="shared" si="2"/>
        <v>77387.8532440414i</v>
      </c>
      <c r="S45" s="82" t="str">
        <f t="shared" si="18"/>
        <v>1.0004883650402-0.0214682402549871i</v>
      </c>
      <c r="T45" s="82" t="str">
        <f t="shared" si="3"/>
        <v>-0.00676074549528769-0.932759256515794i</v>
      </c>
      <c r="U45" s="82">
        <f t="shared" si="4"/>
        <v>-0.60438049699042617</v>
      </c>
      <c r="V45" s="82">
        <f t="shared" si="5"/>
        <v>-90.415279073750511</v>
      </c>
      <c r="W45" s="57" t="str">
        <f t="shared" si="19"/>
        <v>0.635367670969097-0.118212186473815i</v>
      </c>
      <c r="X45" s="57">
        <f t="shared" si="6"/>
        <v>-3.7917067069334465</v>
      </c>
      <c r="Y45" s="57">
        <f t="shared" si="7"/>
        <v>-10.539553958653357</v>
      </c>
      <c r="Z45" s="82" t="str">
        <f t="shared" si="8"/>
        <v>0.641260996413367-0.119919828631101i</v>
      </c>
      <c r="AA45" s="82">
        <f t="shared" si="9"/>
        <v>-3.7100202282223895</v>
      </c>
      <c r="AB45" s="82">
        <f t="shared" si="16"/>
        <v>-10.592325073014726</v>
      </c>
      <c r="AC45" s="82" t="str">
        <f t="shared" si="11"/>
        <v>0.114559070285778+0.591845873880116i</v>
      </c>
      <c r="AD45" s="82">
        <f t="shared" si="12"/>
        <v>-4.3960872039238676</v>
      </c>
      <c r="AE45" s="82">
        <f t="shared" si="13"/>
        <v>79.045166967596131</v>
      </c>
    </row>
    <row r="46" spans="3:31" ht="18" customHeight="1">
      <c r="H46" s="3"/>
      <c r="I46" s="10"/>
      <c r="J46" s="19"/>
      <c r="K46" s="10"/>
      <c r="Q46" s="93">
        <f t="shared" si="15"/>
        <v>13114.606200448838</v>
      </c>
      <c r="R46" s="93" t="str">
        <f t="shared" si="2"/>
        <v>82401.5009881064i</v>
      </c>
      <c r="S46" s="82" t="str">
        <f t="shared" si="18"/>
        <v>1.0005536631141-0.0228634756436446i</v>
      </c>
      <c r="T46" s="82" t="str">
        <f t="shared" si="3"/>
        <v>-0.00766189715511656-0.876233364255979i</v>
      </c>
      <c r="U46" s="82">
        <f t="shared" si="4"/>
        <v>-1.147272237124179</v>
      </c>
      <c r="V46" s="82">
        <f t="shared" si="5"/>
        <v>-90.500988891773076</v>
      </c>
      <c r="W46" s="57" t="str">
        <f t="shared" si="19"/>
        <v>0.63456686229586-0.118723532059955i</v>
      </c>
      <c r="X46" s="57">
        <f t="shared" si="6"/>
        <v>-3.8010315427520198</v>
      </c>
      <c r="Y46" s="57">
        <f t="shared" si="7"/>
        <v>-10.597171061356747</v>
      </c>
      <c r="Z46" s="82" t="str">
        <f t="shared" si="8"/>
        <v>0.6404374388153-0.120471301583573i</v>
      </c>
      <c r="AA46" s="82">
        <f t="shared" si="9"/>
        <v>-3.7194489216845601</v>
      </c>
      <c r="AB46" s="82">
        <f t="shared" si="16"/>
        <v>-10.653295296921586</v>
      </c>
      <c r="AC46" s="82" t="str">
        <f t="shared" si="11"/>
        <v>0.108891505950203+0.555119009102326i</v>
      </c>
      <c r="AD46" s="82">
        <f t="shared" si="12"/>
        <v>-4.9483037798762028</v>
      </c>
      <c r="AE46" s="82">
        <f t="shared" si="13"/>
        <v>78.901840046870163</v>
      </c>
    </row>
    <row r="47" spans="3:31" ht="18" customHeight="1">
      <c r="C47" s="6"/>
      <c r="H47" s="3"/>
      <c r="I47" s="10"/>
      <c r="J47" s="19"/>
      <c r="K47" s="10"/>
      <c r="Q47" s="93">
        <f t="shared" si="15"/>
        <v>13964.248786913075</v>
      </c>
      <c r="R47" s="93" t="str">
        <f t="shared" si="2"/>
        <v>87739.9628037326i</v>
      </c>
      <c r="S47" s="82" t="str">
        <f t="shared" si="18"/>
        <v>1.00062768742116-0.0243500145734786i</v>
      </c>
      <c r="T47" s="82" t="str">
        <f t="shared" si="3"/>
        <v>-0.00845846469177392-0.823159854201683i</v>
      </c>
      <c r="U47" s="82">
        <f t="shared" si="4"/>
        <v>-1.6898578296909514</v>
      </c>
      <c r="V47" s="82">
        <f t="shared" si="5"/>
        <v>-90.58872802094281</v>
      </c>
      <c r="W47" s="57" t="str">
        <f t="shared" si="19"/>
        <v>0.633661506005085-0.11968085344354i</v>
      </c>
      <c r="X47" s="57">
        <f t="shared" si="6"/>
        <v>-3.8106286508343912</v>
      </c>
      <c r="Y47" s="57">
        <f t="shared" si="7"/>
        <v>-10.695570948445472</v>
      </c>
      <c r="Z47" s="82" t="str">
        <f t="shared" si="8"/>
        <v>0.63950640979654-0.121474803575073i</v>
      </c>
      <c r="AA47" s="82">
        <f t="shared" si="9"/>
        <v>-3.729163461382714</v>
      </c>
      <c r="AB47" s="82">
        <f t="shared" si="16"/>
        <v>-10.755250604299833</v>
      </c>
      <c r="AC47" s="82" t="str">
        <f t="shared" si="11"/>
        <v>0.103876277346398+0.520592396623231i</v>
      </c>
      <c r="AD47" s="82">
        <f t="shared" si="12"/>
        <v>-5.5004864805253426</v>
      </c>
      <c r="AE47" s="82">
        <f t="shared" si="13"/>
        <v>78.715701030611683</v>
      </c>
    </row>
    <row r="48" spans="3:31" ht="18" customHeight="1">
      <c r="C48" s="6"/>
      <c r="H48" s="3"/>
      <c r="I48" s="10"/>
      <c r="J48" s="19"/>
      <c r="K48" s="10"/>
      <c r="Q48" s="93">
        <f t="shared" si="15"/>
        <v>14868.936299141757</v>
      </c>
      <c r="R48" s="93" t="str">
        <f t="shared" si="2"/>
        <v>93424.2820881567i</v>
      </c>
      <c r="S48" s="82" t="str">
        <f t="shared" si="18"/>
        <v>1.00071160277879-0.0259339616418502i</v>
      </c>
      <c r="T48" s="82" t="str">
        <f t="shared" si="3"/>
        <v>-0.00916301720064653-0.773329800643695i</v>
      </c>
      <c r="U48" s="82">
        <f t="shared" si="4"/>
        <v>-2.2320953958233511</v>
      </c>
      <c r="V48" s="82">
        <f t="shared" si="5"/>
        <v>-90.678853505762106</v>
      </c>
      <c r="W48" s="57" t="str">
        <f t="shared" si="19"/>
        <v>0.632638281771534-0.121083476540018i</v>
      </c>
      <c r="X48" s="57">
        <f t="shared" si="6"/>
        <v>-3.8206451647146986</v>
      </c>
      <c r="Y48" s="57">
        <f t="shared" si="7"/>
        <v>-10.835061467799484</v>
      </c>
      <c r="Z48" s="82" t="str">
        <f t="shared" si="8"/>
        <v>0.638454229969993-0.122929675852927i</v>
      </c>
      <c r="AA48" s="82">
        <f t="shared" si="9"/>
        <v>-3.739312707353375</v>
      </c>
      <c r="AB48" s="82">
        <f t="shared" si="16"/>
        <v>-10.898509033477248</v>
      </c>
      <c r="AC48" s="82" t="str">
        <f t="shared" si="11"/>
        <v>0.0994343362315977+0.4881285463437i</v>
      </c>
      <c r="AD48" s="82">
        <f t="shared" si="12"/>
        <v>-6.0527405605380498</v>
      </c>
      <c r="AE48" s="82">
        <f t="shared" si="13"/>
        <v>78.486085026438403</v>
      </c>
    </row>
    <row r="49" spans="3:31" ht="18" customHeight="1">
      <c r="C49" s="6"/>
      <c r="H49" s="3"/>
      <c r="I49" s="10"/>
      <c r="J49" s="19"/>
      <c r="K49" s="10"/>
      <c r="Q49" s="93">
        <f t="shared" si="15"/>
        <v>15832.234876474748</v>
      </c>
      <c r="R49" s="93" t="str">
        <f t="shared" si="2"/>
        <v>99476.8655556824i</v>
      </c>
      <c r="S49" s="82" t="str">
        <f t="shared" si="18"/>
        <v>1.00080672910366-0.0276218563549539i</v>
      </c>
      <c r="T49" s="82" t="str">
        <f t="shared" si="3"/>
        <v>-0.00978667273160173-0.726547016370082i</v>
      </c>
      <c r="U49" s="82">
        <f t="shared" si="4"/>
        <v>-2.7739375971984472</v>
      </c>
      <c r="V49" s="82">
        <f t="shared" si="5"/>
        <v>-90.771734134262616</v>
      </c>
      <c r="W49" s="57" t="str">
        <f t="shared" si="19"/>
        <v>0.631482277896761-0.122931602032513i</v>
      </c>
      <c r="X49" s="57">
        <f t="shared" si="6"/>
        <v>-3.8312341259236926</v>
      </c>
      <c r="Y49" s="57">
        <f t="shared" si="7"/>
        <v>-11.016075677653937</v>
      </c>
      <c r="Z49" s="82" t="str">
        <f t="shared" si="8"/>
        <v>0.637265589415957-0.124836126158164i</v>
      </c>
      <c r="AA49" s="82">
        <f t="shared" si="9"/>
        <v>-3.7500516338972445</v>
      </c>
      <c r="AB49" s="82">
        <f t="shared" si="16"/>
        <v>-11.083513913915409</v>
      </c>
      <c r="AC49" s="82" t="str">
        <f t="shared" si="11"/>
        <v>0.0954956990638986+0.457598473539011i</v>
      </c>
      <c r="AD49" s="82">
        <f t="shared" si="12"/>
        <v>-6.6051717231221403</v>
      </c>
      <c r="AE49" s="82">
        <f t="shared" si="13"/>
        <v>78.212190188083454</v>
      </c>
    </row>
    <row r="50" spans="3:31" ht="18" customHeight="1">
      <c r="C50" s="6"/>
      <c r="H50" s="3"/>
      <c r="I50" s="10"/>
      <c r="J50" s="42"/>
      <c r="K50" s="10"/>
      <c r="Q50" s="93">
        <f t="shared" si="15"/>
        <v>16857.941694076097</v>
      </c>
      <c r="R50" s="93" t="str">
        <f t="shared" si="2"/>
        <v>105921.571561509i</v>
      </c>
      <c r="S50" s="82" t="str">
        <f t="shared" si="18"/>
        <v>1.00091456195057-0.0294207095334418i</v>
      </c>
      <c r="T50" s="82" t="str">
        <f t="shared" si="3"/>
        <v>-0.0103392736475907-0.682627287686023i</v>
      </c>
      <c r="U50" s="82">
        <f t="shared" si="4"/>
        <v>-3.3153308984124963</v>
      </c>
      <c r="V50" s="82">
        <f t="shared" si="5"/>
        <v>-90.86775237312429</v>
      </c>
      <c r="W50" s="57" t="str">
        <f t="shared" si="19"/>
        <v>0.630176829328539-0.125226138340823i</v>
      </c>
      <c r="X50" s="57">
        <f t="shared" si="6"/>
        <v>-3.8425565920884237</v>
      </c>
      <c r="Y50" s="57">
        <f t="shared" si="7"/>
        <v>-11.239169748967738</v>
      </c>
      <c r="Z50" s="82" t="str">
        <f t="shared" si="8"/>
        <v>0.63592338280155-0.127195055877374i</v>
      </c>
      <c r="AA50" s="82">
        <f t="shared" si="9"/>
        <v>-3.7615434585800345</v>
      </c>
      <c r="AB50" s="82">
        <f t="shared" si="16"/>
        <v>-11.310831664943922</v>
      </c>
      <c r="AC50" s="82" t="str">
        <f t="shared" si="11"/>
        <v>0.0919983498477895+0.428881152454982i</v>
      </c>
      <c r="AD50" s="82">
        <f t="shared" si="12"/>
        <v>-7.1578874905009133</v>
      </c>
      <c r="AE50" s="82">
        <f t="shared" si="13"/>
        <v>77.893077877907999</v>
      </c>
    </row>
    <row r="51" spans="3:31" ht="18" customHeight="1">
      <c r="C51" s="6"/>
      <c r="H51" s="3"/>
      <c r="I51" s="10"/>
      <c r="J51" s="43"/>
      <c r="K51" s="10"/>
      <c r="Q51" s="93">
        <f t="shared" si="15"/>
        <v>17950.099930815824</v>
      </c>
      <c r="R51" s="93" t="str">
        <f t="shared" si="2"/>
        <v>112783.804147707i</v>
      </c>
      <c r="S51" s="82" t="str">
        <f t="shared" si="18"/>
        <v>1.00103679573742-0.0313380438047613i</v>
      </c>
      <c r="T51" s="82" t="str">
        <f t="shared" si="3"/>
        <v>-0.0108295419193252-0.641397655266891i</v>
      </c>
      <c r="U51" s="82">
        <f t="shared" si="4"/>
        <v>-3.8562147342464832</v>
      </c>
      <c r="V51" s="82">
        <f t="shared" si="5"/>
        <v>-90.96730645706063</v>
      </c>
      <c r="W51" s="57" t="str">
        <f t="shared" si="19"/>
        <v>0.62870334745585-0.127968507728711i</v>
      </c>
      <c r="X51" s="57">
        <f t="shared" si="6"/>
        <v>-3.8547838119048681</v>
      </c>
      <c r="Y51" s="57">
        <f t="shared" si="7"/>
        <v>-11.505020065133536</v>
      </c>
      <c r="Z51" s="82" t="str">
        <f t="shared" si="8"/>
        <v>0.634408536479482-0.130007859349894i</v>
      </c>
      <c r="AA51" s="82">
        <f t="shared" si="9"/>
        <v>-3.7739618391469647</v>
      </c>
      <c r="AB51" s="82">
        <f t="shared" si="16"/>
        <v>-11.581148766326272</v>
      </c>
      <c r="AC51" s="82" t="str">
        <f t="shared" si="11"/>
        <v>0.0888872700612914+0.401863012597826i</v>
      </c>
      <c r="AD51" s="82">
        <f t="shared" si="12"/>
        <v>-7.7109985461513544</v>
      </c>
      <c r="AE51" s="82">
        <f t="shared" si="13"/>
        <v>77.527673477805848</v>
      </c>
    </row>
    <row r="52" spans="3:31" ht="18" customHeight="1">
      <c r="C52" s="6"/>
      <c r="I52" s="10"/>
      <c r="J52" s="43"/>
      <c r="K52" s="10"/>
      <c r="Q52" s="93">
        <f t="shared" si="15"/>
        <v>19113.014706860562</v>
      </c>
      <c r="R52" s="93" t="str">
        <f t="shared" si="2"/>
        <v>120090.613182054i</v>
      </c>
      <c r="S52" s="82" t="str">
        <f t="shared" si="18"/>
        <v>1.00117534999722-0.0333819388134987i</v>
      </c>
      <c r="T52" s="82" t="str">
        <f t="shared" si="3"/>
        <v>-0.0112652168041658-0.602695738258091i</v>
      </c>
      <c r="U52" s="82">
        <f t="shared" si="4"/>
        <v>-4.3965205694408818</v>
      </c>
      <c r="V52" s="82">
        <f t="shared" si="5"/>
        <v>-91.070812661439831</v>
      </c>
      <c r="W52" s="57" t="str">
        <f t="shared" si="19"/>
        <v>0.627041143897341-0.131160420385203i</v>
      </c>
      <c r="X52" s="57">
        <f t="shared" si="6"/>
        <v>-3.8680994804433961</v>
      </c>
      <c r="Y52" s="57">
        <f t="shared" si="7"/>
        <v>-11.814419372842293</v>
      </c>
      <c r="Z52" s="82" t="str">
        <f t="shared" si="8"/>
        <v>0.632699829947069-0.133276190040696i</v>
      </c>
      <c r="AA52" s="82">
        <f t="shared" si="9"/>
        <v>-3.787493151517408</v>
      </c>
      <c r="AB52" s="82">
        <f t="shared" si="16"/>
        <v>-11.895267750205061</v>
      </c>
      <c r="AC52" s="82" t="str">
        <f t="shared" si="11"/>
        <v>0.0861135808254372+0.376437474567641i</v>
      </c>
      <c r="AD52" s="82">
        <f t="shared" si="12"/>
        <v>-8.2646200498842752</v>
      </c>
      <c r="AE52" s="82">
        <f t="shared" si="13"/>
        <v>77.114767965717874</v>
      </c>
    </row>
    <row r="53" spans="3:31" ht="18" customHeight="1">
      <c r="C53" s="6"/>
      <c r="I53" s="10"/>
      <c r="J53" s="43"/>
      <c r="K53" s="10"/>
      <c r="Q53" s="93">
        <f t="shared" si="15"/>
        <v>20351.270053796579</v>
      </c>
      <c r="R53" s="93" t="str">
        <f t="shared" si="2"/>
        <v>127870.800984459i</v>
      </c>
      <c r="S53" s="82" t="str">
        <f t="shared" si="18"/>
        <v>1.00133239903834-0.0355610819009913i</v>
      </c>
      <c r="T53" s="82" t="str">
        <f t="shared" si="3"/>
        <v>-0.011653177083639-0.56636909916569i</v>
      </c>
      <c r="U53" s="82">
        <f t="shared" si="4"/>
        <v>-4.9361708371171433</v>
      </c>
      <c r="V53" s="82">
        <f t="shared" si="5"/>
        <v>-91.178707792158818</v>
      </c>
      <c r="W53" s="57" t="str">
        <f t="shared" si="19"/>
        <v>0.625167251533135-0.134803610845498i</v>
      </c>
      <c r="X53" s="57">
        <f t="shared" si="6"/>
        <v>-3.8827020853786305</v>
      </c>
      <c r="Y53" s="57">
        <f t="shared" si="7"/>
        <v>-12.168271801517269</v>
      </c>
      <c r="Z53" s="82" t="str">
        <f t="shared" si="8"/>
        <v>0.630773715125669-0.137001687823427i</v>
      </c>
      <c r="AA53" s="82">
        <f t="shared" si="9"/>
        <v>-3.8023388590211118</v>
      </c>
      <c r="AB53" s="82">
        <f t="shared" si="16"/>
        <v>-12.254102027171863</v>
      </c>
      <c r="AC53" s="82" t="str">
        <f t="shared" si="11"/>
        <v>0.0836337843278544+0.352504522730015i</v>
      </c>
      <c r="AD53" s="82">
        <f t="shared" si="12"/>
        <v>-8.8188729224957854</v>
      </c>
      <c r="AE53" s="82">
        <f t="shared" si="13"/>
        <v>76.653020406323918</v>
      </c>
    </row>
    <row r="54" spans="3:31" ht="18" customHeight="1">
      <c r="C54" s="6"/>
      <c r="I54" s="10"/>
      <c r="J54" s="43"/>
      <c r="K54" s="10"/>
      <c r="Q54" s="93">
        <f t="shared" si="15"/>
        <v>21669.746984178837</v>
      </c>
      <c r="R54" s="93" t="str">
        <f t="shared" si="2"/>
        <v>136155.035861292i</v>
      </c>
      <c r="S54" s="82" t="str">
        <f t="shared" si="18"/>
        <v>1.00151040543724-0.0378848251507563i</v>
      </c>
      <c r="T54" s="82" t="str">
        <f t="shared" si="3"/>
        <v>-0.0119995497946982-0.532274647209955i</v>
      </c>
      <c r="U54" s="82">
        <f t="shared" si="4"/>
        <v>-5.4750777403457658</v>
      </c>
      <c r="V54" s="82">
        <f t="shared" si="5"/>
        <v>-91.291451932866508</v>
      </c>
      <c r="W54" s="57" t="str">
        <f t="shared" si="19"/>
        <v>0.623056247322725-0.13889953072473i</v>
      </c>
      <c r="X54" s="57">
        <f t="shared" si="6"/>
        <v>-3.8988073508905026</v>
      </c>
      <c r="Y54" s="57">
        <f t="shared" si="7"/>
        <v>-12.567586531010019</v>
      </c>
      <c r="Z54" s="82" t="str">
        <f t="shared" si="8"/>
        <v>0.628604138268947-0.141185661239035i</v>
      </c>
      <c r="AA54" s="82">
        <f t="shared" si="9"/>
        <v>-3.8187179790258972</v>
      </c>
      <c r="AB54" s="82">
        <f t="shared" si="16"/>
        <v>-12.658669321151711</v>
      </c>
      <c r="AC54" s="82" t="str">
        <f t="shared" si="11"/>
        <v>0.0814090931787808+0.32997031240027i</v>
      </c>
      <c r="AD54" s="82">
        <f t="shared" si="12"/>
        <v>-9.373885091236275</v>
      </c>
      <c r="AE54" s="82">
        <f t="shared" si="13"/>
        <v>76.140961536123456</v>
      </c>
    </row>
    <row r="55" spans="3:31" ht="18" customHeight="1">
      <c r="C55" s="6"/>
      <c r="I55" s="10"/>
      <c r="J55" s="43"/>
      <c r="K55" s="10"/>
      <c r="Q55" s="93">
        <f t="shared" si="15"/>
        <v>23073.642731733438</v>
      </c>
      <c r="R55" s="93" t="str">
        <f t="shared" si="2"/>
        <v>144975.972995139i</v>
      </c>
      <c r="S55" s="82" t="str">
        <f t="shared" si="18"/>
        <v>1.00171215783549-0.0403632498725849i</v>
      </c>
      <c r="T55" s="82" t="str">
        <f t="shared" si="3"/>
        <v>-0.0123098071814859-0.500278077939555i</v>
      </c>
      <c r="U55" s="82">
        <f t="shared" si="4"/>
        <v>-6.013141899546607</v>
      </c>
      <c r="V55" s="82">
        <f t="shared" si="5"/>
        <v>-91.409531496958778</v>
      </c>
      <c r="W55" s="57" t="str">
        <f t="shared" si="19"/>
        <v>0.620680083044274-0.143448991487051i</v>
      </c>
      <c r="X55" s="57">
        <f t="shared" si="6"/>
        <v>-3.9166507809211613</v>
      </c>
      <c r="Y55" s="57">
        <f t="shared" si="7"/>
        <v>-13.013469848633031</v>
      </c>
      <c r="Z55" s="82" t="str">
        <f t="shared" si="8"/>
        <v>0.626162370965065-0.145828718370948i</v>
      </c>
      <c r="AA55" s="82">
        <f t="shared" si="9"/>
        <v>-3.8368696478328799</v>
      </c>
      <c r="AB55" s="82">
        <f t="shared" si="16"/>
        <v>-13.110083448964684</v>
      </c>
      <c r="AC55" s="82" t="str">
        <f t="shared" si="11"/>
        <v>0.0794048378871731+0.308746809535169i</v>
      </c>
      <c r="AD55" s="82">
        <f t="shared" si="12"/>
        <v>-9.9297926804677576</v>
      </c>
      <c r="AE55" s="82">
        <f t="shared" si="13"/>
        <v>75.576998654408229</v>
      </c>
    </row>
    <row r="56" spans="3:31" ht="18" customHeight="1">
      <c r="C56" s="6"/>
      <c r="Q56" s="93">
        <f t="shared" si="15"/>
        <v>24568.491238055405</v>
      </c>
      <c r="R56" s="93" t="str">
        <f t="shared" si="2"/>
        <v>154368.38316652i</v>
      </c>
      <c r="S56" s="82" t="str">
        <f t="shared" si="18"/>
        <v>1.00194081356285-0.0430072398125538i</v>
      </c>
      <c r="T56" s="82" t="str">
        <f t="shared" si="3"/>
        <v>-0.0125888534139608-0.470253347025854i</v>
      </c>
      <c r="U56" s="82">
        <f t="shared" si="4"/>
        <v>-6.5502508264222055</v>
      </c>
      <c r="V56" s="82">
        <f t="shared" si="5"/>
        <v>-91.533462640597023</v>
      </c>
      <c r="W56" s="57" t="str">
        <f t="shared" si="19"/>
        <v>0.618007932014819-0.148451750948938i</v>
      </c>
      <c r="X56" s="57">
        <f t="shared" si="6"/>
        <v>-3.9364902969428921</v>
      </c>
      <c r="Y56" s="57">
        <f t="shared" si="7"/>
        <v>-13.507115297974449</v>
      </c>
      <c r="Z56" s="82" t="str">
        <f t="shared" si="8"/>
        <v>0.623416858692777-0.150930339997793i</v>
      </c>
      <c r="AA56" s="82">
        <f t="shared" si="9"/>
        <v>-3.8570557779402521</v>
      </c>
      <c r="AB56" s="82">
        <f t="shared" si="16"/>
        <v>-13.609544141789005</v>
      </c>
      <c r="AC56" s="82" t="str">
        <f t="shared" si="11"/>
        <v>0.0775899440203862+0.288751461186753i</v>
      </c>
      <c r="AD56" s="82">
        <f t="shared" si="12"/>
        <v>-10.486741123365102</v>
      </c>
      <c r="AE56" s="82">
        <f t="shared" si="13"/>
        <v>74.959422061428512</v>
      </c>
    </row>
    <row r="57" spans="3:31" ht="18" customHeight="1">
      <c r="C57" s="6"/>
      <c r="Q57" s="93">
        <f t="shared" si="15"/>
        <v>26160.184966557212</v>
      </c>
      <c r="R57" s="93" t="str">
        <f t="shared" si="2"/>
        <v>164369.289814973i</v>
      </c>
      <c r="S57" s="82" t="str">
        <f t="shared" si="18"/>
        <v>1.00219994666052-0.0458285646375112i</v>
      </c>
      <c r="T57" s="82" t="str">
        <f t="shared" si="3"/>
        <v>-0.0128411024648533-0.442082176274357i</v>
      </c>
      <c r="U57" s="82">
        <f t="shared" si="4"/>
        <v>-7.0862772029638261</v>
      </c>
      <c r="V57" s="82">
        <f t="shared" si="5"/>
        <v>-91.66379510365411</v>
      </c>
      <c r="W57" s="57" t="str">
        <f t="shared" si="19"/>
        <v>0.615006062127479-0.153906037530726i</v>
      </c>
      <c r="X57" s="57">
        <f t="shared" si="6"/>
        <v>-3.9586089571103686</v>
      </c>
      <c r="Y57" s="57">
        <f t="shared" si="7"/>
        <v>-14.049791584735347</v>
      </c>
      <c r="Z57" s="82" t="str">
        <f t="shared" si="8"/>
        <v>0.620333097744475-0.156488389066231i</v>
      </c>
      <c r="AA57" s="82">
        <f t="shared" si="9"/>
        <v>-3.8795637931930536</v>
      </c>
      <c r="AB57" s="82">
        <f t="shared" si="16"/>
        <v>-14.158324568831581</v>
      </c>
      <c r="AC57" s="82" t="str">
        <f t="shared" si="11"/>
        <v>0.0759364718736311+0.269906895169347i</v>
      </c>
      <c r="AD57" s="82">
        <f t="shared" si="12"/>
        <v>-11.044886160074185</v>
      </c>
      <c r="AE57" s="82">
        <f t="shared" si="13"/>
        <v>74.286413311610545</v>
      </c>
    </row>
    <row r="58" spans="3:31" ht="18" customHeight="1">
      <c r="C58" s="6"/>
      <c r="Q58" s="93">
        <f t="shared" si="15"/>
        <v>27854.998129655301</v>
      </c>
      <c r="R58" s="93" t="str">
        <f t="shared" si="2"/>
        <v>175018.114979765i</v>
      </c>
      <c r="S58" s="82" t="str">
        <f t="shared" si="18"/>
        <v>1.00249360193316-0.0488399755617933i</v>
      </c>
      <c r="T58" s="82" t="str">
        <f t="shared" si="3"/>
        <v>-0.0130705484049877-0.415653590004933i</v>
      </c>
      <c r="U58" s="82">
        <f t="shared" si="4"/>
        <v>-7.6210769417105029</v>
      </c>
      <c r="V58" s="82">
        <f t="shared" si="5"/>
        <v>-91.801116558337142</v>
      </c>
      <c r="W58" s="57" t="str">
        <f t="shared" si="19"/>
        <v>0.611637748171608-0.159808007065298i</v>
      </c>
      <c r="X58" s="57">
        <f t="shared" si="6"/>
        <v>-3.9833177333270235</v>
      </c>
      <c r="Y58" s="57">
        <f t="shared" si="7"/>
        <v>-14.642827871230351</v>
      </c>
      <c r="Z58" s="82" t="str">
        <f t="shared" si="8"/>
        <v>0.616873554035519-0.162498551416481i</v>
      </c>
      <c r="AA58" s="82">
        <f t="shared" si="9"/>
        <v>-3.9047094166564418</v>
      </c>
      <c r="AB58" s="82">
        <f t="shared" si="16"/>
        <v>-14.757756190616149</v>
      </c>
      <c r="AC58" s="82" t="str">
        <f t="shared" si="11"/>
        <v>0.0744192126420195+0.25214064751821i</v>
      </c>
      <c r="AD58" s="82">
        <f t="shared" si="12"/>
        <v>-11.60439467503754</v>
      </c>
      <c r="AE58" s="82">
        <f t="shared" si="13"/>
        <v>73.556055570432491</v>
      </c>
    </row>
    <row r="59" spans="3:31" ht="18" customHeight="1">
      <c r="C59" s="6"/>
      <c r="Q59" s="93">
        <f t="shared" si="15"/>
        <v>29659.611420752586</v>
      </c>
      <c r="R59" s="93" t="str">
        <f t="shared" si="2"/>
        <v>186356.834695528i</v>
      </c>
      <c r="S59" s="82" t="str">
        <f t="shared" si="18"/>
        <v>1.00282635571106-0.0520553153748152i</v>
      </c>
      <c r="T59" s="82" t="str">
        <f t="shared" si="3"/>
        <v>-0.0132808292675648-0.390863480061602i</v>
      </c>
      <c r="U59" s="82">
        <f t="shared" si="4"/>
        <v>-8.1544870009264141</v>
      </c>
      <c r="V59" s="82">
        <f t="shared" si="5"/>
        <v>-91.946057560753459</v>
      </c>
      <c r="W59" s="57" t="str">
        <f t="shared" si="19"/>
        <v>0.607863239350233-0.166151128418933i</v>
      </c>
      <c r="X59" s="57">
        <f t="shared" si="6"/>
        <v>-4.0109583100804045</v>
      </c>
      <c r="Y59" s="57">
        <f t="shared" si="7"/>
        <v>-15.287596064249104</v>
      </c>
      <c r="Z59" s="82" t="str">
        <f t="shared" si="8"/>
        <v>0.61299764033869-0.168953704269454i</v>
      </c>
      <c r="AA59" s="82">
        <f t="shared" si="9"/>
        <v>-3.9328394729889786</v>
      </c>
      <c r="AB59" s="82">
        <f t="shared" si="16"/>
        <v>-15.409210543626598</v>
      </c>
      <c r="AC59" s="82" t="str">
        <f t="shared" si="11"/>
        <v>0.0730153361698256+0.235384916364806i</v>
      </c>
      <c r="AD59" s="82">
        <f t="shared" si="12"/>
        <v>-12.165445311006803</v>
      </c>
      <c r="AE59" s="82">
        <f t="shared" si="13"/>
        <v>72.766346374997468</v>
      </c>
    </row>
    <row r="60" spans="3:31" ht="18" customHeight="1">
      <c r="C60" s="6"/>
      <c r="Q60" s="93">
        <f t="shared" si="15"/>
        <v>31581.138348506622</v>
      </c>
      <c r="R60" s="93" t="str">
        <f t="shared" si="2"/>
        <v>198430.144455343i</v>
      </c>
      <c r="S60" s="82" t="str">
        <f t="shared" si="18"/>
        <v>1.00320338405441-0.0554896456080402i</v>
      </c>
      <c r="T60" s="82" t="str">
        <f t="shared" si="3"/>
        <v>-0.0134752855434792-0.367614197818829i</v>
      </c>
      <c r="U60" s="82">
        <f t="shared" si="4"/>
        <v>-8.6863229256619796</v>
      </c>
      <c r="V60" s="82">
        <f t="shared" si="5"/>
        <v>-92.099297219428948</v>
      </c>
      <c r="W60" s="57" t="str">
        <f t="shared" si="19"/>
        <v>0.60363980109411-0.172925496477752i</v>
      </c>
      <c r="X60" s="57">
        <f t="shared" si="6"/>
        <v>-4.0419058536380144</v>
      </c>
      <c r="Y60" s="57">
        <f t="shared" si="7"/>
        <v>-15.985489684818493</v>
      </c>
      <c r="Z60" s="82" t="str">
        <f t="shared" si="8"/>
        <v>0.608661771722101-0.175843211453892i</v>
      </c>
      <c r="AA60" s="82">
        <f t="shared" si="9"/>
        <v>-3.9643346514215794</v>
      </c>
      <c r="AB60" s="82">
        <f t="shared" si="16"/>
        <v>-16.114077543888907</v>
      </c>
      <c r="AC60" s="82" t="str">
        <f t="shared" si="11"/>
        <v>0.0717040863552437+0.219576340807943i</v>
      </c>
      <c r="AD60" s="82">
        <f t="shared" si="12"/>
        <v>-12.728228779299997</v>
      </c>
      <c r="AE60" s="82">
        <f t="shared" si="13"/>
        <v>71.915213095752534</v>
      </c>
    </row>
    <row r="61" spans="3:31" ht="18" customHeight="1">
      <c r="C61" s="6"/>
      <c r="Q61" s="93">
        <f t="shared" si="15"/>
        <v>33627.1532771891</v>
      </c>
      <c r="R61" s="93" t="str">
        <f t="shared" si="2"/>
        <v>211285.63539351i</v>
      </c>
      <c r="S61" s="82" t="str">
        <f t="shared" si="18"/>
        <v>1.00363053917346-0.0591593941705706i</v>
      </c>
      <c r="T61" s="82" t="str">
        <f t="shared" si="3"/>
        <v>-0.0136570143016773-0.345814171652363i</v>
      </c>
      <c r="U61" s="82">
        <f t="shared" si="4"/>
        <v>-9.2163760828388988</v>
      </c>
      <c r="V61" s="82">
        <f t="shared" si="5"/>
        <v>-92.261569717457391</v>
      </c>
      <c r="W61" s="57" t="str">
        <f t="shared" si="19"/>
        <v>0.598921853539576-0.180117074426756i</v>
      </c>
      <c r="X61" s="57">
        <f t="shared" si="6"/>
        <v>-4.0765716822129869</v>
      </c>
      <c r="Y61" s="57">
        <f t="shared" si="7"/>
        <v>-16.737898908358549</v>
      </c>
      <c r="Z61" s="82" t="str">
        <f t="shared" si="8"/>
        <v>0.603819522261631-0.183152147941989i</v>
      </c>
      <c r="AA61" s="82">
        <f t="shared" si="9"/>
        <v>-3.9996121570425029</v>
      </c>
      <c r="AB61" s="82">
        <f t="shared" si="16"/>
        <v>-16.873739899962491</v>
      </c>
      <c r="AC61" s="82" t="str">
        <f t="shared" si="11"/>
        <v>0.0704665212127127+0.204655803204864i</v>
      </c>
      <c r="AD61" s="82">
        <f t="shared" si="12"/>
        <v>-13.292947765051883</v>
      </c>
      <c r="AE61" s="82">
        <f t="shared" si="13"/>
        <v>71.000531374184078</v>
      </c>
    </row>
    <row r="62" spans="3:31" ht="18" customHeight="1">
      <c r="C62" s="6"/>
      <c r="Q62" s="93">
        <f t="shared" si="15"/>
        <v>35805.721283667437</v>
      </c>
      <c r="R62" s="93" t="str">
        <f t="shared" si="2"/>
        <v>224973.981882507i</v>
      </c>
      <c r="S62" s="82" t="str">
        <f t="shared" si="18"/>
        <v>1.00411443486686-0.0630825275119008i</v>
      </c>
      <c r="T62" s="82" t="str">
        <f t="shared" si="3"/>
        <v>-0.013828919881033-0.325377548439881i</v>
      </c>
      <c r="U62" s="82">
        <f t="shared" si="4"/>
        <v>-9.7444105555648139</v>
      </c>
      <c r="V62" s="82">
        <f t="shared" si="5"/>
        <v>-92.433671852404984</v>
      </c>
      <c r="W62" s="57" t="str">
        <f t="shared" si="19"/>
        <v>0.593661232143074-0.187706871927081i</v>
      </c>
      <c r="X62" s="57">
        <f t="shared" si="6"/>
        <v>-4.1154057470284036</v>
      </c>
      <c r="Y62" s="57">
        <f t="shared" si="7"/>
        <v>-17.546181386405138</v>
      </c>
      <c r="Z62" s="82" t="str">
        <f t="shared" si="8"/>
        <v>0.598421909180481-0.19086046120358i</v>
      </c>
      <c r="AA62" s="82">
        <f t="shared" si="9"/>
        <v>-4.0391281570151092</v>
      </c>
      <c r="AB62" s="82">
        <f t="shared" si="16"/>
        <v>-17.689543252547615</v>
      </c>
      <c r="AC62" s="82" t="str">
        <f t="shared" si="11"/>
        <v>0.0692852954287342+0.190568253025514i</v>
      </c>
      <c r="AD62" s="82">
        <f t="shared" si="12"/>
        <v>-13.859816302593202</v>
      </c>
      <c r="AE62" s="82">
        <f t="shared" si="13"/>
        <v>70.020146761189935</v>
      </c>
    </row>
    <row r="63" spans="3:31" ht="18" customHeight="1">
      <c r="C63" s="6"/>
      <c r="Q63" s="93">
        <f t="shared" si="15"/>
        <v>38125.429948700141</v>
      </c>
      <c r="R63" s="93" t="str">
        <f t="shared" si="2"/>
        <v>239549.141283577i</v>
      </c>
      <c r="S63" s="82" t="str">
        <f t="shared" si="18"/>
        <v>1.00466254178499-0.0672787522734952i</v>
      </c>
      <c r="T63" s="82" t="str">
        <f t="shared" si="3"/>
        <v>-0.013993762074013-0.306223857749566i</v>
      </c>
      <c r="U63" s="82">
        <f t="shared" si="4"/>
        <v>-10.270159658901559</v>
      </c>
      <c r="V63" s="82">
        <f t="shared" si="5"/>
        <v>-92.616471791361334</v>
      </c>
      <c r="W63" s="57" t="str">
        <f t="shared" si="19"/>
        <v>0.58780759848752-0.195670071991227i</v>
      </c>
      <c r="X63" s="57">
        <f t="shared" si="6"/>
        <v>-4.1588988111103777</v>
      </c>
      <c r="Y63" s="57">
        <f t="shared" si="7"/>
        <v>-18.411628514356426</v>
      </c>
      <c r="Z63" s="82" t="str">
        <f t="shared" si="8"/>
        <v>0.592417833055282-0.198942083388539i</v>
      </c>
      <c r="AA63" s="82">
        <f t="shared" si="9"/>
        <v>-4.0833799049296289</v>
      </c>
      <c r="AB63" s="82">
        <f t="shared" si="16"/>
        <v>-18.562761716549584</v>
      </c>
      <c r="AC63" s="82" t="str">
        <f t="shared" si="11"/>
        <v>0.0681444839698201+0.177262549990906i</v>
      </c>
      <c r="AD63" s="82">
        <f t="shared" si="12"/>
        <v>-14.429058470011942</v>
      </c>
      <c r="AE63" s="82">
        <f t="shared" si="13"/>
        <v>68.971899694282243</v>
      </c>
    </row>
    <row r="64" spans="3:31" ht="18" customHeight="1">
      <c r="C64" s="6"/>
      <c r="Q64" s="93">
        <f t="shared" si="15"/>
        <v>40595.423207862281</v>
      </c>
      <c r="R64" s="93" t="str">
        <f t="shared" si="2"/>
        <v>255068.566638377i</v>
      </c>
      <c r="S64" s="82" t="str">
        <f t="shared" si="18"/>
        <v>1.00528329329279-0.0717697525129427i</v>
      </c>
      <c r="T64" s="82" t="str">
        <f t="shared" si="3"/>
        <v>-0.0141542027191135-0.288277697462727i</v>
      </c>
      <c r="U64" s="82">
        <f t="shared" si="4"/>
        <v>-10.793322036370297</v>
      </c>
      <c r="V64" s="82">
        <f t="shared" si="5"/>
        <v>-92.810919278917183</v>
      </c>
      <c r="W64" s="57" t="str">
        <f t="shared" si="19"/>
        <v>0.581309030896949-0.203975127215624i</v>
      </c>
      <c r="X64" s="57">
        <f t="shared" si="6"/>
        <v>-4.2075841877697568</v>
      </c>
      <c r="Y64" s="57">
        <f t="shared" si="7"/>
        <v>-19.335426902512268</v>
      </c>
      <c r="Z64" s="82" t="str">
        <f t="shared" si="8"/>
        <v>0.585754704095245-0.207364016541926i</v>
      </c>
      <c r="AA64" s="82">
        <f t="shared" si="9"/>
        <v>-4.1329074014341298</v>
      </c>
      <c r="AB64" s="82">
        <f t="shared" si="16"/>
        <v>-19.494558601025556</v>
      </c>
      <c r="AC64" s="82" t="str">
        <f t="shared" si="11"/>
        <v>0.0670294458791537+0.164691323640995i</v>
      </c>
      <c r="AD64" s="82">
        <f t="shared" si="12"/>
        <v>-15.000906224140046</v>
      </c>
      <c r="AE64" s="82">
        <f t="shared" si="13"/>
        <v>67.853653818570592</v>
      </c>
    </row>
    <row r="65" spans="3:31" ht="18" customHeight="1">
      <c r="C65" s="6"/>
      <c r="Q65" s="93">
        <f t="shared" si="15"/>
        <v>43225.437395536326</v>
      </c>
      <c r="R65" s="93" t="str">
        <f t="shared" si="2"/>
        <v>271593.433140045i</v>
      </c>
      <c r="S65" s="82" t="str">
        <f t="shared" si="18"/>
        <v>1.00598620261639-0.0765794699832986i</v>
      </c>
      <c r="T65" s="82" t="str">
        <f t="shared" si="3"/>
        <v>-0.0143128516413143-0.271468439659473i</v>
      </c>
      <c r="U65" s="82">
        <f t="shared" si="4"/>
        <v>-11.313557293683157</v>
      </c>
      <c r="V65" s="82">
        <f t="shared" si="5"/>
        <v>-93.018057584977001</v>
      </c>
      <c r="W65" s="57" t="str">
        <f t="shared" si="19"/>
        <v>0.574112824372055-0.212582855586334i</v>
      </c>
      <c r="X65" s="57">
        <f t="shared" si="6"/>
        <v>-4.2620388752169571</v>
      </c>
      <c r="Y65" s="57">
        <f t="shared" si="7"/>
        <v>-20.318614949468873</v>
      </c>
      <c r="Z65" s="82" t="str">
        <f t="shared" si="8"/>
        <v>0.578379284076206-0.216085422954068i</v>
      </c>
      <c r="AA65" s="82">
        <f t="shared" si="9"/>
        <v>-4.1882944238065054</v>
      </c>
      <c r="AB65" s="82">
        <f t="shared" si="16"/>
        <v>-20.485942232438433</v>
      </c>
      <c r="AC65" s="82" t="str">
        <f t="shared" si="11"/>
        <v>0.0659267277849903+0.152810845747281i</v>
      </c>
      <c r="AD65" s="82">
        <f t="shared" si="12"/>
        <v>-15.575596168900098</v>
      </c>
      <c r="AE65" s="82">
        <f t="shared" si="13"/>
        <v>66.663327465554175</v>
      </c>
    </row>
    <row r="66" spans="3:31" ht="18" customHeight="1">
      <c r="C66" s="6"/>
      <c r="Q66" s="93">
        <f t="shared" si="15"/>
        <v>46025.839624048116</v>
      </c>
      <c r="R66" s="93" t="str">
        <f t="shared" si="2"/>
        <v>289188.879276423i</v>
      </c>
      <c r="S66" s="82" t="str">
        <f t="shared" si="18"/>
        <v>1.00678199178246-0.0817344367006512i</v>
      </c>
      <c r="T66" s="82" t="str">
        <f t="shared" si="3"/>
        <v>-0.0144723129314086-0.255729955673625i</v>
      </c>
      <c r="U66" s="82">
        <f t="shared" si="4"/>
        <v>-11.83048112368752</v>
      </c>
      <c r="V66" s="82">
        <f t="shared" si="5"/>
        <v>-93.239037539186754</v>
      </c>
      <c r="W66" s="57" t="str">
        <f t="shared" si="19"/>
        <v>0.566166526807228-0.221445577164213i</v>
      </c>
      <c r="X66" s="57">
        <f t="shared" si="6"/>
        <v>-4.3228838993347267</v>
      </c>
      <c r="Y66" s="57">
        <f t="shared" si="7"/>
        <v>-21.36203461685604</v>
      </c>
      <c r="Z66" s="82" t="str">
        <f t="shared" si="8"/>
        <v>0.570238770485475-0.225056764146525i</v>
      </c>
      <c r="AA66" s="82">
        <f t="shared" si="9"/>
        <v>-4.2501687330671594</v>
      </c>
      <c r="AB66" s="82">
        <f t="shared" si="16"/>
        <v>-21.537717016057695</v>
      </c>
      <c r="AC66" s="82" t="str">
        <f t="shared" si="11"/>
        <v>0.0648240067795674+0.141580911114306i</v>
      </c>
      <c r="AD66" s="82">
        <f t="shared" si="12"/>
        <v>-16.153365023022232</v>
      </c>
      <c r="AE66" s="82">
        <f t="shared" si="13"/>
        <v>65.398927843957253</v>
      </c>
    </row>
    <row r="67" spans="3:31" ht="18" customHeight="1">
      <c r="C67" s="6"/>
      <c r="Q67" s="93">
        <f t="shared" si="15"/>
        <v>49007.668649232728</v>
      </c>
      <c r="R67" s="93" t="str">
        <f t="shared" si="2"/>
        <v>307924.263595985i</v>
      </c>
      <c r="S67" s="82" t="str">
        <f t="shared" si="18"/>
        <v>1.00768273255424-0.0872641712316299i</v>
      </c>
      <c r="T67" s="82" t="str">
        <f t="shared" si="3"/>
        <v>-0.0146352326416594-0.241000359292041i</v>
      </c>
      <c r="U67" s="82">
        <f t="shared" si="4"/>
        <v>-12.34365987452502</v>
      </c>
      <c r="V67" s="82">
        <f t="shared" si="5"/>
        <v>-93.475134071954642</v>
      </c>
      <c r="W67" s="57" t="str">
        <f t="shared" si="19"/>
        <v>0.557419232567316-0.230506345133729i</v>
      </c>
      <c r="X67" s="57">
        <f t="shared" si="6"/>
        <v>-4.3907836557539817</v>
      </c>
      <c r="Y67" s="57">
        <f t="shared" si="7"/>
        <v>-22.46627876994458</v>
      </c>
      <c r="Z67" s="82" t="str">
        <f t="shared" si="8"/>
        <v>0.561282142906699-0.234219044392023i</v>
      </c>
      <c r="AA67" s="82">
        <f t="shared" si="9"/>
        <v>-4.3192012471461503</v>
      </c>
      <c r="AB67" s="82">
        <f t="shared" si="16"/>
        <v>-22.650430146255083</v>
      </c>
      <c r="AC67" s="82" t="str">
        <f t="shared" si="11"/>
        <v>0.0637100721438818+0.130964721338606i</v>
      </c>
      <c r="AD67" s="82">
        <f t="shared" si="12"/>
        <v>-16.734443530279009</v>
      </c>
      <c r="AE67" s="82">
        <f t="shared" si="13"/>
        <v>64.05858715810075</v>
      </c>
    </row>
    <row r="68" spans="3:31" ht="18" customHeight="1">
      <c r="C68" s="6"/>
      <c r="Q68" s="93">
        <f t="shared" si="15"/>
        <v>52182.678383515966</v>
      </c>
      <c r="R68" s="93" t="str">
        <f t="shared" si="2"/>
        <v>327873.438108585i</v>
      </c>
      <c r="S68" s="82" t="str">
        <f t="shared" si="18"/>
        <v>1.00870199907426-0.0932016529055013i</v>
      </c>
      <c r="T68" s="82" t="str">
        <f t="shared" si="3"/>
        <v>-0.0148043491042453-0.227221767133334i</v>
      </c>
      <c r="U68" s="82">
        <f t="shared" si="4"/>
        <v>-12.852604511765978</v>
      </c>
      <c r="V68" s="82">
        <f t="shared" si="5"/>
        <v>-93.727765771763345</v>
      </c>
      <c r="W68" s="57" t="str">
        <f t="shared" si="19"/>
        <v>0.547823144390253-0.239698337139042i</v>
      </c>
      <c r="X68" s="57">
        <f t="shared" si="6"/>
        <v>-4.4664440282580209</v>
      </c>
      <c r="Y68" s="57">
        <f t="shared" si="7"/>
        <v>-23.631634783751771</v>
      </c>
      <c r="Z68" s="82" t="str">
        <f t="shared" si="8"/>
        <v>0.551461780746823-0.243503227162864i</v>
      </c>
      <c r="AA68" s="82">
        <f t="shared" si="9"/>
        <v>-4.3961039558434996</v>
      </c>
      <c r="AB68" s="82">
        <f t="shared" si="16"/>
        <v>-23.824314722069921</v>
      </c>
      <c r="AC68" s="82" t="str">
        <f t="shared" si="11"/>
        <v>0.0625748448205935+0.120928765082179i</v>
      </c>
      <c r="AD68" s="82">
        <f t="shared" si="12"/>
        <v>-17.319048540024028</v>
      </c>
      <c r="AE68" s="82">
        <f t="shared" si="13"/>
        <v>62.640599444484792</v>
      </c>
    </row>
    <row r="69" spans="3:31" ht="18" customHeight="1">
      <c r="C69" s="6"/>
      <c r="Q69" s="93">
        <f t="shared" si="15"/>
        <v>55563.384228033399</v>
      </c>
      <c r="R69" s="93" t="str">
        <f t="shared" si="2"/>
        <v>349115.039398753i</v>
      </c>
      <c r="S69" s="82" t="str">
        <f t="shared" ref="S69:S100" si="20">IMDIV(1,IMSUM(1,IMDIV(R69,$N$11*$N$13),IMDIV(IMPRODUCT(R69,R69),$N$11*$N$11)))</f>
        <v>1.00985503115022-0.0995838916673269i</v>
      </c>
      <c r="T69" s="82" t="str">
        <f t="shared" si="3"/>
        <v>-0.0149825472609606-0.214340075286446i</v>
      </c>
      <c r="U69" s="82">
        <f t="shared" si="4"/>
        <v>-13.356763925161648</v>
      </c>
      <c r="V69" s="82">
        <f t="shared" si="5"/>
        <v>-93.998518078921222</v>
      </c>
      <c r="W69" s="57" t="str">
        <f t="shared" ref="W69:W104" si="21">IMDIV(IMPRODUCT($N$16,$J$26*$J$29,IMSUM(1,IMPRODUCT(R69,$J$35))),IMSUM(1,IMPRODUCT(R69,$J$36),IMPRODUCT(R69,R69,$J$37)))</f>
        <v>0.537335399463894-0.248944484247378i</v>
      </c>
      <c r="X69" s="57">
        <f t="shared" si="6"/>
        <v>-4.5506090571144995</v>
      </c>
      <c r="Y69" s="57">
        <f t="shared" si="7"/>
        <v>-24.858025517036236</v>
      </c>
      <c r="Z69" s="82" t="str">
        <f t="shared" si="8"/>
        <v>0.540735345331131-0.252829904126125i</v>
      </c>
      <c r="AA69" s="82">
        <f t="shared" si="9"/>
        <v>-4.4816263518919239</v>
      </c>
      <c r="AB69" s="82">
        <f t="shared" si="16"/>
        <v>-25.059230436735227</v>
      </c>
      <c r="AC69" s="82" t="str">
        <f t="shared" si="11"/>
        <v>0.0614094325131834+0.111442687474572i</v>
      </c>
      <c r="AD69" s="82">
        <f t="shared" si="12"/>
        <v>-17.907372982276133</v>
      </c>
      <c r="AE69" s="82">
        <f t="shared" si="13"/>
        <v>61.143456404042595</v>
      </c>
    </row>
    <row r="70" spans="3:31" ht="18" customHeight="1">
      <c r="C70" s="6"/>
      <c r="Q70" s="93">
        <f t="shared" si="15"/>
        <v>59163.112406421009</v>
      </c>
      <c r="R70" s="93" t="str">
        <f t="shared" ref="R70:R104" si="22">COMPLEX(0,2*PI()*Q70)</f>
        <v>371732.798599039i</v>
      </c>
      <c r="S70" s="82" t="str">
        <f t="shared" si="20"/>
        <v>1.01115890593598-0.106452615755415i</v>
      </c>
      <c r="T70" s="82" t="str">
        <f t="shared" ref="T70:T104" si="23">IMDIV(IMPRODUCT($N$5,IMSUM(1,IMDIV(R70,$N$7)),IMSUB(1,IMDIV(R70,$N$8)),S70),IMSUM(1,IMDIV(R70,$N$6)))</f>
        <v>-0.0151729186416054-0.202304751315716i</v>
      </c>
      <c r="U70" s="82">
        <f t="shared" ref="U70:U104" si="24">20*LOG10(IMABS(T70))</f>
        <v>-13.85551753207241</v>
      </c>
      <c r="V70" s="82">
        <f t="shared" ref="V70:V104" si="25">DEGREES(IMARGUMENT(T70))</f>
        <v>-94.289170872439101</v>
      </c>
      <c r="W70" s="57" t="str">
        <f t="shared" si="21"/>
        <v>0.525920134950253-0.258157423490165i</v>
      </c>
      <c r="X70" s="57">
        <f t="shared" ref="X70:X104" si="26">20*LOG10(IMABS(W70))</f>
        <v>-4.6440559426810175</v>
      </c>
      <c r="Y70" s="57">
        <f t="shared" ref="Y70:Y104" si="27">DEGREES(IMARGUMENT(W70))</f>
        <v>-26.144949216458052</v>
      </c>
      <c r="Z70" s="82" t="str">
        <f t="shared" ref="Z70:Z104" si="28">IMDIV(IMPRODUCT($N$16,$J$27,IMSUM(1,IMDIV(R70,$N$19))),IMPRODUCT(IMSUM(1,IMDIV(R70,$N$20)),IMSUM(1,IMDIV(R70,$N$21))))</f>
        <v>0.529067897782499-0.26210930438058i</v>
      </c>
      <c r="AA70" s="82">
        <f t="shared" ref="AA70:AA104" si="29">20*LOG10(IMABS(Z70))</f>
        <v>-4.5765501668769089</v>
      </c>
      <c r="AB70" s="82">
        <f t="shared" si="16"/>
        <v>-26.354603476789897</v>
      </c>
      <c r="AC70" s="82" t="str">
        <f t="shared" ref="AC70:AC104" si="30">IMPRODUCT(-1,T70,W70)</f>
        <v>0.0602062167790661+0.102479140529696i</v>
      </c>
      <c r="AD70" s="82">
        <f t="shared" ref="AD70:AD104" si="31">20*LOG10(IMABS(AC70))</f>
        <v>-18.499573474753429</v>
      </c>
      <c r="AE70" s="82">
        <f t="shared" ref="AE70:AE104" si="32">DEGREES(IMARGUMENT(AC70))</f>
        <v>59.565879911102861</v>
      </c>
    </row>
    <row r="71" spans="3:31" ht="18" customHeight="1">
      <c r="Q71" s="93">
        <f t="shared" ref="Q71:Q104" si="33">Q70*$N$27</f>
        <v>62996.052494743722</v>
      </c>
      <c r="R71" s="93" t="str">
        <f t="shared" si="22"/>
        <v>395815.871445288i</v>
      </c>
      <c r="S71" s="82" t="str">
        <f t="shared" si="20"/>
        <v>1.0126327139719-0.11385510509263i</v>
      </c>
      <c r="T71" s="82" t="str">
        <f t="shared" si="23"/>
        <v>-0.0153788289635489-0.191068640736205i</v>
      </c>
      <c r="U71" s="82">
        <f t="shared" si="24"/>
        <v>-14.348167133162711</v>
      </c>
      <c r="V71" s="82">
        <f t="shared" si="25"/>
        <v>-94.601731376430379</v>
      </c>
      <c r="W71" s="57" t="str">
        <f t="shared" si="21"/>
        <v>0.513550742327825-0.267239863498253i</v>
      </c>
      <c r="X71" s="57">
        <f t="shared" si="26"/>
        <v>-4.7475882011846391</v>
      </c>
      <c r="Y71" s="57">
        <f t="shared" si="27"/>
        <v>-27.491420408371543</v>
      </c>
      <c r="Z71" s="82" t="str">
        <f t="shared" si="28"/>
        <v>0.516434197202478-0.271241734240994i</v>
      </c>
      <c r="AA71" s="82">
        <f t="shared" si="29"/>
        <v>-4.6816822357015058</v>
      </c>
      <c r="AB71" s="82">
        <f t="shared" si="16"/>
        <v>-27.709367764197538</v>
      </c>
      <c r="AC71" s="82" t="str">
        <f t="shared" si="30"/>
        <v>0.0589589664995034+0.0940136061326648i</v>
      </c>
      <c r="AD71" s="82">
        <f t="shared" si="31"/>
        <v>-19.095755334347352</v>
      </c>
      <c r="AE71" s="82">
        <f t="shared" si="32"/>
        <v>57.90684821519806</v>
      </c>
    </row>
    <row r="72" spans="3:31" ht="18" customHeight="1">
      <c r="Q72" s="93">
        <f t="shared" si="33"/>
        <v>67077.313354626735</v>
      </c>
      <c r="R72" s="93" t="str">
        <f t="shared" si="22"/>
        <v>421459.189714872i</v>
      </c>
      <c r="S72" s="82" t="str">
        <f t="shared" si="20"/>
        <v>1.01429773287155-0.121845205602967i</v>
      </c>
      <c r="T72" s="82" t="str">
        <f t="shared" si="23"/>
        <v>-0.015603995771793-0.1805877870173i</v>
      </c>
      <c r="U72" s="82">
        <f t="shared" si="24"/>
        <v>-14.833927982318375</v>
      </c>
      <c r="V72" s="82">
        <f t="shared" si="25"/>
        <v>-94.938473524673356</v>
      </c>
      <c r="W72" s="57" t="str">
        <f t="shared" si="21"/>
        <v>0.500212229690048-0.276085448738403i</v>
      </c>
      <c r="X72" s="57">
        <f t="shared" si="26"/>
        <v>-4.8620268451071995</v>
      </c>
      <c r="Y72" s="57">
        <f t="shared" si="27"/>
        <v>-28.895914330887077</v>
      </c>
      <c r="Z72" s="82" t="str">
        <f t="shared" si="28"/>
        <v>0.502821092647719-0.280118532445667i</v>
      </c>
      <c r="AA72" s="82">
        <f t="shared" si="29"/>
        <v>-4.7978453727348498</v>
      </c>
      <c r="AB72" s="82">
        <f t="shared" si="16"/>
        <v>-29.121910166089801</v>
      </c>
      <c r="AC72" s="82" t="str">
        <f t="shared" si="30"/>
        <v>0.0576629697324291+0.0860241834239475i</v>
      </c>
      <c r="AD72" s="82">
        <f t="shared" si="31"/>
        <v>-19.695954827425574</v>
      </c>
      <c r="AE72" s="82">
        <f t="shared" si="32"/>
        <v>56.165612144439542</v>
      </c>
    </row>
    <row r="73" spans="3:31" ht="18" customHeight="1">
      <c r="Q73" s="93">
        <f t="shared" si="33"/>
        <v>71422.982690069432</v>
      </c>
      <c r="R73" s="93" t="str">
        <f t="shared" si="22"/>
        <v>448763.835433186i</v>
      </c>
      <c r="S73" s="82" t="str">
        <f t="shared" si="20"/>
        <v>1.01617758795105-0.130484569099939i</v>
      </c>
      <c r="T73" s="82" t="str">
        <f t="shared" si="23"/>
        <v>-0.0158525791321811-0.170821264062042i</v>
      </c>
      <c r="U73" s="82">
        <f t="shared" si="24"/>
        <v>-15.311919042890977</v>
      </c>
      <c r="V73" s="82">
        <f t="shared" si="25"/>
        <v>-95.301985189273722</v>
      </c>
      <c r="W73" s="57" t="str">
        <f t="shared" si="21"/>
        <v>0.485903578695096-0.284580193774389i</v>
      </c>
      <c r="X73" s="57">
        <f t="shared" si="26"/>
        <v>-4.9881995429895793</v>
      </c>
      <c r="Y73" s="57">
        <f t="shared" si="27"/>
        <v>-30.356317904389037</v>
      </c>
      <c r="Z73" s="82" t="str">
        <f t="shared" si="28"/>
        <v>0.488229889573983-0.288623609713109i</v>
      </c>
      <c r="AA73" s="82">
        <f t="shared" si="29"/>
        <v>-4.9258672293423018</v>
      </c>
      <c r="AB73" s="82">
        <f t="shared" si="16"/>
        <v>-30.590022729622472</v>
      </c>
      <c r="AC73" s="82" t="str">
        <f t="shared" si="30"/>
        <v>0.056315173359436+0.0784913334837063i</v>
      </c>
      <c r="AD73" s="82">
        <f t="shared" si="31"/>
        <v>-20.300118585880554</v>
      </c>
      <c r="AE73" s="82">
        <f t="shared" si="32"/>
        <v>54.341696906337226</v>
      </c>
    </row>
    <row r="74" spans="3:31" ht="18" customHeight="1">
      <c r="Q74" s="93">
        <f t="shared" si="33"/>
        <v>76050.190462705723</v>
      </c>
      <c r="R74" s="93" t="str">
        <f t="shared" si="22"/>
        <v>477837.439323482i</v>
      </c>
      <c r="S74" s="82" t="str">
        <f t="shared" si="20"/>
        <v>1.01829838315822-0.139844175601343i</v>
      </c>
      <c r="T74" s="82" t="str">
        <f t="shared" si="23"/>
        <v>-0.0161292891770372-0.161731019900825i</v>
      </c>
      <c r="U74" s="82">
        <f t="shared" si="24"/>
        <v>-15.781152417546391</v>
      </c>
      <c r="V74" s="82">
        <f t="shared" si="25"/>
        <v>-95.695225018667884</v>
      </c>
      <c r="W74" s="57" t="str">
        <f t="shared" si="21"/>
        <v>0.470639951597528-0.292604532841109i</v>
      </c>
      <c r="X74" s="57">
        <f t="shared" si="26"/>
        <v>-5.1269278232199591</v>
      </c>
      <c r="Y74" s="57">
        <f t="shared" si="27"/>
        <v>-31.869890572199331</v>
      </c>
      <c r="Z74" s="82" t="str">
        <f t="shared" si="28"/>
        <v>0.472678540415996-0.296635613241428i</v>
      </c>
      <c r="AA74" s="82">
        <f t="shared" si="29"/>
        <v>-5.0665672162314843</v>
      </c>
      <c r="AB74" s="82">
        <f t="shared" si="16"/>
        <v>-32.110865309952288</v>
      </c>
      <c r="AC74" s="82" t="str">
        <f t="shared" si="30"/>
        <v>0.0549143174015803+0.071397576253237i</v>
      </c>
      <c r="AD74" s="82">
        <f t="shared" si="31"/>
        <v>-20.908080240766353</v>
      </c>
      <c r="AE74" s="82">
        <f t="shared" si="32"/>
        <v>52.434884409132799</v>
      </c>
    </row>
    <row r="75" spans="3:31" ht="18" customHeight="1">
      <c r="Q75" s="93">
        <f t="shared" si="33"/>
        <v>80977.176415484064</v>
      </c>
      <c r="R75" s="93" t="str">
        <f t="shared" si="22"/>
        <v>508794.605070659i</v>
      </c>
      <c r="S75" s="82" t="str">
        <f t="shared" si="20"/>
        <v>1.02068877681384-0.150006210779081i</v>
      </c>
      <c r="T75" s="82" t="str">
        <f t="shared" si="23"/>
        <v>-0.0164395153457299-0.153281729979134i</v>
      </c>
      <c r="U75" s="82">
        <f t="shared" si="24"/>
        <v>-16.240521960880905</v>
      </c>
      <c r="V75" s="82">
        <f t="shared" si="25"/>
        <v>-96.121591064672089</v>
      </c>
      <c r="W75" s="57" t="str">
        <f t="shared" si="21"/>
        <v>0.454454578287904-0.300035991009027i</v>
      </c>
      <c r="X75" s="57">
        <f t="shared" si="26"/>
        <v>-5.2790125206243976</v>
      </c>
      <c r="Y75" s="57">
        <f t="shared" si="27"/>
        <v>-33.433238493942198</v>
      </c>
      <c r="Z75" s="82" t="str">
        <f t="shared" si="28"/>
        <v>0.456203484567028-0.304030715431745i</v>
      </c>
      <c r="AA75" s="82">
        <f t="shared" si="29"/>
        <v>-5.2207417114982801</v>
      </c>
      <c r="AB75" s="82">
        <f t="shared" si="16"/>
        <v>-33.680942076304959</v>
      </c>
      <c r="AC75" s="82" t="str">
        <f t="shared" si="30"/>
        <v>0.0534610487715688+0.0647271376784435i</v>
      </c>
      <c r="AD75" s="82">
        <f t="shared" si="31"/>
        <v>-21.519534481505303</v>
      </c>
      <c r="AE75" s="82">
        <f t="shared" si="32"/>
        <v>50.445170441385692</v>
      </c>
    </row>
    <row r="76" spans="3:31" ht="18" customHeight="1">
      <c r="Q76" s="93">
        <f t="shared" si="33"/>
        <v>86223.361970935061</v>
      </c>
      <c r="R76" s="93" t="str">
        <f t="shared" si="22"/>
        <v>541757.361071406i</v>
      </c>
      <c r="S76" s="82" t="str">
        <f t="shared" si="20"/>
        <v>1.02337996347758-0.161066391904777i</v>
      </c>
      <c r="T76" s="82" t="str">
        <f t="shared" si="23"/>
        <v>-0.0167894835476201-0.145440657829938i</v>
      </c>
      <c r="U76" s="82">
        <f t="shared" si="24"/>
        <v>-16.688791114890552</v>
      </c>
      <c r="V76" s="82">
        <f t="shared" si="25"/>
        <v>-96.585003939739551</v>
      </c>
      <c r="W76" s="57" t="str">
        <f t="shared" si="21"/>
        <v>0.437400138909231-0.306752432323505i</v>
      </c>
      <c r="X76" s="57">
        <f t="shared" si="26"/>
        <v>-5.4452178162767968</v>
      </c>
      <c r="Y76" s="57">
        <f t="shared" si="27"/>
        <v>-35.042305471985031</v>
      </c>
      <c r="Z76" s="82" t="str">
        <f t="shared" si="28"/>
        <v>0.438860950720462-0.310685973159906i</v>
      </c>
      <c r="AA76" s="82">
        <f t="shared" si="29"/>
        <v>-5.3891479285621529</v>
      </c>
      <c r="AB76" s="82">
        <f t="shared" si="16"/>
        <v>-35.296095235085346</v>
      </c>
      <c r="AC76" s="82" t="str">
        <f t="shared" si="30"/>
        <v>0.0519579979840074+0.0584655490221769i</v>
      </c>
      <c r="AD76" s="82">
        <f t="shared" si="31"/>
        <v>-22.134008931167347</v>
      </c>
      <c r="AE76" s="82">
        <f t="shared" si="32"/>
        <v>48.372690588275397</v>
      </c>
    </row>
    <row r="77" spans="3:31" ht="18" customHeight="1">
      <c r="Q77" s="93">
        <f t="shared" si="33"/>
        <v>91809.426787438671</v>
      </c>
      <c r="R77" s="93" t="str">
        <f t="shared" si="22"/>
        <v>576855.641451415i</v>
      </c>
      <c r="S77" s="82" t="str">
        <f t="shared" si="20"/>
        <v>1.02640550347884-0.17313686260965i</v>
      </c>
      <c r="T77" s="82" t="str">
        <f t="shared" si="23"/>
        <v>-0.017186449316117-0.138177519976597i</v>
      </c>
      <c r="U77" s="82">
        <f t="shared" si="24"/>
        <v>-17.124580050739947</v>
      </c>
      <c r="V77" s="82">
        <f t="shared" si="25"/>
        <v>-97.090007978203417</v>
      </c>
      <c r="W77" s="57" t="str">
        <f t="shared" si="21"/>
        <v>0.419549459837038-0.312635780882943i</v>
      </c>
      <c r="X77" s="57">
        <f t="shared" si="26"/>
        <v>-5.6262543780748864</v>
      </c>
      <c r="Y77" s="57">
        <f t="shared" si="27"/>
        <v>-36.69238357768333</v>
      </c>
      <c r="Z77" s="82" t="str">
        <f t="shared" si="28"/>
        <v>0.420727539732491-0.316483143093571i</v>
      </c>
      <c r="AA77" s="82">
        <f t="shared" si="29"/>
        <v>-5.5724869748382346</v>
      </c>
      <c r="AB77" s="82">
        <f t="shared" si="16"/>
        <v>-36.951518844567886</v>
      </c>
      <c r="AC77" s="82" t="str">
        <f t="shared" si="30"/>
        <v>0.0504098023854454+0.0525992048652534i</v>
      </c>
      <c r="AD77" s="82">
        <f t="shared" si="31"/>
        <v>-22.750834428814834</v>
      </c>
      <c r="AE77" s="82">
        <f t="shared" si="32"/>
        <v>46.217608444113225</v>
      </c>
    </row>
    <row r="78" spans="3:31" ht="18" customHeight="1">
      <c r="Q78" s="93">
        <f t="shared" si="33"/>
        <v>97757.390275264086</v>
      </c>
      <c r="R78" s="93" t="str">
        <f t="shared" si="22"/>
        <v>614227.79824576i</v>
      </c>
      <c r="S78" s="82" t="str">
        <f t="shared" si="20"/>
        <v>1.02980091189556-0.186349811986308i</v>
      </c>
      <c r="T78" s="82" t="str">
        <f t="shared" si="23"/>
        <v>-0.0176389374729338-0.131464350415856i</v>
      </c>
      <c r="U78" s="82">
        <f t="shared" si="24"/>
        <v>-17.546352261119132</v>
      </c>
      <c r="V78" s="82">
        <f t="shared" si="25"/>
        <v>-97.641894840485122</v>
      </c>
      <c r="W78" s="57" t="str">
        <f t="shared" si="21"/>
        <v>0.400995363973403-0.317576048783546i</v>
      </c>
      <c r="X78" s="57">
        <f t="shared" si="26"/>
        <v>-5.8227622562210506</v>
      </c>
      <c r="Y78" s="57">
        <f t="shared" si="27"/>
        <v>-38.378145686638092</v>
      </c>
      <c r="Z78" s="82" t="str">
        <f t="shared" si="28"/>
        <v>0.401899933000038-0.321312776198673i</v>
      </c>
      <c r="AA78" s="82">
        <f t="shared" si="29"/>
        <v>-5.7713867753877404</v>
      </c>
      <c r="AB78" s="82">
        <f t="shared" si="16"/>
        <v>-38.641794785671806</v>
      </c>
      <c r="AC78" s="82" t="str">
        <f t="shared" si="30"/>
        <v>0.0488230611130263+0.0471148909771388i</v>
      </c>
      <c r="AD78" s="82">
        <f t="shared" si="31"/>
        <v>-23.369114517340183</v>
      </c>
      <c r="AE78" s="82">
        <f t="shared" si="32"/>
        <v>43.979959472876743</v>
      </c>
    </row>
    <row r="79" spans="3:31" ht="18" customHeight="1">
      <c r="Q79" s="93">
        <f t="shared" si="33"/>
        <v>104090.69839370584</v>
      </c>
      <c r="R79" s="93" t="str">
        <f t="shared" si="22"/>
        <v>654021.146761394i</v>
      </c>
      <c r="S79" s="82" t="str">
        <f t="shared" si="20"/>
        <v>1.03360287372825-0.200862019468314i</v>
      </c>
      <c r="T79" s="82" t="str">
        <f t="shared" si="23"/>
        <v>-0.0181570420823071-0.125275357672963i</v>
      </c>
      <c r="U79" s="82">
        <f t="shared" si="24"/>
        <v>-17.952400833648412</v>
      </c>
      <c r="V79" s="82">
        <f t="shared" si="25"/>
        <v>-98.246855282689424</v>
      </c>
      <c r="W79" s="57" t="str">
        <f t="shared" si="21"/>
        <v>0.381849562457049-0.32147544832663i</v>
      </c>
      <c r="X79" s="57">
        <f t="shared" si="26"/>
        <v>-6.0352943049169196</v>
      </c>
      <c r="Y79" s="57">
        <f t="shared" si="27"/>
        <v>-40.093701038024257</v>
      </c>
      <c r="Z79" s="82" t="str">
        <f t="shared" si="28"/>
        <v>0.382493621419104-0.325078359160757i</v>
      </c>
      <c r="AA79" s="82">
        <f t="shared" si="29"/>
        <v>-5.9863856468017493</v>
      </c>
      <c r="AB79" s="82">
        <f t="shared" si="16"/>
        <v>-40.360951811897813</v>
      </c>
      <c r="AC79" s="82" t="str">
        <f t="shared" si="30"/>
        <v>0.0472062103468379+0.0419992972703761i</v>
      </c>
      <c r="AD79" s="82">
        <f t="shared" si="31"/>
        <v>-23.987695138565325</v>
      </c>
      <c r="AE79" s="82">
        <f t="shared" si="32"/>
        <v>41.659443679286348</v>
      </c>
    </row>
    <row r="80" spans="3:31" ht="18" customHeight="1">
      <c r="Q80" s="93">
        <f t="shared" si="33"/>
        <v>110834.3160714574</v>
      </c>
      <c r="R80" s="93" t="str">
        <f t="shared" si="22"/>
        <v>696392.546271479i</v>
      </c>
      <c r="S80" s="82" t="str">
        <f t="shared" si="20"/>
        <v>1.03784788342099-0.216860586470319i</v>
      </c>
      <c r="T80" s="82" t="str">
        <f t="shared" si="23"/>
        <v>-0.0187528048048887-0.119586763709346i</v>
      </c>
      <c r="U80" s="82">
        <f t="shared" si="24"/>
        <v>-18.340834759863714</v>
      </c>
      <c r="V80" s="82">
        <f t="shared" si="25"/>
        <v>-98.912166535061502</v>
      </c>
      <c r="W80" s="57" t="str">
        <f t="shared" si="21"/>
        <v>0.362240542603155-0.324252324161961i</v>
      </c>
      <c r="X80" s="57">
        <f t="shared" si="26"/>
        <v>-6.2643009701183869</v>
      </c>
      <c r="Y80" s="57">
        <f t="shared" si="27"/>
        <v>-41.832673559002586</v>
      </c>
      <c r="Z80" s="82" t="str">
        <f t="shared" si="28"/>
        <v>0.36264062125004-0.327700231406162i</v>
      </c>
      <c r="AA80" s="82">
        <f t="shared" si="29"/>
        <v>-6.2179173662183684</v>
      </c>
      <c r="AB80" s="82">
        <f t="shared" si="16"/>
        <v>-42.102547193351661</v>
      </c>
      <c r="AC80" s="82" t="str">
        <f t="shared" si="30"/>
        <v>0.0455693122596166+0.037238533631688i</v>
      </c>
      <c r="AD80" s="82">
        <f t="shared" si="31"/>
        <v>-24.605135729982109</v>
      </c>
      <c r="AE80" s="82">
        <f t="shared" si="32"/>
        <v>39.255159905935898</v>
      </c>
    </row>
    <row r="81" spans="17:31" ht="18" customHeight="1">
      <c r="Q81" s="93">
        <f t="shared" si="33"/>
        <v>118014.82561452893</v>
      </c>
      <c r="R81" s="93" t="str">
        <f t="shared" si="22"/>
        <v>741509.018330569i</v>
      </c>
      <c r="S81" s="82" t="str">
        <f t="shared" si="20"/>
        <v>1.04257000168325-0.234570192173801i</v>
      </c>
      <c r="T81" s="82" t="str">
        <f t="shared" si="23"/>
        <v>-0.019440695479336-0.114376608109547i</v>
      </c>
      <c r="U81" s="82">
        <f t="shared" si="24"/>
        <v>-18.709565816784256</v>
      </c>
      <c r="V81" s="82">
        <f t="shared" si="25"/>
        <v>-99.64642505683004</v>
      </c>
      <c r="W81" s="57" t="str">
        <f t="shared" si="21"/>
        <v>0.342310490619618-0.325844622981998i</v>
      </c>
      <c r="X81" s="57">
        <f t="shared" si="26"/>
        <v>-6.510117286828434</v>
      </c>
      <c r="Y81" s="57">
        <f t="shared" si="27"/>
        <v>-43.588301149824368</v>
      </c>
      <c r="Z81" s="82" t="str">
        <f t="shared" si="28"/>
        <v>0.342486229443624-0.329118992443707i</v>
      </c>
      <c r="AA81" s="82">
        <f t="shared" si="29"/>
        <v>-6.4662985731274345</v>
      </c>
      <c r="AB81" s="82">
        <f t="shared" ref="AB81:AB104" si="34">DEGREES(IMARGUMENT(Z81))</f>
        <v>-43.859768910832862</v>
      </c>
      <c r="AC81" s="82" t="str">
        <f t="shared" si="30"/>
        <v>0.0439237567549332+0.0328176667484147i</v>
      </c>
      <c r="AD81" s="82">
        <f t="shared" si="31"/>
        <v>-25.219683103612688</v>
      </c>
      <c r="AE81" s="82">
        <f t="shared" si="32"/>
        <v>36.765273793345528</v>
      </c>
    </row>
    <row r="82" spans="17:31" ht="18" customHeight="1">
      <c r="Q82" s="93">
        <f t="shared" si="33"/>
        <v>125660.53148961824</v>
      </c>
      <c r="R82" s="93" t="str">
        <f t="shared" si="22"/>
        <v>789548.405147947i</v>
      </c>
      <c r="S82" s="82" t="str">
        <f t="shared" si="20"/>
        <v>1.04779726007448-0.254262306890588i</v>
      </c>
      <c r="T82" s="82" t="str">
        <f t="shared" si="23"/>
        <v>-0.0202382262273144-0.109624491706116i</v>
      </c>
      <c r="U82" s="82">
        <f t="shared" si="24"/>
        <v>-19.056296833086417</v>
      </c>
      <c r="V82" s="82">
        <f t="shared" si="25"/>
        <v>-100.45983758879539</v>
      </c>
      <c r="W82" s="57" t="str">
        <f t="shared" si="21"/>
        <v>0.322211377963208-0.326212630417894i</v>
      </c>
      <c r="X82" s="57">
        <f t="shared" si="26"/>
        <v>-6.7729528582795293</v>
      </c>
      <c r="Y82" s="57">
        <f t="shared" si="27"/>
        <v>-45.353552560778269</v>
      </c>
      <c r="Z82" s="82" t="str">
        <f t="shared" si="28"/>
        <v>0.322184962135363-0.329298131309899i</v>
      </c>
      <c r="AA82" s="82">
        <f t="shared" si="29"/>
        <v>-6.7317192588758541</v>
      </c>
      <c r="AB82" s="82">
        <f t="shared" si="34"/>
        <v>-45.625554803785604</v>
      </c>
      <c r="AC82" s="82" t="str">
        <f t="shared" si="30"/>
        <v>0.0422818805579108+0.0287202935185393i</v>
      </c>
      <c r="AD82" s="82">
        <f t="shared" si="31"/>
        <v>-25.829249691365945</v>
      </c>
      <c r="AE82" s="82">
        <f t="shared" si="32"/>
        <v>34.186609850426393</v>
      </c>
    </row>
    <row r="83" spans="17:31" ht="18" customHeight="1">
      <c r="Q83" s="93">
        <f t="shared" si="33"/>
        <v>133801.57189597492</v>
      </c>
      <c r="R83" s="93" t="str">
        <f t="shared" si="22"/>
        <v>840700.070614323i</v>
      </c>
      <c r="S83" s="82" t="str">
        <f t="shared" si="20"/>
        <v>1.05354599101317-0.276266912679143i</v>
      </c>
      <c r="T83" s="82" t="str">
        <f t="shared" si="23"/>
        <v>-0.0211667399260596-0.105311219055188i</v>
      </c>
      <c r="U83" s="82">
        <f t="shared" si="24"/>
        <v>-19.378512576872282</v>
      </c>
      <c r="V83" s="82">
        <f t="shared" si="25"/>
        <v>-101.36458771354523</v>
      </c>
      <c r="W83" s="57" t="str">
        <f t="shared" si="21"/>
        <v>0.302100424991764-0.325340749102781i</v>
      </c>
      <c r="X83" s="57">
        <f t="shared" si="26"/>
        <v>-7.0528854428953291</v>
      </c>
      <c r="Y83" s="57">
        <f t="shared" si="27"/>
        <v>-47.121257085845052</v>
      </c>
      <c r="Z83" s="82" t="str">
        <f t="shared" si="28"/>
        <v>0.301895903634339-0.328225659422665i</v>
      </c>
      <c r="AA83" s="82">
        <f t="shared" si="29"/>
        <v>-7.0142369415448602</v>
      </c>
      <c r="AB83" s="82">
        <f t="shared" si="34"/>
        <v>-47.392723709213278</v>
      </c>
      <c r="AC83" s="82" t="str">
        <f t="shared" si="30"/>
        <v>0.0406565120236947+0.0249281610093651i</v>
      </c>
      <c r="AD83" s="82">
        <f t="shared" si="31"/>
        <v>-26.431398019767606</v>
      </c>
      <c r="AE83" s="82">
        <f t="shared" si="32"/>
        <v>31.514155200609725</v>
      </c>
    </row>
    <row r="84" spans="17:31" ht="18" customHeight="1">
      <c r="Q84" s="93">
        <f t="shared" si="33"/>
        <v>142470.03756555682</v>
      </c>
      <c r="R84" s="93" t="str">
        <f t="shared" si="22"/>
        <v>895165.64674523i</v>
      </c>
      <c r="S84" s="82" t="str">
        <f t="shared" si="20"/>
        <v>1.05981196489459-0.300987411411413i</v>
      </c>
      <c r="T84" s="82" t="str">
        <f t="shared" si="23"/>
        <v>-0.0222524256261491-0.1014182755851i</v>
      </c>
      <c r="U84" s="82">
        <f t="shared" si="24"/>
        <v>-19.673475174153431</v>
      </c>
      <c r="V84" s="82">
        <f t="shared" si="25"/>
        <v>-102.3753009521317</v>
      </c>
      <c r="W84" s="57" t="str">
        <f t="shared" si="21"/>
        <v>0.282135222182289-0.323238165279903i</v>
      </c>
      <c r="X84" s="57">
        <f t="shared" si="26"/>
        <v>-7.3498585632529299</v>
      </c>
      <c r="Y84" s="57">
        <f t="shared" si="27"/>
        <v>-48.884241224473705</v>
      </c>
      <c r="Z84" s="82" t="str">
        <f t="shared" si="28"/>
        <v>0.281777756681651-0.325914606070841i</v>
      </c>
      <c r="AA84" s="82">
        <f t="shared" si="29"/>
        <v>-7.3137749038769737</v>
      </c>
      <c r="AB84" s="82">
        <f t="shared" si="34"/>
        <v>-49.154112619100076</v>
      </c>
      <c r="AC84" s="82" t="str">
        <f t="shared" si="30"/>
        <v>0.0390604503741077+0.0214208344831229i</v>
      </c>
      <c r="AD84" s="82">
        <f t="shared" si="31"/>
        <v>-27.023333737406364</v>
      </c>
      <c r="AE84" s="82">
        <f t="shared" si="32"/>
        <v>28.740457823394653</v>
      </c>
    </row>
    <row r="85" spans="17:31" ht="18" customHeight="1">
      <c r="Q85" s="93">
        <f t="shared" si="33"/>
        <v>151700.09825977072</v>
      </c>
      <c r="R85" s="93" t="str">
        <f t="shared" si="22"/>
        <v>953159.828483491i</v>
      </c>
      <c r="S85" s="82" t="str">
        <f t="shared" si="20"/>
        <v>1.06655659214349-0.328919523492203i</v>
      </c>
      <c r="T85" s="82" t="str">
        <f t="shared" si="23"/>
        <v>-0.0235276268055675-0.0979270373025763i</v>
      </c>
      <c r="U85" s="82">
        <f t="shared" si="24"/>
        <v>-19.93822705172899</v>
      </c>
      <c r="V85" s="82">
        <f t="shared" si="25"/>
        <v>-103.50963925596511</v>
      </c>
      <c r="W85" s="57" t="str">
        <f t="shared" si="21"/>
        <v>0.262468826985549-0.319938345335365i</v>
      </c>
      <c r="X85" s="57">
        <f t="shared" si="26"/>
        <v>-7.6636832945951596</v>
      </c>
      <c r="Y85" s="57">
        <f t="shared" si="27"/>
        <v>-50.63546586391324</v>
      </c>
      <c r="Z85" s="82" t="str">
        <f t="shared" si="28"/>
        <v>0.26198391782781-0.322402332774587i</v>
      </c>
      <c r="AA85" s="82">
        <f t="shared" si="29"/>
        <v>-7.6301246107189105</v>
      </c>
      <c r="AB85" s="82">
        <f t="shared" si="34"/>
        <v>-50.902713365533522</v>
      </c>
      <c r="AC85" s="82" t="str">
        <f t="shared" si="30"/>
        <v>0.0375058828875919+0.0181754046211361i</v>
      </c>
      <c r="AD85" s="82">
        <f t="shared" si="31"/>
        <v>-27.601910346324146</v>
      </c>
      <c r="AE85" s="82">
        <f t="shared" si="32"/>
        <v>25.854894880121702</v>
      </c>
    </row>
    <row r="86" spans="17:31" ht="18" customHeight="1">
      <c r="Q86" s="93">
        <f t="shared" si="33"/>
        <v>161528.13746142812</v>
      </c>
      <c r="R86" s="93" t="str">
        <f t="shared" si="22"/>
        <v>1014911.21999373i</v>
      </c>
      <c r="S86" s="82" t="str">
        <f t="shared" si="20"/>
        <v>1.07368546131841-0.36067503781407i</v>
      </c>
      <c r="T86" s="82" t="str">
        <f t="shared" si="23"/>
        <v>-0.0250325208157077-0.0948175496766869i</v>
      </c>
      <c r="U86" s="82">
        <f t="shared" si="24"/>
        <v>-20.16960617648385</v>
      </c>
      <c r="V86" s="82">
        <f t="shared" si="25"/>
        <v>-104.78906609755136</v>
      </c>
      <c r="W86" s="57" t="str">
        <f t="shared" si="21"/>
        <v>0.243245157107706-0.315497405729915i</v>
      </c>
      <c r="X86" s="57">
        <f t="shared" si="26"/>
        <v>-7.9940441163002678</v>
      </c>
      <c r="Y86" s="57">
        <f t="shared" si="27"/>
        <v>-52.368157491771377</v>
      </c>
      <c r="Z86" s="82" t="str">
        <f t="shared" si="28"/>
        <v>0.24265789897433-0.317748725810289i</v>
      </c>
      <c r="AA86" s="82">
        <f t="shared" si="29"/>
        <v>-7.9629521483114249</v>
      </c>
      <c r="AB86" s="82">
        <f t="shared" si="34"/>
        <v>-52.631802386573618</v>
      </c>
      <c r="AC86" s="82" t="str">
        <f t="shared" si="30"/>
        <v>0.0360037303992808+0.0151662143914375i</v>
      </c>
      <c r="AD86" s="82">
        <f t="shared" si="31"/>
        <v>-28.163650292784119</v>
      </c>
      <c r="AE86" s="82">
        <f t="shared" si="32"/>
        <v>22.842776410677207</v>
      </c>
    </row>
    <row r="87" spans="17:31" ht="18" customHeight="1">
      <c r="Q87" s="93">
        <f t="shared" si="33"/>
        <v>171992.89579285111</v>
      </c>
      <c r="R87" s="93" t="str">
        <f t="shared" si="22"/>
        <v>1080663.23578491i</v>
      </c>
      <c r="S87" s="82" t="str">
        <f t="shared" si="20"/>
        <v>1.08101492306957-0.397011127305735i</v>
      </c>
      <c r="T87" s="82" t="str">
        <f t="shared" si="23"/>
        <v>-0.0268172527462029-0.0920666132240956i</v>
      </c>
      <c r="U87" s="82">
        <f t="shared" si="24"/>
        <v>-20.364281313375145</v>
      </c>
      <c r="V87" s="82">
        <f t="shared" si="25"/>
        <v>-106.23983654753445</v>
      </c>
      <c r="W87" s="57" t="str">
        <f t="shared" si="21"/>
        <v>0.224594968191111-0.309991495882317i</v>
      </c>
      <c r="X87" s="57">
        <f t="shared" si="26"/>
        <v>-8.3405084485594276</v>
      </c>
      <c r="Y87" s="57">
        <f t="shared" si="27"/>
        <v>-54.075927467895781</v>
      </c>
      <c r="Z87" s="82" t="str">
        <f t="shared" si="28"/>
        <v>0.22392937791355-0.312033421060715i</v>
      </c>
      <c r="AA87" s="82">
        <f t="shared" si="29"/>
        <v>-8.3118082711394585</v>
      </c>
      <c r="AB87" s="82">
        <f t="shared" si="34"/>
        <v>-54.335057725956965</v>
      </c>
      <c r="AC87" s="82" t="str">
        <f t="shared" si="30"/>
        <v>0.0345628871816625+0.0123645777742795i</v>
      </c>
      <c r="AD87" s="82">
        <f t="shared" si="31"/>
        <v>-28.704789761934578</v>
      </c>
      <c r="AE87" s="82">
        <f t="shared" si="32"/>
        <v>19.684235984569838</v>
      </c>
    </row>
    <row r="88" spans="17:31" ht="18" customHeight="1">
      <c r="Q88" s="93">
        <f t="shared" si="33"/>
        <v>183135.62372546038</v>
      </c>
      <c r="R88" s="93" t="str">
        <f t="shared" si="22"/>
        <v>1150675.06021298i</v>
      </c>
      <c r="S88" s="82" t="str">
        <f t="shared" si="20"/>
        <v>1.08821997300773-0.43886528502133i</v>
      </c>
      <c r="T88" s="82" t="str">
        <f t="shared" si="23"/>
        <v>-0.0289445876966921-0.0896447535097898i</v>
      </c>
      <c r="U88" s="82">
        <f t="shared" si="24"/>
        <v>-20.518819954347634</v>
      </c>
      <c r="V88" s="82">
        <f t="shared" si="25"/>
        <v>-107.89428234821057</v>
      </c>
      <c r="W88" s="57" t="str">
        <f t="shared" si="21"/>
        <v>0.206632640971297-0.303513410710032i</v>
      </c>
      <c r="X88" s="57">
        <f t="shared" si="26"/>
        <v>-8.7025392766080429</v>
      </c>
      <c r="Y88" s="57">
        <f t="shared" si="27"/>
        <v>-55.752874395107284</v>
      </c>
      <c r="Z88" s="82" t="str">
        <f t="shared" si="28"/>
        <v>0.205911093418197-0.305352289415785i</v>
      </c>
      <c r="AA88" s="82">
        <f t="shared" si="29"/>
        <v>-8.6761414304901301</v>
      </c>
      <c r="AB88" s="82">
        <f t="shared" si="34"/>
        <v>-56.006658494011496</v>
      </c>
      <c r="AC88" s="82" t="str">
        <f t="shared" si="30"/>
        <v>0.0331892814876092+0.00973846163353016i</v>
      </c>
      <c r="AD88" s="82">
        <f t="shared" si="31"/>
        <v>-29.221359230955677</v>
      </c>
      <c r="AE88" s="82">
        <f t="shared" si="32"/>
        <v>16.352843256682153</v>
      </c>
    </row>
    <row r="89" spans="17:31" ht="18" customHeight="1">
      <c r="Q89" s="93">
        <f t="shared" si="33"/>
        <v>195000.24418280329</v>
      </c>
      <c r="R89" s="93" t="str">
        <f t="shared" si="22"/>
        <v>1225222.66914582i</v>
      </c>
      <c r="S89" s="82" t="str">
        <f t="shared" si="20"/>
        <v>1.09475288412229-0.487394091962712i</v>
      </c>
      <c r="T89" s="82" t="str">
        <f t="shared" si="23"/>
        <v>-0.031493064085704-0.0875113985225235i</v>
      </c>
      <c r="U89" s="82">
        <f t="shared" si="24"/>
        <v>-20.629809826778072</v>
      </c>
      <c r="V89" s="82">
        <f t="shared" si="25"/>
        <v>-109.792477598369</v>
      </c>
      <c r="W89" s="57" t="str">
        <f t="shared" si="21"/>
        <v>0.189453920129467-0.29616869854076i</v>
      </c>
      <c r="X89" s="57">
        <f t="shared" si="26"/>
        <v>-9.0795101077462483</v>
      </c>
      <c r="Y89" s="57">
        <f t="shared" si="27"/>
        <v>-57.393665995657521</v>
      </c>
      <c r="Z89" s="82" t="str">
        <f t="shared" si="28"/>
        <v>0.18869671481841-0.297813455631716i</v>
      </c>
      <c r="AA89" s="82">
        <f t="shared" si="29"/>
        <v>-9.0553130125303571</v>
      </c>
      <c r="AB89" s="82">
        <f t="shared" si="34"/>
        <v>-57.641363424047498</v>
      </c>
      <c r="AC89" s="82" t="str">
        <f t="shared" si="30"/>
        <v>0.0318846214558227+0.00725211770278042i</v>
      </c>
      <c r="AD89" s="82">
        <f t="shared" si="31"/>
        <v>-29.709319934524324</v>
      </c>
      <c r="AE89" s="82">
        <f t="shared" si="32"/>
        <v>12.813856405973487</v>
      </c>
    </row>
    <row r="90" spans="17:31" ht="18" customHeight="1">
      <c r="Q90" s="93">
        <f t="shared" si="33"/>
        <v>207633.52567797809</v>
      </c>
      <c r="R90" s="93" t="str">
        <f t="shared" si="22"/>
        <v>1304599.91781777i</v>
      </c>
      <c r="S90" s="82" t="str">
        <f t="shared" si="20"/>
        <v>1.09971637080595-0.544009583674919i</v>
      </c>
      <c r="T90" s="82" t="str">
        <f t="shared" si="23"/>
        <v>-0.0345604031016189-0.0856071913640182i</v>
      </c>
      <c r="U90" s="82">
        <f t="shared" si="24"/>
        <v>-20.694068656559477</v>
      </c>
      <c r="V90" s="82">
        <f t="shared" si="25"/>
        <v>-111.98437863263196</v>
      </c>
      <c r="W90" s="57" t="str">
        <f t="shared" si="21"/>
        <v>0.173134656758659-0.288071546958558i</v>
      </c>
      <c r="X90" s="57">
        <f t="shared" si="26"/>
        <v>-9.470721423784676</v>
      </c>
      <c r="Y90" s="57">
        <f t="shared" si="27"/>
        <v>-58.993598452796583</v>
      </c>
      <c r="Z90" s="82" t="str">
        <f t="shared" si="28"/>
        <v>0.172359724834209-0.289533135653688i</v>
      </c>
      <c r="AA90" s="82">
        <f t="shared" si="29"/>
        <v>-9.4486139427375342</v>
      </c>
      <c r="AB90" s="82">
        <f t="shared" si="34"/>
        <v>-59.234566723240583</v>
      </c>
      <c r="AC90" s="82" t="str">
        <f t="shared" si="30"/>
        <v>0.0306445995754497+0.00486570290788743i</v>
      </c>
      <c r="AD90" s="82">
        <f t="shared" si="31"/>
        <v>-30.164790080344158</v>
      </c>
      <c r="AE90" s="82">
        <f t="shared" si="32"/>
        <v>9.022022914571453</v>
      </c>
    </row>
    <row r="91" spans="17:31" ht="18" customHeight="1">
      <c r="Q91" s="93">
        <f t="shared" si="33"/>
        <v>221085.26666793539</v>
      </c>
      <c r="R91" s="93" t="str">
        <f t="shared" si="22"/>
        <v>1389119.69916185i</v>
      </c>
      <c r="S91" s="82" t="str">
        <f t="shared" si="20"/>
        <v>1.10166729283242-0.610397041725864i</v>
      </c>
      <c r="T91" s="82" t="str">
        <f t="shared" si="23"/>
        <v>-0.0382663763877317-0.0838417899387333i</v>
      </c>
      <c r="U91" s="82">
        <f t="shared" si="24"/>
        <v>-20.708999480416335</v>
      </c>
      <c r="V91" s="82">
        <f t="shared" si="25"/>
        <v>-114.53251227267187</v>
      </c>
      <c r="W91" s="57" t="str">
        <f t="shared" si="21"/>
        <v>0.15773052095891-0.279340715268665i</v>
      </c>
      <c r="X91" s="57">
        <f t="shared" si="26"/>
        <v>-9.8754177844470075</v>
      </c>
      <c r="Y91" s="57">
        <f t="shared" si="27"/>
        <v>-60.548632735860657</v>
      </c>
      <c r="Z91" s="82" t="str">
        <f t="shared" si="28"/>
        <v>0.156953269925715-0.280631559132803i</v>
      </c>
      <c r="AA91" s="82">
        <f t="shared" si="29"/>
        <v>-9.855281817282485</v>
      </c>
      <c r="AB91" s="82">
        <f t="shared" si="34"/>
        <v>-60.782330962465657</v>
      </c>
      <c r="AC91" s="82" t="str">
        <f t="shared" si="30"/>
        <v>0.0294562010537376+0.00253505225427498i</v>
      </c>
      <c r="AD91" s="82">
        <f t="shared" si="31"/>
        <v>-30.58441726486333</v>
      </c>
      <c r="AE91" s="82">
        <f t="shared" si="32"/>
        <v>4.9188549914674784</v>
      </c>
    </row>
    <row r="92" spans="17:31" ht="18" customHeight="1">
      <c r="Q92" s="93">
        <f t="shared" si="33"/>
        <v>235408.49185135349</v>
      </c>
      <c r="R92" s="93" t="str">
        <f t="shared" si="22"/>
        <v>1479115.17718573i</v>
      </c>
      <c r="S92" s="82" t="str">
        <f t="shared" si="20"/>
        <v>1.09831832028914-0.688476955974272i</v>
      </c>
      <c r="T92" s="82" t="str">
        <f t="shared" si="23"/>
        <v>-0.0427530904465146-0.0820747781207437i</v>
      </c>
      <c r="U92" s="82">
        <f t="shared" si="24"/>
        <v>-20.673184758108079</v>
      </c>
      <c r="V92" s="82">
        <f t="shared" si="25"/>
        <v>-117.51519307910071</v>
      </c>
      <c r="W92" s="57" t="str">
        <f t="shared" si="21"/>
        <v>0.143277580512741-0.2700957435561i</v>
      </c>
      <c r="X92" s="57">
        <f t="shared" si="26"/>
        <v>-10.292804797033149</v>
      </c>
      <c r="Y92" s="57">
        <f t="shared" si="27"/>
        <v>-62.055408835282158</v>
      </c>
      <c r="Z92" s="82" t="str">
        <f t="shared" si="28"/>
        <v>0.142510864102817-0.271229201718587i</v>
      </c>
      <c r="AA92" s="82">
        <f t="shared" si="29"/>
        <v>-10.274517790627762</v>
      </c>
      <c r="AB92" s="82">
        <f t="shared" si="34"/>
        <v>-62.281398123392734</v>
      </c>
      <c r="AC92" s="82" t="str">
        <f t="shared" si="30"/>
        <v>0.0282936075823432+0.000212047876787653i</v>
      </c>
      <c r="AD92" s="82">
        <f t="shared" si="31"/>
        <v>-30.965989555141228</v>
      </c>
      <c r="AE92" s="82">
        <f t="shared" si="32"/>
        <v>0.42939808561711301</v>
      </c>
    </row>
    <row r="93" spans="17:31" ht="18" customHeight="1">
      <c r="Q93" s="93">
        <f t="shared" si="33"/>
        <v>250659.66118386338</v>
      </c>
      <c r="R93" s="93" t="str">
        <f t="shared" si="22"/>
        <v>1574941.10025306i</v>
      </c>
      <c r="S93" s="82" t="str">
        <f t="shared" si="20"/>
        <v>1.08610209673741-0.780231680498513i</v>
      </c>
      <c r="T93" s="82" t="str">
        <f t="shared" si="23"/>
        <v>-0.0481780268128095-0.0800867532448438i</v>
      </c>
      <c r="U93" s="82">
        <f t="shared" si="24"/>
        <v>-20.587365779366174</v>
      </c>
      <c r="V93" s="82">
        <f t="shared" si="25"/>
        <v>-121.02997901630947</v>
      </c>
      <c r="W93" s="57" t="str">
        <f t="shared" si="21"/>
        <v>0.129793592026646-0.260453613394306i</v>
      </c>
      <c r="X93" s="57">
        <f t="shared" si="26"/>
        <v>-10.722065278765244</v>
      </c>
      <c r="Y93" s="57">
        <f t="shared" si="27"/>
        <v>-63.511239975034449</v>
      </c>
      <c r="Z93" s="82" t="str">
        <f t="shared" si="28"/>
        <v>0.129047785584724-0.261443494624318i</v>
      </c>
      <c r="AA93" s="82">
        <f t="shared" si="29"/>
        <v>-10.705502565873653</v>
      </c>
      <c r="AB93" s="82">
        <f t="shared" si="34"/>
        <v>-63.729181014986978</v>
      </c>
      <c r="AC93" s="82" t="str">
        <f t="shared" si="30"/>
        <v>0.0271120834244283-0.00215339379220407i</v>
      </c>
      <c r="AD93" s="82">
        <f t="shared" si="31"/>
        <v>-31.30943105813143</v>
      </c>
      <c r="AE93" s="82">
        <f t="shared" si="32"/>
        <v>-4.5412189913439196</v>
      </c>
    </row>
    <row r="94" spans="17:31" ht="18" customHeight="1">
      <c r="Q94" s="93">
        <f t="shared" si="33"/>
        <v>266898.89243452938</v>
      </c>
      <c r="R94" s="93" t="str">
        <f t="shared" si="22"/>
        <v>1676975.19944714i</v>
      </c>
      <c r="S94" s="82" t="str">
        <f t="shared" si="20"/>
        <v>1.05958651674777-0.887239818525305i</v>
      </c>
      <c r="T94" s="82" t="str">
        <f t="shared" si="23"/>
        <v>-0.0546901062344272-0.0775384678995853i</v>
      </c>
      <c r="U94" s="82">
        <f t="shared" si="24"/>
        <v>-20.456020542664337</v>
      </c>
      <c r="V94" s="82">
        <f t="shared" si="25"/>
        <v>-125.19641477904268</v>
      </c>
      <c r="W94" s="57" t="str">
        <f t="shared" si="21"/>
        <v>0.117279824376952-0.250525973485914i</v>
      </c>
      <c r="X94" s="57">
        <f t="shared" si="26"/>
        <v>-11.162374081716113</v>
      </c>
      <c r="Y94" s="57">
        <f t="shared" si="27"/>
        <v>-64.914089679695664</v>
      </c>
      <c r="Z94" s="82" t="str">
        <f t="shared" si="28"/>
        <v>0.116562982353382-0.251386116336334i</v>
      </c>
      <c r="AA94" s="82">
        <f t="shared" si="29"/>
        <v>-11.147410981054968</v>
      </c>
      <c r="AB94" s="82">
        <f t="shared" si="34"/>
        <v>-65.123738028699393</v>
      </c>
      <c r="AC94" s="82" t="str">
        <f t="shared" si="30"/>
        <v>0.0258394462074804-0.00460759420670663i</v>
      </c>
      <c r="AD94" s="82">
        <f t="shared" si="31"/>
        <v>-31.618394624380439</v>
      </c>
      <c r="AE94" s="82">
        <f t="shared" si="32"/>
        <v>-10.110504458738346</v>
      </c>
    </row>
    <row r="95" spans="17:31" ht="18" customHeight="1">
      <c r="Q95" s="93">
        <f t="shared" si="33"/>
        <v>284190.1981608693</v>
      </c>
      <c r="R95" s="93" t="str">
        <f t="shared" si="22"/>
        <v>1785619.67752883i</v>
      </c>
      <c r="S95" s="82" t="str">
        <f t="shared" si="20"/>
        <v>1.01083691459794-1.00964225170492i</v>
      </c>
      <c r="T95" s="82" t="str">
        <f t="shared" si="23"/>
        <v>-0.0623706201086491-0.0739215499694886i</v>
      </c>
      <c r="U95" s="82">
        <f t="shared" si="24"/>
        <v>-20.289798941014595</v>
      </c>
      <c r="V95" s="82">
        <f t="shared" si="25"/>
        <v>-130.15568826923564</v>
      </c>
      <c r="W95" s="57" t="str">
        <f t="shared" si="21"/>
        <v>0.105723229181754-0.240416983267037i</v>
      </c>
      <c r="X95" s="57">
        <f t="shared" si="26"/>
        <v>-11.612911206933781</v>
      </c>
      <c r="Y95" s="57">
        <f t="shared" si="27"/>
        <v>-66.262535037344918</v>
      </c>
      <c r="Z95" s="82" t="str">
        <f t="shared" si="28"/>
        <v>0.105041300436633-0.241160911364026i</v>
      </c>
      <c r="AA95" s="82">
        <f t="shared" si="29"/>
        <v>-11.5994248417727</v>
      </c>
      <c r="AB95" s="82">
        <f t="shared" si="34"/>
        <v>-66.463734614905903</v>
      </c>
      <c r="AC95" s="82" t="str">
        <f t="shared" si="30"/>
        <v>0.0243660194060428-0.00717973136212109i</v>
      </c>
      <c r="AD95" s="82">
        <f t="shared" si="31"/>
        <v>-31.902710147948376</v>
      </c>
      <c r="AE95" s="82">
        <f t="shared" si="32"/>
        <v>-16.418223306580572</v>
      </c>
    </row>
    <row r="96" spans="17:31" ht="18" customHeight="1">
      <c r="Q96" s="93">
        <f t="shared" si="33"/>
        <v>302601.7380365326</v>
      </c>
      <c r="R96" s="93" t="str">
        <f t="shared" si="22"/>
        <v>1901302.79435815i</v>
      </c>
      <c r="S96" s="82" t="str">
        <f t="shared" si="20"/>
        <v>0.929127987943923-1.14415807147093i</v>
      </c>
      <c r="T96" s="82" t="str">
        <f t="shared" si="23"/>
        <v>-0.071111497297333-0.0685226124274168i</v>
      </c>
      <c r="U96" s="82">
        <f t="shared" si="24"/>
        <v>-20.108976918712564</v>
      </c>
      <c r="V96" s="82">
        <f t="shared" si="25"/>
        <v>-136.06217015386792</v>
      </c>
      <c r="W96" s="57" t="str">
        <f t="shared" si="21"/>
        <v>0.0950987852305728-0.230221775059864i</v>
      </c>
      <c r="X96" s="57">
        <f t="shared" si="26"/>
        <v>-12.072872987728974</v>
      </c>
      <c r="Y96" s="57">
        <f t="shared" si="27"/>
        <v>-67.555719645219412</v>
      </c>
      <c r="Z96" s="82" t="str">
        <f t="shared" si="28"/>
        <v>0.094455863272355-0.230862429568312i</v>
      </c>
      <c r="AA96" s="82">
        <f t="shared" si="29"/>
        <v>-12.060743802190652</v>
      </c>
      <c r="AB96" s="82">
        <f t="shared" si="34"/>
        <v>-67.748394965053095</v>
      </c>
      <c r="AC96" s="82" t="str">
        <f t="shared" si="30"/>
        <v>0.0225380144736825-0.00985499793228403i</v>
      </c>
      <c r="AD96" s="82">
        <f t="shared" si="31"/>
        <v>-32.181849906441549</v>
      </c>
      <c r="AE96" s="82">
        <f t="shared" si="32"/>
        <v>-23.617889799087337</v>
      </c>
    </row>
    <row r="97" spans="17:31" ht="18" customHeight="1">
      <c r="Q97" s="93">
        <f t="shared" si="33"/>
        <v>322206.08752627432</v>
      </c>
      <c r="R97" s="93" t="str">
        <f t="shared" si="22"/>
        <v>2024480.55502891i</v>
      </c>
      <c r="S97" s="82" t="str">
        <f t="shared" si="20"/>
        <v>0.802054464465712-1.28094457358616i</v>
      </c>
      <c r="T97" s="82" t="str">
        <f t="shared" si="23"/>
        <v>-0.0804085958037069-0.0604646277352099i</v>
      </c>
      <c r="U97" s="82">
        <f t="shared" si="24"/>
        <v>-19.947545418841113</v>
      </c>
      <c r="V97" s="82">
        <f t="shared" si="25"/>
        <v>-143.05803410043578</v>
      </c>
      <c r="W97" s="57" t="str">
        <f t="shared" si="21"/>
        <v>0.0853718679937444-0.220025494451301i</v>
      </c>
      <c r="X97" s="57">
        <f t="shared" si="26"/>
        <v>-12.541481259576363</v>
      </c>
      <c r="Y97" s="57">
        <f t="shared" si="27"/>
        <v>-68.793299607870267</v>
      </c>
      <c r="Z97" s="82" t="str">
        <f t="shared" si="28"/>
        <v>0.0847704562640597-0.220575040245035i</v>
      </c>
      <c r="AA97" s="82">
        <f t="shared" si="29"/>
        <v>-12.530594230709514</v>
      </c>
      <c r="AB97" s="82">
        <f t="shared" si="34"/>
        <v>-68.97744723287795</v>
      </c>
      <c r="AC97" s="82" t="str">
        <f t="shared" si="30"/>
        <v>0.0201683916407698-0.0125299628325442i</v>
      </c>
      <c r="AD97" s="82">
        <f t="shared" si="31"/>
        <v>-32.489026678417481</v>
      </c>
      <c r="AE97" s="82">
        <f t="shared" si="32"/>
        <v>-31.851333708306111</v>
      </c>
    </row>
    <row r="98" spans="17:31" ht="18" customHeight="1">
      <c r="Q98" s="93">
        <f t="shared" si="33"/>
        <v>343080.52396729967</v>
      </c>
      <c r="R98" s="93" t="str">
        <f t="shared" si="22"/>
        <v>2155638.50737081i</v>
      </c>
      <c r="S98" s="82" t="str">
        <f t="shared" si="20"/>
        <v>0.619873752016605-1.40023856400065i</v>
      </c>
      <c r="T98" s="82" t="str">
        <f t="shared" si="23"/>
        <v>-0.0891122871572378-0.0489488343111886i</v>
      </c>
      <c r="U98" s="82">
        <f t="shared" si="24"/>
        <v>-19.85605983570073</v>
      </c>
      <c r="V98" s="82">
        <f t="shared" si="25"/>
        <v>-151.22027691968017</v>
      </c>
      <c r="W98" s="57" t="str">
        <f t="shared" si="21"/>
        <v>0.0765005260535589-0.209902850526703i</v>
      </c>
      <c r="X98" s="57">
        <f t="shared" si="26"/>
        <v>-13.017990547858831</v>
      </c>
      <c r="Y98" s="57">
        <f t="shared" si="27"/>
        <v>-69.975385646912457</v>
      </c>
      <c r="Z98" s="82" t="str">
        <f t="shared" si="28"/>
        <v>0.0759418022040622-0.210372548775723i</v>
      </c>
      <c r="AA98" s="82">
        <f t="shared" si="29"/>
        <v>-13.008236106426978</v>
      </c>
      <c r="AB98" s="82">
        <f t="shared" si="34"/>
        <v>-70.151065294469902</v>
      </c>
      <c r="AC98" s="82" t="str">
        <f t="shared" si="30"/>
        <v>0.0170916366972423-0.0149603115167439i</v>
      </c>
      <c r="AD98" s="82">
        <f t="shared" si="31"/>
        <v>-32.874050383559549</v>
      </c>
      <c r="AE98" s="82">
        <f t="shared" si="32"/>
        <v>-41.195662566592567</v>
      </c>
    </row>
    <row r="99" spans="17:31" ht="18" customHeight="1">
      <c r="Q99" s="93">
        <f t="shared" si="33"/>
        <v>365307.33118466818</v>
      </c>
      <c r="R99" s="93" t="str">
        <f t="shared" si="22"/>
        <v>2295293.65590449i</v>
      </c>
      <c r="S99" s="82" t="str">
        <f t="shared" si="20"/>
        <v>0.384291263147581-1.47246442168837i</v>
      </c>
      <c r="T99" s="82" t="str">
        <f t="shared" si="23"/>
        <v>-0.0953553685854739-0.0338061029343502i</v>
      </c>
      <c r="U99" s="82">
        <f t="shared" si="24"/>
        <v>-19.898909834678072</v>
      </c>
      <c r="V99" s="82">
        <f t="shared" si="25"/>
        <v>-160.4791822426499</v>
      </c>
      <c r="W99" s="57" t="str">
        <f t="shared" si="21"/>
        <v>0.0684375788125002-0.199918091803278i</v>
      </c>
      <c r="X99" s="57">
        <f t="shared" si="26"/>
        <v>-13.501693391286667</v>
      </c>
      <c r="Y99" s="57">
        <f t="shared" si="27"/>
        <v>-71.102483948547459</v>
      </c>
      <c r="Z99" s="82" t="str">
        <f t="shared" si="28"/>
        <v>0.0679216459888317-0.200318229456846i</v>
      </c>
      <c r="AA99" s="82">
        <f t="shared" si="29"/>
        <v>-13.49296807491509</v>
      </c>
      <c r="AB99" s="82">
        <f t="shared" si="34"/>
        <v>-71.269809601362326</v>
      </c>
      <c r="AC99" s="82" t="str">
        <f t="shared" si="30"/>
        <v>0.0132843421427039-0.0167496554968931i</v>
      </c>
      <c r="AD99" s="82">
        <f t="shared" si="31"/>
        <v>-33.40060322596473</v>
      </c>
      <c r="AE99" s="82">
        <f t="shared" si="32"/>
        <v>-51.581666191197293</v>
      </c>
    </row>
    <row r="100" spans="17:31" ht="18" customHeight="1">
      <c r="Q100" s="93">
        <f t="shared" si="33"/>
        <v>388974.12384150497</v>
      </c>
      <c r="R100" s="93" t="str">
        <f t="shared" si="22"/>
        <v>2443996.499794i</v>
      </c>
      <c r="S100" s="82" t="str">
        <f t="shared" si="20"/>
        <v>0.117859215521321-1.46760060562353i</v>
      </c>
      <c r="T100" s="82" t="str">
        <f t="shared" si="23"/>
        <v>-0.0970555300478513-0.0161698349181754i</v>
      </c>
      <c r="U100" s="82">
        <f t="shared" si="24"/>
        <v>-20.140690370796371</v>
      </c>
      <c r="V100" s="82">
        <f t="shared" si="25"/>
        <v>-170.54117396940867</v>
      </c>
      <c r="W100" s="57" t="str">
        <f t="shared" si="21"/>
        <v>0.0611324805624408-0.190125318340824i</v>
      </c>
      <c r="X100" s="57">
        <f t="shared" si="26"/>
        <v>-13.991923978340354</v>
      </c>
      <c r="Y100" s="57">
        <f t="shared" si="27"/>
        <v>-72.175437883869122</v>
      </c>
      <c r="Z100" s="82" t="str">
        <f t="shared" si="28"/>
        <v>0.0606585975641867-0.190465184083141i</v>
      </c>
      <c r="AA100" s="82">
        <f t="shared" si="29"/>
        <v>-13.984130847446458</v>
      </c>
      <c r="AB100" s="82">
        <f t="shared" si="34"/>
        <v>-72.334569185705689</v>
      </c>
      <c r="AC100" s="82" t="str">
        <f t="shared" si="30"/>
        <v>0.00900754031546433-0.0174642114282519i</v>
      </c>
      <c r="AD100" s="82">
        <f t="shared" si="31"/>
        <v>-34.13261434913673</v>
      </c>
      <c r="AE100" s="82">
        <f t="shared" si="32"/>
        <v>-62.716611853277797</v>
      </c>
    </row>
    <row r="101" spans="17:31" ht="18" customHeight="1">
      <c r="Q101" s="93">
        <f t="shared" si="33"/>
        <v>414174.19280255743</v>
      </c>
      <c r="R101" s="93" t="str">
        <f t="shared" si="22"/>
        <v>2602333.20282999i</v>
      </c>
      <c r="S101" s="82" t="str">
        <f t="shared" ref="S101:S104" si="35">IMDIV(1,IMSUM(1,IMDIV(R101,$N$11*$N$13),IMDIV(IMPRODUCT(R101,R101),$N$11*$N$11)))</f>
        <v>-0.137418308657047-1.37344559341554i</v>
      </c>
      <c r="T101" s="82" t="str">
        <f t="shared" si="23"/>
        <v>-0.0930722606557611+0.00144751504455259i</v>
      </c>
      <c r="U101" s="82">
        <f t="shared" si="24"/>
        <v>-20.62254438718087</v>
      </c>
      <c r="V101" s="82">
        <f t="shared" si="25"/>
        <v>179.10897386354179</v>
      </c>
      <c r="W101" s="57" t="str">
        <f t="shared" si="21"/>
        <v>0.0545329226374145-0.180569043101525i</v>
      </c>
      <c r="X101" s="57">
        <f t="shared" si="26"/>
        <v>-14.488060309098856</v>
      </c>
      <c r="Y101" s="57">
        <f t="shared" si="27"/>
        <v>-73.195372239218457</v>
      </c>
      <c r="Z101" s="82" t="str">
        <f t="shared" si="28"/>
        <v>0.0540997081773829-0.180856939467437i</v>
      </c>
      <c r="AA101" s="82">
        <f t="shared" si="29"/>
        <v>-14.481109159433554</v>
      </c>
      <c r="AB101" s="82">
        <f t="shared" si="34"/>
        <v>-73.34650638145061</v>
      </c>
      <c r="AC101" s="82" t="str">
        <f t="shared" si="30"/>
        <v>0.00481412598355997-0.0168849062718476i</v>
      </c>
      <c r="AD101" s="82">
        <f t="shared" si="31"/>
        <v>-35.110604696279715</v>
      </c>
      <c r="AE101" s="82">
        <f t="shared" si="32"/>
        <v>-74.086398375676723</v>
      </c>
    </row>
    <row r="102" spans="17:31" ht="18" customHeight="1">
      <c r="Q102" s="93">
        <f t="shared" si="33"/>
        <v>441006.8728724675</v>
      </c>
      <c r="R102" s="93" t="str">
        <f t="shared" si="22"/>
        <v>2770927.9039975i</v>
      </c>
      <c r="S102" s="82" t="str">
        <f t="shared" si="35"/>
        <v>-0.339096942407733-1.20757059675241i</v>
      </c>
      <c r="T102" s="82" t="str">
        <f t="shared" si="23"/>
        <v>-0.0841263257932019+0.0162382898526663i</v>
      </c>
      <c r="U102" s="82">
        <f t="shared" si="24"/>
        <v>-21.342494644646145</v>
      </c>
      <c r="V102" s="82">
        <f t="shared" si="25"/>
        <v>169.07497273847616</v>
      </c>
      <c r="W102" s="57" t="str">
        <f t="shared" si="21"/>
        <v>0.0485861667712393-0.171284923635049i</v>
      </c>
      <c r="X102" s="57">
        <f t="shared" si="26"/>
        <v>-14.989525109365561</v>
      </c>
      <c r="Y102" s="57">
        <f t="shared" si="27"/>
        <v>-74.163641126979613</v>
      </c>
      <c r="Z102" s="82" t="str">
        <f t="shared" si="28"/>
        <v>0.048191775774045-0.171528205774304i</v>
      </c>
      <c r="AA102" s="82">
        <f t="shared" si="29"/>
        <v>-14.98333251570034</v>
      </c>
      <c r="AB102" s="82">
        <f t="shared" si="34"/>
        <v>-74.307005365645438</v>
      </c>
      <c r="AC102" s="82" t="str">
        <f t="shared" si="30"/>
        <v>0.00130600145746238-0.0151985275480472i</v>
      </c>
      <c r="AD102" s="82">
        <f t="shared" si="31"/>
        <v>-36.332019754011711</v>
      </c>
      <c r="AE102" s="82">
        <f t="shared" si="32"/>
        <v>-85.08866838850345</v>
      </c>
    </row>
    <row r="103" spans="17:31" ht="18" customHeight="1">
      <c r="Q103" s="93">
        <f t="shared" si="33"/>
        <v>469577.93435832777</v>
      </c>
      <c r="R103" s="93" t="str">
        <f t="shared" si="22"/>
        <v>2950445.17773599i</v>
      </c>
      <c r="S103" s="82" t="str">
        <f t="shared" si="35"/>
        <v>-0.466276708145135-1.00779188195473i</v>
      </c>
      <c r="T103" s="82" t="str">
        <f t="shared" si="23"/>
        <v>-0.0724001395296306+0.0265625301033671i</v>
      </c>
      <c r="U103" s="82">
        <f t="shared" si="24"/>
        <v>-22.256766333865741</v>
      </c>
      <c r="V103" s="82">
        <f t="shared" si="25"/>
        <v>159.8526668713173</v>
      </c>
      <c r="W103" s="57" t="str">
        <f t="shared" si="21"/>
        <v>0.0432401186981876-0.162300596283781i</v>
      </c>
      <c r="X103" s="57">
        <f t="shared" si="26"/>
        <v>-15.495785722701417</v>
      </c>
      <c r="Y103" s="57">
        <f t="shared" si="27"/>
        <v>-75.081780334917156</v>
      </c>
      <c r="Z103" s="82" t="str">
        <f t="shared" si="28"/>
        <v>0.042882390630193-0.162505729068727i</v>
      </c>
      <c r="AA103" s="82">
        <f t="shared" si="29"/>
        <v>-15.490274946906935</v>
      </c>
      <c r="AB103" s="82">
        <f t="shared" si="34"/>
        <v>-75.217625221218029</v>
      </c>
      <c r="AC103" s="82" t="str">
        <f t="shared" si="30"/>
        <v>-0.00118052384755579-0.0128991527712818i</v>
      </c>
      <c r="AD103" s="82">
        <f t="shared" si="31"/>
        <v>-37.75255205656714</v>
      </c>
      <c r="AE103" s="82">
        <f t="shared" si="32"/>
        <v>-95.229113463599816</v>
      </c>
    </row>
    <row r="104" spans="17:31" ht="18" customHeight="1">
      <c r="Q104" s="93">
        <f t="shared" si="33"/>
        <v>500000.00000000052</v>
      </c>
      <c r="R104" s="93" t="str">
        <f t="shared" si="22"/>
        <v>3141592.6535898i</v>
      </c>
      <c r="S104" s="82" t="str">
        <f t="shared" si="35"/>
        <v>-0.523859865024534-0.810479653369992i</v>
      </c>
      <c r="T104" s="82" t="str">
        <f t="shared" si="23"/>
        <v>-0.0602169813110802+0.0324094154271862i</v>
      </c>
      <c r="U104" s="82">
        <f t="shared" si="24"/>
        <v>-23.300832360493843</v>
      </c>
      <c r="V104" s="82">
        <f t="shared" si="25"/>
        <v>151.71039306186049</v>
      </c>
      <c r="W104" s="57" t="str">
        <f t="shared" si="21"/>
        <v>0.0384441618520123-0.15363655747946i</v>
      </c>
      <c r="X104" s="57">
        <f t="shared" si="26"/>
        <v>-16.006353193357008</v>
      </c>
      <c r="Y104" s="57">
        <f t="shared" si="27"/>
        <v>-75.951464526496608</v>
      </c>
      <c r="Z104" s="82" t="str">
        <f t="shared" si="28"/>
        <v>0.0381207425097553-0.153809184034874i</v>
      </c>
      <c r="AA104" s="82">
        <f t="shared" si="29"/>
        <v>-16.001453987485053</v>
      </c>
      <c r="AB104" s="82">
        <f t="shared" si="34"/>
        <v>-76.080057887480621</v>
      </c>
      <c r="AC104" s="82" t="str">
        <f t="shared" si="30"/>
        <v>-0.00266427964039182-0.0104974825226512i</v>
      </c>
      <c r="AD104" s="82">
        <f t="shared" si="31"/>
        <v>-39.307185553850843</v>
      </c>
      <c r="AE104" s="82">
        <f t="shared" si="32"/>
        <v>-104.24107146463609</v>
      </c>
    </row>
    <row r="105" spans="17:31" ht="18" customHeight="1">
      <c r="Q105" s="24"/>
    </row>
    <row r="106" spans="17:31" ht="18" customHeight="1">
      <c r="Q106" s="24"/>
    </row>
    <row r="107" spans="17:31" ht="18" customHeight="1">
      <c r="Q107" s="24"/>
    </row>
    <row r="108" spans="17:31" ht="18" customHeight="1">
      <c r="Q108" s="24"/>
    </row>
    <row r="109" spans="17:31" ht="18" customHeight="1">
      <c r="Q109" s="24"/>
    </row>
    <row r="110" spans="17:31" ht="18" customHeight="1">
      <c r="Q110" s="24"/>
    </row>
    <row r="111" spans="17:31" ht="18" customHeight="1">
      <c r="Q111" s="24"/>
    </row>
    <row r="112" spans="17:31" ht="18" customHeight="1">
      <c r="Q112" s="24"/>
    </row>
    <row r="113" spans="17:17" ht="18" customHeight="1">
      <c r="Q113" s="24"/>
    </row>
    <row r="114" spans="17:17" ht="18" customHeight="1">
      <c r="Q114" s="24"/>
    </row>
    <row r="115" spans="17:17" ht="18" customHeight="1">
      <c r="Q115" s="24"/>
    </row>
  </sheetData>
  <sheetProtection password="C994" sheet="1" objects="1" scenarios="1"/>
  <mergeCells count="9">
    <mergeCell ref="C33:E33"/>
    <mergeCell ref="C34:E34"/>
    <mergeCell ref="T3:V3"/>
    <mergeCell ref="Z3:AB3"/>
    <mergeCell ref="AC3:AE3"/>
    <mergeCell ref="W3:Y3"/>
    <mergeCell ref="AG31:AH31"/>
    <mergeCell ref="AG30:AH30"/>
    <mergeCell ref="AG29:AH29"/>
  </mergeCells>
  <phoneticPr fontId="13"/>
  <dataValidations count="6">
    <dataValidation type="decimal" allowBlank="1" showErrorMessage="1" error="Vin should be between 4.5V and 40V." sqref="D16">
      <formula1>4.5</formula1>
      <formula2>40</formula2>
    </dataValidation>
    <dataValidation type="decimal" allowBlank="1" showErrorMessage="1" error="Vout should be between -3V and -17V." sqref="D17">
      <formula1>-17</formula1>
      <formula2>-3</formula2>
    </dataValidation>
    <dataValidation allowBlank="1" showInputMessage="1" showErrorMessage="1" prompt="Refer to &quot;SOI Chart&quot; for max. allowable Iout" sqref="D18"/>
    <dataValidation allowBlank="1" showInputMessage="1" showErrorMessage="1" prompt="Must include min. 100uF of ceramic capacitance" sqref="D19"/>
    <dataValidation allowBlank="1" showInputMessage="1" showErrorMessage="1" prompt="Equivalent ESR of total output capacitors" sqref="D20"/>
    <dataValidation allowBlank="1" showInputMessage="1" showErrorMessage="1" prompt="For ramp-up UVLO only" sqref="D22"/>
  </dataValidations>
  <pageMargins left="0.7" right="0.7" top="0.75" bottom="0.75" header="0.3" footer="0.3"/>
  <pageSetup orientation="portrait" r:id="rId1"/>
  <drawing r:id="rId2"/>
  <legacyDrawing r:id="rId3"/>
  <oleObjects>
    <oleObject progId="Visio.Drawing.11" shapeId="103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zoomScaleNormal="100" workbookViewId="0"/>
  </sheetViews>
  <sheetFormatPr defaultColWidth="9.125" defaultRowHeight="12.75"/>
  <cols>
    <col min="1" max="16384" width="9.125" style="94"/>
  </cols>
  <sheetData>
    <row r="1" spans="1:12">
      <c r="A1" s="100" t="s">
        <v>90</v>
      </c>
    </row>
    <row r="2" spans="1:12">
      <c r="C2" s="101"/>
    </row>
    <row r="5" spans="1:12">
      <c r="A5" s="100" t="s">
        <v>89</v>
      </c>
      <c r="G5" s="102"/>
      <c r="H5" s="102"/>
      <c r="I5" s="102"/>
    </row>
    <row r="6" spans="1:12">
      <c r="B6" s="99">
        <v>-3.3</v>
      </c>
      <c r="C6" s="99">
        <v>-5</v>
      </c>
      <c r="D6" s="99">
        <v>-9</v>
      </c>
      <c r="E6" s="99">
        <v>-12</v>
      </c>
      <c r="F6" s="99">
        <v>-15</v>
      </c>
      <c r="G6" s="99">
        <v>-17</v>
      </c>
      <c r="H6" s="98"/>
      <c r="I6" s="98"/>
      <c r="J6" s="98"/>
      <c r="K6" s="103"/>
      <c r="L6" s="103"/>
    </row>
    <row r="7" spans="1:12">
      <c r="A7" s="97">
        <v>5</v>
      </c>
      <c r="B7" s="95">
        <v>1</v>
      </c>
      <c r="C7" s="95">
        <v>0.6</v>
      </c>
      <c r="D7" s="96">
        <v>0.4</v>
      </c>
      <c r="E7" s="95">
        <v>0.3</v>
      </c>
      <c r="F7" s="95">
        <v>0.25</v>
      </c>
      <c r="G7" s="95">
        <v>0.2</v>
      </c>
      <c r="H7" s="96"/>
      <c r="I7" s="95"/>
      <c r="J7" s="95"/>
    </row>
    <row r="8" spans="1:12">
      <c r="A8" s="97">
        <v>6</v>
      </c>
      <c r="B8" s="95">
        <v>1.2</v>
      </c>
      <c r="C8" s="95">
        <v>0.8</v>
      </c>
      <c r="D8" s="96">
        <v>0.5</v>
      </c>
      <c r="E8" s="95">
        <v>0.4</v>
      </c>
      <c r="F8" s="95">
        <v>0.3</v>
      </c>
      <c r="G8" s="95">
        <v>0.25</v>
      </c>
      <c r="H8" s="96"/>
      <c r="I8" s="95"/>
      <c r="J8" s="95"/>
    </row>
    <row r="9" spans="1:12">
      <c r="A9" s="97">
        <v>9</v>
      </c>
      <c r="B9" s="95">
        <v>1.6</v>
      </c>
      <c r="C9" s="95">
        <v>1.3</v>
      </c>
      <c r="D9" s="96">
        <v>0.78</v>
      </c>
      <c r="E9" s="95">
        <v>0.6</v>
      </c>
      <c r="F9" s="95">
        <v>0.5</v>
      </c>
      <c r="G9" s="95">
        <v>0.4</v>
      </c>
      <c r="H9" s="96"/>
      <c r="I9" s="95"/>
      <c r="J9" s="95"/>
    </row>
    <row r="10" spans="1:12">
      <c r="A10" s="97">
        <v>12</v>
      </c>
      <c r="B10" s="95">
        <v>1.8</v>
      </c>
      <c r="C10" s="95">
        <v>1.65</v>
      </c>
      <c r="D10" s="96">
        <v>1.06</v>
      </c>
      <c r="E10" s="95">
        <v>0.8</v>
      </c>
      <c r="F10" s="95">
        <v>0.7</v>
      </c>
      <c r="G10" s="95">
        <v>0.6</v>
      </c>
      <c r="H10" s="96"/>
      <c r="I10" s="95"/>
      <c r="J10" s="95"/>
    </row>
    <row r="11" spans="1:12">
      <c r="A11" s="104">
        <v>15</v>
      </c>
      <c r="B11" s="96">
        <v>2</v>
      </c>
      <c r="C11" s="95">
        <v>1.9</v>
      </c>
      <c r="D11" s="96">
        <v>1.35</v>
      </c>
      <c r="E11" s="95">
        <v>1</v>
      </c>
      <c r="F11" s="95">
        <v>0.9</v>
      </c>
      <c r="G11" s="95">
        <v>0.7</v>
      </c>
      <c r="H11" s="96"/>
      <c r="I11" s="95"/>
      <c r="J11" s="95"/>
    </row>
    <row r="12" spans="1:12">
      <c r="A12" s="97">
        <v>18</v>
      </c>
      <c r="B12" s="95">
        <v>2</v>
      </c>
      <c r="C12" s="95">
        <v>2</v>
      </c>
      <c r="D12" s="96">
        <v>1.6</v>
      </c>
      <c r="E12" s="95">
        <v>1.2</v>
      </c>
      <c r="F12" s="95">
        <v>1</v>
      </c>
      <c r="G12" s="95">
        <v>0.85</v>
      </c>
      <c r="H12" s="96"/>
      <c r="I12" s="95"/>
      <c r="J12" s="95"/>
    </row>
    <row r="13" spans="1:12">
      <c r="A13" s="104">
        <v>21</v>
      </c>
      <c r="B13" s="96">
        <v>2</v>
      </c>
      <c r="C13" s="95">
        <v>2</v>
      </c>
      <c r="D13" s="96">
        <v>1.8</v>
      </c>
      <c r="E13" s="95">
        <v>1.35</v>
      </c>
      <c r="F13" s="95">
        <v>1.1499999999999999</v>
      </c>
      <c r="G13" s="95">
        <v>0.9</v>
      </c>
      <c r="H13" s="96"/>
      <c r="I13" s="95"/>
      <c r="J13" s="95"/>
    </row>
    <row r="14" spans="1:12">
      <c r="A14" s="97">
        <v>24</v>
      </c>
      <c r="B14" s="95">
        <v>2</v>
      </c>
      <c r="C14" s="95">
        <v>2</v>
      </c>
      <c r="D14" s="96">
        <v>2</v>
      </c>
      <c r="E14" s="95">
        <v>1.5</v>
      </c>
      <c r="F14" s="95">
        <v>1.3</v>
      </c>
      <c r="G14" s="95">
        <v>1</v>
      </c>
      <c r="H14" s="96"/>
      <c r="I14" s="95"/>
      <c r="J14" s="95"/>
    </row>
    <row r="15" spans="1:12">
      <c r="A15" s="104">
        <v>30</v>
      </c>
      <c r="B15" s="95">
        <v>2</v>
      </c>
      <c r="C15" s="95">
        <v>2</v>
      </c>
      <c r="D15" s="95">
        <v>2</v>
      </c>
      <c r="E15" s="95">
        <v>1.75</v>
      </c>
      <c r="F15" s="95">
        <v>1.4</v>
      </c>
      <c r="G15" s="95">
        <v>1.1499999999999999</v>
      </c>
      <c r="H15" s="96"/>
      <c r="I15" s="95"/>
      <c r="J15" s="95"/>
    </row>
    <row r="16" spans="1:12">
      <c r="A16" s="97">
        <v>36</v>
      </c>
      <c r="B16" s="95">
        <v>2</v>
      </c>
      <c r="C16" s="95">
        <v>2</v>
      </c>
      <c r="D16" s="96">
        <v>2</v>
      </c>
      <c r="E16" s="95">
        <v>1.85</v>
      </c>
      <c r="F16" s="95">
        <v>1.45</v>
      </c>
      <c r="G16" s="95">
        <v>1.25</v>
      </c>
      <c r="H16" s="96"/>
      <c r="I16" s="95"/>
      <c r="J16" s="95"/>
    </row>
  </sheetData>
  <sheetProtection password="C994" sheet="1" objects="1" scenarios="1"/>
  <phoneticPr fontId="13"/>
  <printOptions gridLines="1"/>
  <pageMargins left="0.75" right="0.75" top="1" bottom="1" header="0.5" footer="0.5"/>
  <pageSetup scale="83" orientation="landscape" r:id="rId1"/>
  <headerFooter alignWithMargins="0">
    <oddFooter>&amp;L&amp;"TILogo,Regular"&amp;24TI&amp;RJ. G. Renauer
&amp;D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Calculator</vt:lpstr>
      <vt:lpstr>SOI Chart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a0796436</dc:creator>
  <cp:lastModifiedBy>KTL348</cp:lastModifiedBy>
  <dcterms:created xsi:type="dcterms:W3CDTF">2012-07-12T15:00:06Z</dcterms:created>
  <dcterms:modified xsi:type="dcterms:W3CDTF">2013-08-27T09:07:07Z</dcterms:modified>
</cp:coreProperties>
</file>