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7235" windowHeight="84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6" i="1" l="1"/>
  <c r="I37" i="1" s="1"/>
  <c r="F36" i="1"/>
  <c r="F37" i="1" s="1"/>
  <c r="C37" i="1"/>
  <c r="C36" i="1"/>
  <c r="I22" i="1" l="1"/>
  <c r="I13" i="1"/>
  <c r="I31" i="1" s="1"/>
  <c r="J31" i="1" s="1"/>
  <c r="I11" i="1"/>
  <c r="I15" i="1" s="1"/>
  <c r="F22" i="1"/>
  <c r="F13" i="1"/>
  <c r="F29" i="1" s="1"/>
  <c r="G29" i="1" s="1"/>
  <c r="F11" i="1"/>
  <c r="F15" i="1" s="1"/>
  <c r="F30" i="1" l="1"/>
  <c r="G30" i="1" s="1"/>
  <c r="I28" i="1"/>
  <c r="J28" i="1" s="1"/>
  <c r="I30" i="1"/>
  <c r="J30" i="1" s="1"/>
  <c r="I14" i="1"/>
  <c r="I16" i="1" s="1"/>
  <c r="I27" i="1"/>
  <c r="J27" i="1" s="1"/>
  <c r="I29" i="1"/>
  <c r="J29" i="1" s="1"/>
  <c r="F16" i="1"/>
  <c r="F27" i="1"/>
  <c r="G27" i="1" s="1"/>
  <c r="F31" i="1"/>
  <c r="G31" i="1" s="1"/>
  <c r="F14" i="1"/>
  <c r="F28" i="1"/>
  <c r="G28" i="1" s="1"/>
  <c r="C22" i="1"/>
  <c r="C13" i="1"/>
  <c r="C14" i="1" s="1"/>
  <c r="C11" i="1"/>
  <c r="C15" i="1" s="1"/>
  <c r="C28" i="1" l="1"/>
  <c r="D28" i="1" s="1"/>
  <c r="C29" i="1"/>
  <c r="D29" i="1" s="1"/>
  <c r="C30" i="1"/>
  <c r="D30" i="1" s="1"/>
  <c r="C27" i="1"/>
  <c r="D27" i="1" s="1"/>
  <c r="C31" i="1"/>
  <c r="D31" i="1" s="1"/>
  <c r="C16" i="1"/>
</calcChain>
</file>

<file path=xl/sharedStrings.xml><?xml version="1.0" encoding="utf-8"?>
<sst xmlns="http://schemas.openxmlformats.org/spreadsheetml/2006/main" count="49" uniqueCount="38">
  <si>
    <t># of VID Codes</t>
  </si>
  <si>
    <t>VoutMax</t>
  </si>
  <si>
    <t>VoutMin</t>
  </si>
  <si>
    <t>VoutRange</t>
  </si>
  <si>
    <t>Idac_out_max</t>
  </si>
  <si>
    <t>fixed</t>
  </si>
  <si>
    <t>Idac_out_lsb</t>
  </si>
  <si>
    <t>/63</t>
  </si>
  <si>
    <t>Vout_lsb</t>
  </si>
  <si>
    <t>Rfb1</t>
  </si>
  <si>
    <t>= V/I</t>
  </si>
  <si>
    <t>Vref (TPS54320)</t>
  </si>
  <si>
    <t>Rfb1 = (Vout-Vref)/Vref * Rfb2</t>
  </si>
  <si>
    <t>Rfb2 = Rfb1/((Vout-Vref)/Vref)</t>
  </si>
  <si>
    <t>Rfb2</t>
  </si>
  <si>
    <t>Validate:</t>
  </si>
  <si>
    <t>Vout=Vfb*(1+Rfb1/Rfb2)-(Idac_out*Rfb1)</t>
  </si>
  <si>
    <t xml:space="preserve">  ** Set LM10011 to Keystone total range, and the specific DSP will select the correct VID output range.</t>
  </si>
  <si>
    <t>Vout (Idac_out=0) VID = #63</t>
  </si>
  <si>
    <t>Vout (Idac_out=MAX) VID = #0</t>
  </si>
  <si>
    <t>Vout (Gauss min) VID = #42</t>
  </si>
  <si>
    <t>Vout (Gauss min) VID = #50</t>
  </si>
  <si>
    <t>Vout (Gauss min) VID = #31</t>
  </si>
  <si>
    <t>Original per SPRAB12B, Table 17</t>
  </si>
  <si>
    <t>Voltage Boost</t>
  </si>
  <si>
    <t>Additional Boost, Use existing BOM resistors.</t>
  </si>
  <si>
    <t>CVDD Calulations for Gauss TMS320C6657</t>
  </si>
  <si>
    <t>2/1/2013, David Mendel, ShoreTel</t>
  </si>
  <si>
    <t>Close to SPRAB12B, Table 17</t>
  </si>
  <si>
    <t>Delta</t>
  </si>
  <si>
    <t>LM10011 Start-up</t>
  </si>
  <si>
    <t>Idac-Out</t>
  </si>
  <si>
    <r>
      <rPr>
        <b/>
        <sz val="11"/>
        <color theme="1"/>
        <rFont val="Calibri"/>
        <family val="2"/>
        <scheme val="minor"/>
      </rPr>
      <t>Vout</t>
    </r>
    <r>
      <rPr>
        <sz val="11"/>
        <color theme="1"/>
        <rFont val="Calibri"/>
        <family val="2"/>
        <scheme val="minor"/>
      </rPr>
      <t>=Vfb*(1+Rfb1/Rfb2)-IdacOut*Rfb1</t>
    </r>
  </si>
  <si>
    <t xml:space="preserve">  ** Power derived from TPS54320 and LM10011</t>
  </si>
  <si>
    <t>"51" Equivalent</t>
  </si>
  <si>
    <t>Rfb1_actual (R944)</t>
  </si>
  <si>
    <t>Rfb2_actual (R939)</t>
  </si>
  <si>
    <t>Rset (R971)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</si>
</sst>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3" borderId="1" xfId="0" applyFont="1" applyFill="1" applyBorder="1"/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4" fillId="3" borderId="1" xfId="0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1" fillId="5" borderId="1" xfId="0" applyNumberFormat="1" applyFont="1" applyFill="1" applyBorder="1"/>
    <xf numFmtId="1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0" fontId="0" fillId="4" borderId="1" xfId="0" applyNumberFormat="1" applyFill="1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0" borderId="0" xfId="0" applyFont="1"/>
    <xf numFmtId="164" fontId="2" fillId="5" borderId="1" xfId="0" applyNumberFormat="1" applyFont="1" applyFill="1" applyBorder="1"/>
    <xf numFmtId="164" fontId="2" fillId="4" borderId="1" xfId="0" applyNumberFormat="1" applyFont="1" applyFill="1" applyBorder="1"/>
    <xf numFmtId="164" fontId="1" fillId="6" borderId="1" xfId="0" applyNumberFormat="1" applyFont="1" applyFill="1" applyBorder="1"/>
    <xf numFmtId="3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6" workbookViewId="0">
      <selection activeCell="C41" sqref="C41"/>
    </sheetView>
  </sheetViews>
  <sheetFormatPr defaultRowHeight="15" x14ac:dyDescent="0.25"/>
  <cols>
    <col min="1" max="1" width="39.28515625" customWidth="1"/>
    <col min="2" max="2" width="14.5703125" customWidth="1"/>
    <col min="5" max="5" width="4.42578125" customWidth="1"/>
    <col min="8" max="8" width="3.140625" customWidth="1"/>
    <col min="11" max="11" width="2.85546875" customWidth="1"/>
  </cols>
  <sheetData>
    <row r="1" spans="1:11" x14ac:dyDescent="0.25">
      <c r="A1" s="25" t="s">
        <v>26</v>
      </c>
    </row>
    <row r="2" spans="1:11" x14ac:dyDescent="0.25">
      <c r="A2" s="25" t="s">
        <v>27</v>
      </c>
    </row>
    <row r="4" spans="1:11" x14ac:dyDescent="0.25">
      <c r="A4" t="s">
        <v>17</v>
      </c>
    </row>
    <row r="5" spans="1:11" x14ac:dyDescent="0.25">
      <c r="A5" t="s">
        <v>33</v>
      </c>
    </row>
    <row r="7" spans="1:11" s="19" customFormat="1" ht="45" customHeight="1" x14ac:dyDescent="0.25">
      <c r="A7" s="18"/>
      <c r="B7" s="21" t="s">
        <v>23</v>
      </c>
      <c r="C7" s="22" t="s">
        <v>28</v>
      </c>
      <c r="D7" s="23"/>
      <c r="E7" s="21"/>
      <c r="F7" s="22" t="s">
        <v>24</v>
      </c>
      <c r="G7" s="23"/>
      <c r="H7" s="21"/>
      <c r="I7" s="22" t="s">
        <v>25</v>
      </c>
      <c r="J7" s="23"/>
      <c r="K7" s="12"/>
    </row>
    <row r="8" spans="1:11" x14ac:dyDescent="0.25">
      <c r="A8" s="2" t="s">
        <v>0</v>
      </c>
      <c r="B8" s="2"/>
      <c r="C8" s="2">
        <v>64</v>
      </c>
      <c r="D8" s="2"/>
      <c r="E8" s="2"/>
      <c r="F8" s="2">
        <v>64</v>
      </c>
      <c r="G8" s="2"/>
      <c r="H8" s="2"/>
      <c r="I8" s="2">
        <v>64</v>
      </c>
      <c r="J8" s="2"/>
      <c r="K8" s="2"/>
    </row>
    <row r="9" spans="1:11" x14ac:dyDescent="0.25">
      <c r="A9" s="9" t="s">
        <v>1</v>
      </c>
      <c r="B9" s="9"/>
      <c r="C9" s="9">
        <v>1.103</v>
      </c>
      <c r="D9" s="2"/>
      <c r="E9" s="2"/>
      <c r="F9" s="9">
        <v>1.103</v>
      </c>
      <c r="G9" s="2"/>
      <c r="H9" s="2"/>
      <c r="I9" s="9">
        <v>1.103</v>
      </c>
      <c r="J9" s="2"/>
      <c r="K9" s="2"/>
    </row>
    <row r="10" spans="1:11" x14ac:dyDescent="0.25">
      <c r="A10" s="9" t="s">
        <v>2</v>
      </c>
      <c r="B10" s="9"/>
      <c r="C10" s="13">
        <v>0.7</v>
      </c>
      <c r="D10" s="2"/>
      <c r="E10" s="2"/>
      <c r="F10" s="13">
        <v>0.81</v>
      </c>
      <c r="G10" s="2"/>
      <c r="H10" s="2"/>
      <c r="I10" s="13">
        <v>0.88</v>
      </c>
      <c r="J10" s="2"/>
      <c r="K10" s="2"/>
    </row>
    <row r="11" spans="1:11" x14ac:dyDescent="0.25">
      <c r="A11" s="5" t="s">
        <v>3</v>
      </c>
      <c r="B11" s="5"/>
      <c r="C11" s="2">
        <f>C9-C10</f>
        <v>0.40300000000000002</v>
      </c>
      <c r="D11" s="2"/>
      <c r="E11" s="2"/>
      <c r="F11" s="2">
        <f>F9-F10</f>
        <v>0.29299999999999993</v>
      </c>
      <c r="G11" s="2"/>
      <c r="H11" s="2"/>
      <c r="I11" s="2">
        <f>I9-I10</f>
        <v>0.22299999999999998</v>
      </c>
      <c r="J11" s="2"/>
      <c r="K11" s="2"/>
    </row>
    <row r="12" spans="1:11" x14ac:dyDescent="0.25">
      <c r="A12" s="2"/>
      <c r="B12" s="2"/>
      <c r="C12" s="3"/>
      <c r="D12" s="2"/>
      <c r="E12" s="2"/>
      <c r="F12" s="3"/>
      <c r="G12" s="2"/>
      <c r="H12" s="2"/>
      <c r="I12" s="3"/>
      <c r="J12" s="2"/>
      <c r="K12" s="2"/>
    </row>
    <row r="13" spans="1:11" x14ac:dyDescent="0.25">
      <c r="A13" s="1" t="s">
        <v>4</v>
      </c>
      <c r="B13" s="2"/>
      <c r="C13" s="2">
        <f>59.2*10^-6</f>
        <v>5.9200000000000002E-5</v>
      </c>
      <c r="D13" s="4" t="s">
        <v>5</v>
      </c>
      <c r="E13" s="2"/>
      <c r="F13" s="2">
        <f>59.2*10^-6</f>
        <v>5.9200000000000002E-5</v>
      </c>
      <c r="G13" s="4" t="s">
        <v>5</v>
      </c>
      <c r="H13" s="2"/>
      <c r="I13" s="2">
        <f>59.2*10^-6</f>
        <v>5.9200000000000002E-5</v>
      </c>
      <c r="J13" s="4" t="s">
        <v>5</v>
      </c>
      <c r="K13" s="2"/>
    </row>
    <row r="14" spans="1:11" x14ac:dyDescent="0.25">
      <c r="A14" s="5" t="s">
        <v>6</v>
      </c>
      <c r="B14" s="5"/>
      <c r="C14" s="2">
        <f>C13/63</f>
        <v>9.3968253968253974E-7</v>
      </c>
      <c r="D14" s="4" t="s">
        <v>7</v>
      </c>
      <c r="E14" s="2"/>
      <c r="F14" s="2">
        <f>F13/63</f>
        <v>9.3968253968253974E-7</v>
      </c>
      <c r="G14" s="4" t="s">
        <v>7</v>
      </c>
      <c r="H14" s="2"/>
      <c r="I14" s="2">
        <f>I13/63</f>
        <v>9.3968253968253974E-7</v>
      </c>
      <c r="J14" s="4" t="s">
        <v>7</v>
      </c>
      <c r="K14" s="2"/>
    </row>
    <row r="15" spans="1:11" x14ac:dyDescent="0.25">
      <c r="A15" s="5" t="s">
        <v>8</v>
      </c>
      <c r="B15" s="5"/>
      <c r="C15" s="2">
        <f>C11/63</f>
        <v>6.3968253968253973E-3</v>
      </c>
      <c r="D15" s="4" t="s">
        <v>7</v>
      </c>
      <c r="E15" s="2"/>
      <c r="F15" s="2">
        <f>F11/63</f>
        <v>4.6507936507936493E-3</v>
      </c>
      <c r="G15" s="4" t="s">
        <v>7</v>
      </c>
      <c r="H15" s="2"/>
      <c r="I15" s="2">
        <f>I11/63</f>
        <v>3.5396825396825393E-3</v>
      </c>
      <c r="J15" s="4" t="s">
        <v>7</v>
      </c>
      <c r="K15" s="2"/>
    </row>
    <row r="16" spans="1:11" x14ac:dyDescent="0.25">
      <c r="A16" s="5" t="s">
        <v>9</v>
      </c>
      <c r="B16" s="5"/>
      <c r="C16" s="2">
        <f>C15/C14</f>
        <v>6807.4324324324325</v>
      </c>
      <c r="D16" s="6" t="s">
        <v>10</v>
      </c>
      <c r="E16" s="2"/>
      <c r="F16" s="2">
        <f>F15/F14</f>
        <v>4949.3243243243223</v>
      </c>
      <c r="G16" s="6" t="s">
        <v>10</v>
      </c>
      <c r="H16" s="2"/>
      <c r="I16" s="2">
        <f>I15/I14</f>
        <v>3766.8918918918912</v>
      </c>
      <c r="J16" s="6" t="s">
        <v>10</v>
      </c>
      <c r="K16" s="2"/>
    </row>
    <row r="17" spans="1:11" x14ac:dyDescent="0.25">
      <c r="A17" s="24" t="s">
        <v>35</v>
      </c>
      <c r="B17" s="7"/>
      <c r="C17" s="14">
        <v>6810</v>
      </c>
      <c r="D17" s="6"/>
      <c r="E17" s="2"/>
      <c r="F17" s="14">
        <v>4990</v>
      </c>
      <c r="G17" s="6"/>
      <c r="H17" s="2"/>
      <c r="I17" s="14">
        <v>3650</v>
      </c>
      <c r="J17" s="6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" t="s">
        <v>11</v>
      </c>
      <c r="B19" s="2"/>
      <c r="C19" s="2">
        <v>0.8</v>
      </c>
      <c r="D19" s="2"/>
      <c r="E19" s="2"/>
      <c r="F19" s="2">
        <v>0.8</v>
      </c>
      <c r="G19" s="2"/>
      <c r="H19" s="2"/>
      <c r="I19" s="2">
        <v>0.8</v>
      </c>
      <c r="J19" s="2"/>
      <c r="K19" s="2"/>
    </row>
    <row r="20" spans="1:11" x14ac:dyDescent="0.25">
      <c r="A20" s="2" t="s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5" t="s">
        <v>14</v>
      </c>
      <c r="B22" s="5"/>
      <c r="C22" s="3">
        <f>C17/((C9-C19)/C19)</f>
        <v>17980.198019801985</v>
      </c>
      <c r="D22" s="3"/>
      <c r="E22" s="3"/>
      <c r="F22" s="3">
        <f>F17/((F9-F19)/F19)</f>
        <v>13174.917491749178</v>
      </c>
      <c r="G22" s="3"/>
      <c r="H22" s="3"/>
      <c r="I22" s="3">
        <f>I17/((I9-I19)/I19)</f>
        <v>9636.9636963696394</v>
      </c>
      <c r="J22" s="2"/>
      <c r="K22" s="2"/>
    </row>
    <row r="23" spans="1:11" x14ac:dyDescent="0.25">
      <c r="A23" s="24" t="s">
        <v>36</v>
      </c>
      <c r="B23" s="7"/>
      <c r="C23" s="15">
        <v>17800</v>
      </c>
      <c r="D23" s="2"/>
      <c r="E23" s="2"/>
      <c r="F23" s="15">
        <v>13000</v>
      </c>
      <c r="G23" s="2"/>
      <c r="H23" s="2"/>
      <c r="I23" s="15">
        <v>10000</v>
      </c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1" t="s">
        <v>15</v>
      </c>
      <c r="B25" s="1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 t="s">
        <v>16</v>
      </c>
      <c r="B26" s="1"/>
      <c r="C26" s="2"/>
      <c r="D26" s="1" t="s">
        <v>29</v>
      </c>
      <c r="E26" s="2"/>
      <c r="F26" s="2"/>
      <c r="G26" s="1" t="s">
        <v>29</v>
      </c>
      <c r="H26" s="2"/>
      <c r="I26" s="2"/>
      <c r="J26" s="1" t="s">
        <v>29</v>
      </c>
      <c r="K26" s="2"/>
    </row>
    <row r="27" spans="1:11" x14ac:dyDescent="0.25">
      <c r="A27" s="8" t="s">
        <v>18</v>
      </c>
      <c r="B27" s="26">
        <v>1.103</v>
      </c>
      <c r="C27" s="16">
        <f>(C$19*(1+C$17/C$23))-(C$13*C$17*(63-63)/63)</f>
        <v>1.1060674157303372</v>
      </c>
      <c r="D27" s="17">
        <f>(C27-$B27)/$B27</f>
        <v>2.780975276824295E-3</v>
      </c>
      <c r="E27" s="17"/>
      <c r="F27" s="16">
        <f>(F$19*(1+F$17/F$23))-(F$13*F$17*(63-63)/63)</f>
        <v>1.1070769230769231</v>
      </c>
      <c r="G27" s="17">
        <f>(F27-$B27)/$B27</f>
        <v>3.6962131250435986E-3</v>
      </c>
      <c r="H27" s="17"/>
      <c r="I27" s="16">
        <f>(I$19*(1+I$17/I$23))-(I$13*I$17*(63-63)/63)</f>
        <v>1.0920000000000001</v>
      </c>
      <c r="J27" s="17">
        <f>(I27-$B27)/$B27</f>
        <v>-9.9728014505892099E-3</v>
      </c>
      <c r="K27" s="17"/>
    </row>
    <row r="28" spans="1:11" x14ac:dyDescent="0.25">
      <c r="A28" s="10" t="s">
        <v>21</v>
      </c>
      <c r="B28" s="27">
        <v>1.02</v>
      </c>
      <c r="C28" s="11">
        <f>(C$19*(1+C$17/C$23))-(C$13*C$17*(63-50)/63)</f>
        <v>1.0228773204922419</v>
      </c>
      <c r="D28" s="20">
        <f t="shared" ref="D28:D31" si="0">(C28-$B28)/$B28</f>
        <v>2.8209024433743872E-3</v>
      </c>
      <c r="E28" s="17"/>
      <c r="F28" s="11">
        <f>(F$19*(1+F$17/F$23))-(F$13*F$17*(63-50)/63)</f>
        <v>1.0461197167277168</v>
      </c>
      <c r="G28" s="20">
        <f t="shared" ref="G28:G31" si="1">(F28-$B28)/$B28</f>
        <v>2.5607565419330132E-2</v>
      </c>
      <c r="H28" s="17"/>
      <c r="I28" s="11">
        <f>(I$19*(1+I$17/I$23))-(I$13*I$17*(63-50)/63)</f>
        <v>1.0474120634920636</v>
      </c>
      <c r="J28" s="20">
        <f t="shared" ref="J28:J31" si="2">(I28-$B28)/$B28</f>
        <v>2.6874572051042742E-2</v>
      </c>
      <c r="K28" s="17"/>
    </row>
    <row r="29" spans="1:11" x14ac:dyDescent="0.25">
      <c r="A29" s="10" t="s">
        <v>20</v>
      </c>
      <c r="B29" s="27">
        <v>0.96899999999999997</v>
      </c>
      <c r="C29" s="11">
        <f>(C$19*(1+C$17/C$23))-(C$13*C$17*(63-42)/63)</f>
        <v>0.97168341573033712</v>
      </c>
      <c r="D29" s="20">
        <f t="shared" si="0"/>
        <v>2.7692628796048982E-3</v>
      </c>
      <c r="E29" s="17"/>
      <c r="F29" s="11">
        <f>(F$19*(1+F$17/F$23))-(F$13*F$17*(63-42)/63)</f>
        <v>1.0086075897435898</v>
      </c>
      <c r="G29" s="20">
        <f t="shared" si="1"/>
        <v>4.0874705617739732E-2</v>
      </c>
      <c r="H29" s="17"/>
      <c r="I29" s="11">
        <f>(I$19*(1+I$17/I$23))-(I$13*I$17*(63-42)/63)</f>
        <v>1.0199733333333334</v>
      </c>
      <c r="J29" s="20">
        <f t="shared" si="2"/>
        <v>5.2604059167526758E-2</v>
      </c>
      <c r="K29" s="17"/>
    </row>
    <row r="30" spans="1:11" x14ac:dyDescent="0.25">
      <c r="A30" s="10" t="s">
        <v>22</v>
      </c>
      <c r="B30" s="27">
        <v>0.89800000000000002</v>
      </c>
      <c r="C30" s="11">
        <f>(C$19*(1+C$17/C$23))-(C$13*C$17*(63-31)/63)</f>
        <v>0.90129179668271808</v>
      </c>
      <c r="D30" s="20">
        <f t="shared" si="0"/>
        <v>3.6656978649421629E-3</v>
      </c>
      <c r="E30" s="17"/>
      <c r="F30" s="11">
        <f>(F$19*(1+F$17/F$23))-(F$13*F$17*(63-31)/63)</f>
        <v>0.95702841514041515</v>
      </c>
      <c r="G30" s="20">
        <f t="shared" si="1"/>
        <v>6.5733201715384326E-2</v>
      </c>
      <c r="H30" s="17"/>
      <c r="I30" s="11">
        <f>(I$19*(1+I$17/I$23))-(I$13*I$17*(63-31)/63)</f>
        <v>0.98224507936507943</v>
      </c>
      <c r="J30" s="20">
        <f t="shared" si="2"/>
        <v>9.3814119560222065E-2</v>
      </c>
      <c r="K30" s="17"/>
    </row>
    <row r="31" spans="1:11" x14ac:dyDescent="0.25">
      <c r="A31" s="8" t="s">
        <v>19</v>
      </c>
      <c r="B31" s="26">
        <v>0.7</v>
      </c>
      <c r="C31" s="16">
        <f>(C$19*(1+C$17/C$23))-(C$13*C$17*(63-0)/63)</f>
        <v>0.70291541573033722</v>
      </c>
      <c r="D31" s="17">
        <f t="shared" si="0"/>
        <v>4.1648796147675249E-3</v>
      </c>
      <c r="E31" s="17"/>
      <c r="F31" s="16">
        <f>(F$19*(1+F$17/F$23))-(F$13*F$17*(63-0)/63)</f>
        <v>0.81166892307692307</v>
      </c>
      <c r="G31" s="17">
        <f t="shared" si="1"/>
        <v>0.15952703296703302</v>
      </c>
      <c r="H31" s="17"/>
      <c r="I31" s="16">
        <f>(I$19*(1+I$17/I$23))-(I$13*I$17*(63-0)/63)</f>
        <v>0.87592000000000003</v>
      </c>
      <c r="J31" s="17">
        <f t="shared" si="2"/>
        <v>0.25131428571428582</v>
      </c>
      <c r="K31" s="17"/>
    </row>
    <row r="34" spans="1:10" x14ac:dyDescent="0.25">
      <c r="A34" s="1" t="s">
        <v>30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8" t="s">
        <v>37</v>
      </c>
      <c r="B35" s="2"/>
      <c r="C35" s="29">
        <v>200000</v>
      </c>
      <c r="D35" s="2"/>
      <c r="E35" s="2"/>
      <c r="F35" s="29">
        <v>200000</v>
      </c>
      <c r="G35" s="2"/>
      <c r="H35" s="2"/>
      <c r="I35" s="29">
        <v>200000</v>
      </c>
      <c r="J35" s="2"/>
    </row>
    <row r="36" spans="1:10" x14ac:dyDescent="0.25">
      <c r="A36" s="2" t="s">
        <v>31</v>
      </c>
      <c r="B36" s="2"/>
      <c r="C36" s="2">
        <f>11.3*10^-6</f>
        <v>1.13E-5</v>
      </c>
      <c r="D36" s="2"/>
      <c r="E36" s="2"/>
      <c r="F36" s="2">
        <f>11.3*10^-6</f>
        <v>1.13E-5</v>
      </c>
      <c r="G36" s="2"/>
      <c r="H36" s="2"/>
      <c r="I36" s="2">
        <f>11.3*10^-6</f>
        <v>1.13E-5</v>
      </c>
      <c r="J36" s="2"/>
    </row>
    <row r="37" spans="1:10" x14ac:dyDescent="0.25">
      <c r="A37" s="2" t="s">
        <v>32</v>
      </c>
      <c r="B37" s="2" t="s">
        <v>34</v>
      </c>
      <c r="C37" s="28">
        <f>C19*(1+C17/C23)-C36*C17</f>
        <v>1.0291144157303371</v>
      </c>
      <c r="D37" s="2"/>
      <c r="E37" s="2"/>
      <c r="F37" s="28">
        <f>F19*(1+F17/F23)-F36*F17</f>
        <v>1.0506899230769231</v>
      </c>
      <c r="G37" s="2"/>
      <c r="H37" s="2"/>
      <c r="I37" s="28">
        <f>I19*(1+I17/I23)-I36*I17</f>
        <v>1.0507550000000001</v>
      </c>
      <c r="J37" s="2"/>
    </row>
  </sheetData>
  <mergeCells count="3">
    <mergeCell ref="C7:D7"/>
    <mergeCell ref="F7:G7"/>
    <mergeCell ref="I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Mendel</dc:creator>
  <cp:lastModifiedBy>David Mendel</cp:lastModifiedBy>
  <dcterms:created xsi:type="dcterms:W3CDTF">2012-07-24T15:52:01Z</dcterms:created>
  <dcterms:modified xsi:type="dcterms:W3CDTF">2013-02-01T23:48:10Z</dcterms:modified>
</cp:coreProperties>
</file>