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8040" yWindow="-345" windowWidth="6825" windowHeight="11640" firstSheet="1" activeTab="2"/>
  </bookViews>
  <sheets>
    <sheet name="Notes" sheetId="17" r:id="rId1"/>
    <sheet name="Instructions" sheetId="18" r:id="rId2"/>
    <sheet name="PHY CALC" sheetId="16" r:id="rId3"/>
  </sheets>
  <definedNames>
    <definedName name="CLK_PERIOD">'PHY CALC'!$E$3</definedName>
    <definedName name="FULL_CYCLE_RATIO">'PHY CALC'!$C$5</definedName>
    <definedName name="INCH_DEL">'PHY CALC'!$C$2</definedName>
    <definedName name="INVERT_CLK">'PHY CALC'!$C$4</definedName>
  </definedNames>
  <calcPr calcId="124519"/>
</workbook>
</file>

<file path=xl/calcChain.xml><?xml version="1.0" encoding="utf-8"?>
<calcChain xmlns="http://schemas.openxmlformats.org/spreadsheetml/2006/main">
  <c r="E183" i="16"/>
  <c r="E168"/>
  <c r="E153"/>
  <c r="E138"/>
  <c r="E123"/>
  <c r="E108"/>
  <c r="E93"/>
  <c r="E78"/>
  <c r="D208"/>
  <c r="D200"/>
  <c r="D192"/>
  <c r="D51"/>
  <c r="D183"/>
  <c r="D168"/>
  <c r="D153"/>
  <c r="D138"/>
  <c r="D123"/>
  <c r="D108"/>
  <c r="D93"/>
  <c r="D78"/>
  <c r="E208"/>
  <c r="E200"/>
  <c r="E25"/>
  <c r="E24"/>
  <c r="E23"/>
  <c r="E22"/>
  <c r="E21"/>
  <c r="E20"/>
  <c r="E19"/>
  <c r="E18"/>
  <c r="E17"/>
  <c r="E16"/>
  <c r="E15"/>
  <c r="E14"/>
  <c r="E13"/>
  <c r="E12"/>
  <c r="E11"/>
  <c r="E10"/>
  <c r="E9"/>
  <c r="E8"/>
  <c r="E3"/>
  <c r="E63"/>
  <c r="D63" s="1"/>
  <c r="E192"/>
  <c r="F9" l="1"/>
  <c r="E58" s="1"/>
  <c r="F11"/>
  <c r="E73" s="1"/>
  <c r="F13"/>
  <c r="E88" s="1"/>
  <c r="F15"/>
  <c r="E103" s="1"/>
  <c r="F17"/>
  <c r="E118" s="1"/>
  <c r="F19"/>
  <c r="E133" s="1"/>
  <c r="F21"/>
  <c r="E148" s="1"/>
  <c r="F25"/>
  <c r="E178" s="1"/>
  <c r="F23"/>
  <c r="E163" s="1"/>
  <c r="F8"/>
  <c r="H8" s="1"/>
  <c r="F10"/>
  <c r="G10" s="1"/>
  <c r="F14"/>
  <c r="E102" s="1"/>
  <c r="F16"/>
  <c r="G16" s="1"/>
  <c r="F18"/>
  <c r="E132" s="1"/>
  <c r="F20"/>
  <c r="H20" s="1"/>
  <c r="F22"/>
  <c r="G22" s="1"/>
  <c r="F24"/>
  <c r="G24" s="1"/>
  <c r="G8"/>
  <c r="I10"/>
  <c r="I20"/>
  <c r="I22"/>
  <c r="H14"/>
  <c r="I12"/>
  <c r="I14"/>
  <c r="I24"/>
  <c r="I18"/>
  <c r="F12"/>
  <c r="G12" s="1"/>
  <c r="I16"/>
  <c r="I8"/>
  <c r="E104"/>
  <c r="E109" s="1"/>
  <c r="E110" s="1"/>
  <c r="G20" l="1"/>
  <c r="G18"/>
  <c r="E57"/>
  <c r="E60" s="1"/>
  <c r="H16"/>
  <c r="E135"/>
  <c r="E141" s="1"/>
  <c r="E142" s="1"/>
  <c r="H18"/>
  <c r="H22"/>
  <c r="G14"/>
  <c r="E105"/>
  <c r="E111" s="1"/>
  <c r="E112" s="1"/>
  <c r="D110"/>
  <c r="D33" s="1"/>
  <c r="E33" s="1"/>
  <c r="D109"/>
  <c r="E72"/>
  <c r="E147"/>
  <c r="E149" s="1"/>
  <c r="E154" s="1"/>
  <c r="E155" s="1"/>
  <c r="H24"/>
  <c r="E162"/>
  <c r="E134"/>
  <c r="E139" s="1"/>
  <c r="E140" s="1"/>
  <c r="E177"/>
  <c r="H10"/>
  <c r="E117"/>
  <c r="F5"/>
  <c r="H12"/>
  <c r="E87"/>
  <c r="E59" l="1"/>
  <c r="E66"/>
  <c r="D66" s="1"/>
  <c r="E64"/>
  <c r="D64" s="1"/>
  <c r="D111"/>
  <c r="D112"/>
  <c r="D44" s="1"/>
  <c r="E44" s="1"/>
  <c r="E120"/>
  <c r="E126" s="1"/>
  <c r="E127" s="1"/>
  <c r="E75"/>
  <c r="E81" s="1"/>
  <c r="E82" s="1"/>
  <c r="E90"/>
  <c r="E96" s="1"/>
  <c r="E97" s="1"/>
  <c r="E179"/>
  <c r="E184" s="1"/>
  <c r="E185" s="1"/>
  <c r="E180"/>
  <c r="E186" s="1"/>
  <c r="E187" s="1"/>
  <c r="E165"/>
  <c r="E171" s="1"/>
  <c r="E172" s="1"/>
  <c r="E150"/>
  <c r="E156" s="1"/>
  <c r="E157" s="1"/>
  <c r="F6"/>
  <c r="E74"/>
  <c r="E79" s="1"/>
  <c r="E80" s="1"/>
  <c r="F4"/>
  <c r="E164"/>
  <c r="E169" s="1"/>
  <c r="E170" s="1"/>
  <c r="D141"/>
  <c r="E119"/>
  <c r="E124" s="1"/>
  <c r="E125" s="1"/>
  <c r="E89"/>
  <c r="E94" s="1"/>
  <c r="E95" s="1"/>
  <c r="E67" l="1"/>
  <c r="D67" s="1"/>
  <c r="D47" s="1"/>
  <c r="E47" s="1"/>
  <c r="E65"/>
  <c r="D65" s="1"/>
  <c r="D36" s="1"/>
  <c r="E36" s="1"/>
  <c r="D156"/>
  <c r="D171"/>
  <c r="D96"/>
  <c r="D97"/>
  <c r="D45" s="1"/>
  <c r="E45" s="1"/>
  <c r="D126"/>
  <c r="D127"/>
  <c r="D43" s="1"/>
  <c r="E43" s="1"/>
  <c r="D95"/>
  <c r="D34" s="1"/>
  <c r="E34" s="1"/>
  <c r="D94"/>
  <c r="D80"/>
  <c r="D35" s="1"/>
  <c r="E35" s="1"/>
  <c r="D79"/>
  <c r="D82"/>
  <c r="D46" s="1"/>
  <c r="E46" s="1"/>
  <c r="D81"/>
  <c r="D139"/>
  <c r="D169"/>
  <c r="D154"/>
  <c r="D184"/>
  <c r="E201"/>
  <c r="D201" s="1"/>
  <c r="D142"/>
  <c r="D42" s="1"/>
  <c r="E42" s="1"/>
  <c r="D172"/>
  <c r="D40" s="1"/>
  <c r="E40" s="1"/>
  <c r="D157"/>
  <c r="D41" s="1"/>
  <c r="E41" s="1"/>
  <c r="D186"/>
  <c r="E203"/>
  <c r="D203" s="1"/>
  <c r="E211"/>
  <c r="D211" s="1"/>
  <c r="E209"/>
  <c r="D209" s="1"/>
  <c r="E193"/>
  <c r="D193" s="1"/>
  <c r="E195"/>
  <c r="D195" s="1"/>
  <c r="D187" l="1"/>
  <c r="D48" s="1"/>
  <c r="E48" s="1"/>
  <c r="D185"/>
  <c r="D37" s="1"/>
  <c r="E37" s="1"/>
  <c r="D155"/>
  <c r="D30" s="1"/>
  <c r="E30" s="1"/>
  <c r="D170"/>
  <c r="D29" s="1"/>
  <c r="E29" s="1"/>
  <c r="D140"/>
  <c r="D31" s="1"/>
  <c r="E31" s="1"/>
  <c r="D124"/>
  <c r="E202"/>
  <c r="D202" s="1"/>
  <c r="E194"/>
  <c r="D194" s="1"/>
  <c r="E210"/>
  <c r="D210" s="1"/>
  <c r="D125" l="1"/>
  <c r="D32" s="1"/>
  <c r="E32" s="1"/>
</calcChain>
</file>

<file path=xl/sharedStrings.xml><?xml version="1.0" encoding="utf-8"?>
<sst xmlns="http://schemas.openxmlformats.org/spreadsheetml/2006/main" count="288" uniqueCount="154">
  <si>
    <t>MHz</t>
  </si>
  <si>
    <t>DQS0</t>
  </si>
  <si>
    <t>DQS1</t>
  </si>
  <si>
    <t>DQS2</t>
  </si>
  <si>
    <t>DQS3</t>
  </si>
  <si>
    <t>ps</t>
  </si>
  <si>
    <t>Delay (ps)</t>
  </si>
  <si>
    <t>DDR Clock Frequency</t>
  </si>
  <si>
    <t>Using Invert Clock</t>
  </si>
  <si>
    <t>Full Cycle Ratio</t>
  </si>
  <si>
    <t>CK_0</t>
  </si>
  <si>
    <t>CK_1</t>
  </si>
  <si>
    <t>CK_2</t>
  </si>
  <si>
    <t>CK_3</t>
  </si>
  <si>
    <t>Byte Lane 0 - Data Macro 7</t>
  </si>
  <si>
    <t>Byte Lane 1 - Data Macro 6</t>
  </si>
  <si>
    <t>Byte Lane 2 - Data Macro 5</t>
  </si>
  <si>
    <t>Byte Lane 3 - Data Macro 4</t>
  </si>
  <si>
    <t>ECC Byte Lane - Data Macro 8</t>
  </si>
  <si>
    <t>Byte Lane 7 - Data Macro 0</t>
  </si>
  <si>
    <t>Byte Lane 4 - Data Macro 3</t>
  </si>
  <si>
    <t>Byte Lane 5 - Data Macro 2</t>
  </si>
  <si>
    <t>Byte Lane 6 - Data Macro 1</t>
  </si>
  <si>
    <t>DQS4</t>
  </si>
  <si>
    <t>CK_4</t>
  </si>
  <si>
    <t>DQS5</t>
  </si>
  <si>
    <t>CK_5</t>
  </si>
  <si>
    <t>DQS6</t>
  </si>
  <si>
    <t>CK_6</t>
  </si>
  <si>
    <t>DQS7</t>
  </si>
  <si>
    <t>CK_7</t>
  </si>
  <si>
    <t>DQS_ECC</t>
  </si>
  <si>
    <t>CK_ECC</t>
  </si>
  <si>
    <t>Note: Only change cells highlighted in yellow.</t>
  </si>
  <si>
    <t>DATA0_GTLVL_INIT_RATIO</t>
  </si>
  <si>
    <t>0x0262043C</t>
  </si>
  <si>
    <t>0x0262040C</t>
  </si>
  <si>
    <t>DATA1_GTLVL_INIT_RATIO</t>
  </si>
  <si>
    <t>0x02620410</t>
  </si>
  <si>
    <t>0x02620440</t>
  </si>
  <si>
    <t>DATA2_GTLVL_INIT_RATIO</t>
  </si>
  <si>
    <t>0x02620414</t>
  </si>
  <si>
    <t>0x02620444</t>
  </si>
  <si>
    <t>DATA3_GTLVL_INIT_RATIO</t>
  </si>
  <si>
    <t>0x02620418</t>
  </si>
  <si>
    <t>0x02620448</t>
  </si>
  <si>
    <t>DATA4_GTLVL_INIT_RATIO</t>
  </si>
  <si>
    <t>0x0262041C</t>
  </si>
  <si>
    <t>0x0262044C</t>
  </si>
  <si>
    <t>0x02620420</t>
  </si>
  <si>
    <t>0x02620450</t>
  </si>
  <si>
    <t>DATA5_GTLVL_INIT_RATIO</t>
  </si>
  <si>
    <t>DATA6_GTLVL_INIT_RATIO</t>
  </si>
  <si>
    <t>0x02620424</t>
  </si>
  <si>
    <t>0x02620454</t>
  </si>
  <si>
    <t>DATA7_GTLVL_INIT_RATIO</t>
  </si>
  <si>
    <t>0x02620428</t>
  </si>
  <si>
    <t>0x02620458</t>
  </si>
  <si>
    <t>DATA8_GTLVL_INIT_RATIO</t>
  </si>
  <si>
    <t>0x0262042C</t>
  </si>
  <si>
    <t>0x0262045C</t>
  </si>
  <si>
    <t>Delay delta between Clock and DQS at DRAM</t>
  </si>
  <si>
    <t>Read Data sampling offset</t>
  </si>
  <si>
    <t>WRLVL_INIT_RATIO</t>
  </si>
  <si>
    <t>GTLVL_INIT_RATIO</t>
  </si>
  <si>
    <t>DDR3 PHY Calculations</t>
  </si>
  <si>
    <t>Tom Johnson</t>
  </si>
  <si>
    <t>Version 1.0</t>
  </si>
  <si>
    <t>Compute initial values for DDR3 autoleveling</t>
  </si>
  <si>
    <t>Register</t>
  </si>
  <si>
    <t>Address</t>
  </si>
  <si>
    <t>Name:</t>
  </si>
  <si>
    <t>Purpose:</t>
  </si>
  <si>
    <t>Revision History:</t>
  </si>
  <si>
    <t>0x02620434</t>
  </si>
  <si>
    <t>DDR3_CONFIG_REG_12 OR Mask</t>
  </si>
  <si>
    <t>Version 2.0</t>
  </si>
  <si>
    <t>(This indicates Invert_Clock_Out is required.  Please refer to the DDR3 User Guide for more information.)</t>
  </si>
  <si>
    <t>Simplify equations</t>
  </si>
  <si>
    <t>Add Purpose and Instructions</t>
  </si>
  <si>
    <t>Version 3.0</t>
  </si>
  <si>
    <t>Add Fixed delay</t>
  </si>
  <si>
    <t>Instructions to determine initial values for leveling:</t>
  </si>
  <si>
    <t>Instructions to determine fixed values when leveling is disabled:</t>
  </si>
  <si>
    <t>1.  Follow steps 1 through 7 above.</t>
  </si>
  <si>
    <t>1.  Calculate the stripline signal propagation delay in picoseconds per inch and enter in cell C2.</t>
  </si>
  <si>
    <t>2.  Enter the DDR3 Clock Frequency in cell C3 - note that this is half the data rate (i.e. 667MHz for DDR3-1333).</t>
  </si>
  <si>
    <t>3.  Enter a 0 in the cell C4 to indicate Invert_Clock_Out is not active.</t>
  </si>
  <si>
    <t>7.  If any values in the F column rows 8 through 25 are negative (shown in red) then place a 1 in cell C3.</t>
  </si>
  <si>
    <t>9.  Initial values for WRLVL_INIT_RATIO and GTLVL_INIT_RATIO are shown in rows 29 to 48.  Place these in the initializion routine.</t>
  </si>
  <si>
    <t>2.  The register value in row 51 indicates the register bit mask for INV_CLKOUT.</t>
  </si>
  <si>
    <t>DATA0_WRLVL_INIT_RATIO</t>
  </si>
  <si>
    <t>DATA1_WRLVL_INIT_RATIO</t>
  </si>
  <si>
    <t>DATA2_WRLVL_INIT_RATIO</t>
  </si>
  <si>
    <t>DATA3_WRLVL_INIT_RATIO</t>
  </si>
  <si>
    <t>DATA4_WRLVL_INIT_RATIO</t>
  </si>
  <si>
    <t>DATA5_WRLVL_INIT_RATIO</t>
  </si>
  <si>
    <t>DATA6_WRLVL_INIT_RATIO</t>
  </si>
  <si>
    <t>DATA7_WRLVL_INIT_RATIO</t>
  </si>
  <si>
    <t>DATA8_WRLVL_INIT_RATIO</t>
  </si>
  <si>
    <t>WR_DQS_SLAVE_RATIO</t>
  </si>
  <si>
    <t>RD_DQS_SLAVE_RATIO</t>
  </si>
  <si>
    <t>WR_DATA_SLAVE_RATIO</t>
  </si>
  <si>
    <t>FIFO_WE_SLAVE_RATIO</t>
  </si>
  <si>
    <t>Register Field</t>
  </si>
  <si>
    <t>Version 4.0</t>
  </si>
  <si>
    <t>Corrected negative results</t>
  </si>
  <si>
    <t>Version 5.0</t>
  </si>
  <si>
    <t>Update limit rules</t>
  </si>
  <si>
    <t>Routing Limits</t>
  </si>
  <si>
    <t>Clock minus Data Strobe Max Delay = 2500ps - INV_CLKOUT * 0.5 * CLOCK_PERIOD</t>
  </si>
  <si>
    <t>Clock minus Data Strobe Min Delay = 0.25 * CLOCK_PERIOD - INV_CLKOUT * 0.5 * CLOCK_PERIOD</t>
  </si>
  <si>
    <t>This spreadsheet can be used to compute the initial values needed for DDR3 initialization routines written for Keystone devices.  The DDR3 leveling circuitry must be initialized with values based on the PCB implementation and the clock speed.  This spreadsheet currently only supports single-rank memory implentations.</t>
  </si>
  <si>
    <t>Version 6.0</t>
  </si>
  <si>
    <t>Version 7.0</t>
  </si>
  <si>
    <t>Correct numbering of byte lanes</t>
  </si>
  <si>
    <t>Version 8.0</t>
  </si>
  <si>
    <t>Formatting changes for release</t>
  </si>
  <si>
    <t>Version 9.0</t>
  </si>
  <si>
    <t>Add compensation for microstrip</t>
  </si>
  <si>
    <t xml:space="preserve">Formatting </t>
  </si>
  <si>
    <t>Corrected unused data 4 formula</t>
  </si>
  <si>
    <t>Microstrip length (inches)</t>
  </si>
  <si>
    <t>Stripline length (inches)</t>
  </si>
  <si>
    <t>Stripline Delay per inch</t>
  </si>
  <si>
    <t>Clock Periods</t>
  </si>
  <si>
    <t>Update instructions</t>
  </si>
  <si>
    <t>Copyright (C) 2011, 2012 Texas Instruments Incorporated</t>
  </si>
  <si>
    <t>(Calculate from PCB dielectric constant (approximately=84.6*SQRT(Dk)) - around 170 for standard FR4 boards).</t>
  </si>
  <si>
    <t>Note that the Analysis ToolPak Add-In must be installed for the hexadecimal values to be correctly displayed.</t>
  </si>
  <si>
    <t>Version 10.0</t>
  </si>
  <si>
    <t>Implement quarter clock offset</t>
  </si>
  <si>
    <t>Round Trip Delay (Clock + DQS delay)</t>
  </si>
  <si>
    <t>Fixed Ratio Values - 72 bit (with ECC)</t>
  </si>
  <si>
    <t>Fixed Ratio Values - 64 bit, No ECC</t>
  </si>
  <si>
    <t>Fixed Ratio Values - 32 bit, No ECC</t>
  </si>
  <si>
    <t>Note that this spreadsheet currently only computes fixed values for x72, x64 and x32 topologies.  Spreadsheet changes will be needed for other topologies.</t>
  </si>
  <si>
    <t>4.  Enter the routed length of the microstrip portion of the DQS pair for byte lane 0 in cell C8 (in inches) and the routed length of the stripline portion of the DQS pair for byte lane 0 in cell D8 (in inches).  If the split is not known, enter the entire length in cell D8 (in inches).</t>
  </si>
  <si>
    <t>5.  The routed length of the Clock for byte lane 0 as measured from the DSP to the DRAM is entered in cells C9 and D9.  The microstrip portion is entered in cell C9 (in inches) and the stripline portion is entered in cell D9 (in inches).  If the split is not known, enter the entire length in cell D9 (in inches).</t>
  </si>
  <si>
    <t>6.  Repeat steps #4 and #5 for the remainder of the byte lanes on the board (unused byte lanes have Clock and DQS length set equal to 0).</t>
  </si>
  <si>
    <t>Max Single Rank Round Trip Delay = 2.75 * CLOCK_PERIOD - tDQSCK - INV_CLKOUT * 0.5 * CLOCK_PERIOD</t>
  </si>
  <si>
    <t>Lower Routing Limit Test</t>
  </si>
  <si>
    <t>Round Trip Delay (ps)</t>
  </si>
  <si>
    <t>Clock minus Data Strobe Delay (ps)</t>
  </si>
  <si>
    <t>Hex Value</t>
  </si>
  <si>
    <t>Decimal Value</t>
  </si>
  <si>
    <t>Clock Period</t>
  </si>
  <si>
    <t>DQS Delay</t>
  </si>
  <si>
    <t>Clock Delay</t>
  </si>
  <si>
    <t>Clock Delay Minus DQS Delay</t>
  </si>
  <si>
    <t>Clock Delay Plus DQS Delay</t>
  </si>
  <si>
    <t>3.  The fixed values for the leveling registers are shown in rows 190 to 211.</t>
  </si>
  <si>
    <t>8.  The register value in row 51 indicates the register bit mask for Invert_Clock_Out.</t>
  </si>
  <si>
    <t>Revise formatting for clarity</t>
  </si>
</sst>
</file>

<file path=xl/styles.xml><?xml version="1.0" encoding="utf-8"?>
<styleSheet xmlns="http://schemas.openxmlformats.org/spreadsheetml/2006/main">
  <numFmts count="2">
    <numFmt numFmtId="164" formatCode="0.000"/>
    <numFmt numFmtId="165" formatCode="0_);[Red]\(0\)"/>
  </numFmts>
  <fonts count="14">
    <font>
      <sz val="10"/>
      <name val="Arial"/>
    </font>
    <font>
      <sz val="11"/>
      <color theme="1"/>
      <name val="Calibri"/>
      <family val="2"/>
      <scheme val="minor"/>
    </font>
    <font>
      <sz val="8"/>
      <name val="Arial"/>
      <family val="2"/>
    </font>
    <font>
      <b/>
      <sz val="10"/>
      <name val="Arial"/>
      <family val="2"/>
    </font>
    <font>
      <b/>
      <sz val="10"/>
      <color indexed="10"/>
      <name val="Arial"/>
      <family val="2"/>
    </font>
    <font>
      <sz val="10"/>
      <name val="Arial"/>
      <family val="2"/>
    </font>
    <font>
      <b/>
      <sz val="10"/>
      <color indexed="8"/>
      <name val="Arial"/>
      <family val="2"/>
    </font>
    <font>
      <sz val="11"/>
      <color theme="1"/>
      <name val="Calibri"/>
      <family val="2"/>
      <scheme val="minor"/>
    </font>
    <font>
      <b/>
      <sz val="10"/>
      <color rgb="FFFF0000"/>
      <name val="Arial"/>
      <family val="2"/>
    </font>
    <font>
      <sz val="10"/>
      <color rgb="FFFF0000"/>
      <name val="Arial"/>
      <family val="2"/>
    </font>
    <font>
      <sz val="10"/>
      <color indexed="8"/>
      <name val="Arial"/>
      <family val="2"/>
    </font>
    <font>
      <sz val="11"/>
      <color indexed="8"/>
      <name val="Calibri"/>
      <family val="2"/>
      <charset val="1"/>
    </font>
    <font>
      <b/>
      <sz val="11"/>
      <color indexed="8"/>
      <name val="Calibri"/>
      <family val="2"/>
    </font>
    <font>
      <b/>
      <sz val="11"/>
      <color indexed="8"/>
      <name val="Calibri"/>
      <family val="2"/>
      <charset val="1"/>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7" fillId="0" borderId="0"/>
    <xf numFmtId="0" fontId="5" fillId="0" borderId="0"/>
    <xf numFmtId="0" fontId="1" fillId="0" borderId="0"/>
    <xf numFmtId="0" fontId="11" fillId="0" borderId="0"/>
  </cellStyleXfs>
  <cellXfs count="94">
    <xf numFmtId="0" fontId="0" fillId="0" borderId="0" xfId="0"/>
    <xf numFmtId="0" fontId="0" fillId="0" borderId="0" xfId="0" applyAlignment="1">
      <alignment wrapText="1"/>
    </xf>
    <xf numFmtId="0" fontId="0" fillId="0" borderId="0" xfId="0" applyAlignment="1">
      <alignment horizontal="center"/>
    </xf>
    <xf numFmtId="0" fontId="0" fillId="0" borderId="0" xfId="0" applyProtection="1">
      <protection hidden="1"/>
    </xf>
    <xf numFmtId="0" fontId="0" fillId="0" borderId="0" xfId="0" applyAlignment="1" applyProtection="1">
      <alignment wrapText="1"/>
      <protection hidden="1"/>
    </xf>
    <xf numFmtId="0" fontId="3" fillId="0" borderId="0" xfId="0" applyFont="1" applyAlignment="1" applyProtection="1">
      <alignment wrapText="1"/>
      <protection hidden="1"/>
    </xf>
    <xf numFmtId="0" fontId="0" fillId="0" borderId="0" xfId="0" applyAlignment="1" applyProtection="1">
      <alignment horizontal="left" wrapText="1"/>
      <protection hidden="1"/>
    </xf>
    <xf numFmtId="0" fontId="0" fillId="0" borderId="0" xfId="0" applyAlignment="1" applyProtection="1">
      <alignment horizontal="center"/>
      <protection hidden="1"/>
    </xf>
    <xf numFmtId="0" fontId="3" fillId="0" borderId="0" xfId="0" applyFont="1" applyAlignment="1" applyProtection="1">
      <alignment horizontal="left"/>
      <protection hidden="1"/>
    </xf>
    <xf numFmtId="0" fontId="3" fillId="0" borderId="0" xfId="0" applyFont="1" applyAlignment="1" applyProtection="1">
      <alignment horizontal="center"/>
      <protection hidden="1"/>
    </xf>
    <xf numFmtId="14" fontId="0" fillId="0" borderId="0" xfId="0" applyNumberFormat="1" applyAlignment="1" applyProtection="1">
      <alignment horizontal="center"/>
      <protection hidden="1"/>
    </xf>
    <xf numFmtId="0" fontId="3" fillId="0" borderId="0" xfId="0" applyFont="1" applyProtection="1"/>
    <xf numFmtId="0" fontId="3" fillId="0" borderId="0" xfId="0" applyFont="1" applyAlignment="1" applyProtection="1">
      <alignment horizontal="right" wrapText="1"/>
    </xf>
    <xf numFmtId="0" fontId="3" fillId="0" borderId="1" xfId="0" applyFont="1" applyBorder="1" applyAlignment="1" applyProtection="1">
      <alignment horizontal="center"/>
    </xf>
    <xf numFmtId="164" fontId="3" fillId="0" borderId="2" xfId="0" applyNumberFormat="1" applyFont="1" applyFill="1" applyBorder="1" applyAlignment="1" applyProtection="1">
      <alignment horizontal="center"/>
    </xf>
    <xf numFmtId="0" fontId="3" fillId="0" borderId="3" xfId="0" applyFont="1" applyBorder="1" applyAlignment="1" applyProtection="1">
      <alignment horizontal="center"/>
    </xf>
    <xf numFmtId="164" fontId="3" fillId="0" borderId="0" xfId="0" applyNumberFormat="1" applyFont="1" applyFill="1" applyBorder="1" applyAlignment="1" applyProtection="1">
      <alignment horizontal="center"/>
    </xf>
    <xf numFmtId="0" fontId="5" fillId="0" borderId="0" xfId="0" applyFont="1" applyAlignment="1" applyProtection="1">
      <alignment horizontal="right"/>
    </xf>
    <xf numFmtId="0" fontId="5" fillId="0" borderId="0" xfId="0" applyFont="1" applyProtection="1"/>
    <xf numFmtId="164" fontId="5" fillId="0" borderId="0" xfId="0" applyNumberFormat="1" applyFont="1" applyProtection="1"/>
    <xf numFmtId="0" fontId="5" fillId="0" borderId="0" xfId="0" applyFont="1" applyProtection="1">
      <protection hidden="1"/>
    </xf>
    <xf numFmtId="0" fontId="5" fillId="0" borderId="0" xfId="0" applyFont="1" applyAlignment="1" applyProtection="1">
      <alignment wrapText="1"/>
      <protection hidden="1"/>
    </xf>
    <xf numFmtId="0" fontId="6" fillId="0" borderId="0" xfId="1" applyFont="1" applyAlignment="1" applyProtection="1">
      <alignment horizontal="left"/>
    </xf>
    <xf numFmtId="0" fontId="4" fillId="0" borderId="0" xfId="0" applyFont="1" applyProtection="1">
      <protection hidden="1"/>
    </xf>
    <xf numFmtId="0" fontId="8" fillId="0" borderId="0" xfId="0" applyFont="1" applyProtection="1">
      <protection hidden="1"/>
    </xf>
    <xf numFmtId="164" fontId="9" fillId="0" borderId="0" xfId="0" applyNumberFormat="1" applyFont="1" applyProtection="1"/>
    <xf numFmtId="0" fontId="9" fillId="0" borderId="0" xfId="0" applyFont="1" applyAlignment="1" applyProtection="1">
      <alignment horizontal="right"/>
    </xf>
    <xf numFmtId="0" fontId="9" fillId="0" borderId="0" xfId="0" applyFont="1" applyProtection="1"/>
    <xf numFmtId="0" fontId="5" fillId="0" borderId="0" xfId="0" applyFont="1" applyBorder="1" applyAlignment="1" applyProtection="1">
      <alignment horizontal="center"/>
    </xf>
    <xf numFmtId="0" fontId="5" fillId="0" borderId="0" xfId="0" applyFont="1" applyBorder="1" applyAlignment="1" applyProtection="1">
      <alignment horizontal="center"/>
      <protection hidden="1"/>
    </xf>
    <xf numFmtId="164" fontId="5" fillId="0" borderId="0" xfId="0" applyNumberFormat="1" applyFont="1" applyFill="1" applyBorder="1" applyProtection="1"/>
    <xf numFmtId="1" fontId="5" fillId="0" borderId="0" xfId="0" applyNumberFormat="1" applyFont="1" applyProtection="1">
      <protection hidden="1"/>
    </xf>
    <xf numFmtId="164" fontId="5" fillId="0" borderId="0" xfId="0" applyNumberFormat="1" applyFont="1" applyFill="1" applyBorder="1" applyAlignment="1" applyProtection="1">
      <alignment horizontal="center"/>
    </xf>
    <xf numFmtId="164" fontId="5" fillId="0" borderId="0" xfId="0" applyNumberFormat="1" applyFont="1" applyProtection="1">
      <protection hidden="1"/>
    </xf>
    <xf numFmtId="164" fontId="3" fillId="0" borderId="0" xfId="0" applyNumberFormat="1" applyFont="1" applyFill="1" applyBorder="1" applyAlignment="1" applyProtection="1">
      <alignment horizontal="center"/>
      <protection hidden="1"/>
    </xf>
    <xf numFmtId="1" fontId="3" fillId="0" borderId="7" xfId="0" applyNumberFormat="1" applyFont="1" applyFill="1" applyBorder="1" applyAlignment="1" applyProtection="1">
      <alignment horizontal="center"/>
      <protection hidden="1"/>
    </xf>
    <xf numFmtId="1" fontId="5" fillId="0" borderId="4" xfId="0" applyNumberFormat="1" applyFont="1" applyBorder="1" applyAlignment="1" applyProtection="1">
      <alignment horizontal="center"/>
      <protection hidden="1"/>
    </xf>
    <xf numFmtId="1" fontId="3" fillId="0" borderId="4" xfId="0" applyNumberFormat="1" applyFont="1" applyFill="1" applyBorder="1" applyAlignment="1" applyProtection="1">
      <alignment horizontal="center"/>
      <protection hidden="1"/>
    </xf>
    <xf numFmtId="164" fontId="5" fillId="0" borderId="4" xfId="0" applyNumberFormat="1" applyFont="1" applyFill="1" applyBorder="1" applyProtection="1"/>
    <xf numFmtId="164" fontId="3" fillId="0" borderId="4" xfId="0" applyNumberFormat="1" applyFont="1" applyFill="1" applyBorder="1" applyAlignment="1" applyProtection="1">
      <alignment horizontal="center"/>
    </xf>
    <xf numFmtId="164" fontId="5" fillId="0" borderId="4" xfId="0" applyNumberFormat="1" applyFont="1" applyFill="1" applyBorder="1" applyAlignment="1" applyProtection="1">
      <alignment horizontal="center"/>
    </xf>
    <xf numFmtId="164" fontId="5" fillId="0" borderId="8" xfId="0" applyNumberFormat="1" applyFont="1" applyFill="1" applyBorder="1" applyAlignment="1" applyProtection="1">
      <alignment horizontal="center"/>
    </xf>
    <xf numFmtId="0" fontId="5" fillId="0" borderId="3" xfId="0" applyFont="1" applyBorder="1" applyAlignment="1" applyProtection="1">
      <protection hidden="1"/>
    </xf>
    <xf numFmtId="0" fontId="5" fillId="0" borderId="0" xfId="0" applyFont="1" applyBorder="1" applyAlignment="1" applyProtection="1">
      <protection hidden="1"/>
    </xf>
    <xf numFmtId="0" fontId="5" fillId="0" borderId="5" xfId="0" applyFont="1" applyBorder="1" applyAlignment="1" applyProtection="1">
      <protection hidden="1"/>
    </xf>
    <xf numFmtId="0" fontId="5" fillId="0" borderId="6" xfId="0" applyFont="1" applyBorder="1" applyAlignment="1" applyProtection="1">
      <protection hidden="1"/>
    </xf>
    <xf numFmtId="0" fontId="5" fillId="0" borderId="6" xfId="0" applyFont="1" applyBorder="1" applyAlignment="1" applyProtection="1">
      <alignment horizontal="center"/>
      <protection hidden="1"/>
    </xf>
    <xf numFmtId="0" fontId="5" fillId="0" borderId="4" xfId="0" applyFont="1" applyBorder="1" applyAlignment="1" applyProtection="1">
      <alignment horizontal="center"/>
      <protection hidden="1"/>
    </xf>
    <xf numFmtId="0" fontId="5" fillId="0" borderId="8" xfId="0" applyFont="1" applyBorder="1" applyAlignment="1" applyProtection="1">
      <alignment horizontal="center"/>
      <protection hidden="1"/>
    </xf>
    <xf numFmtId="164" fontId="5" fillId="0" borderId="4" xfId="0" applyNumberFormat="1" applyFont="1" applyBorder="1" applyAlignment="1" applyProtection="1">
      <alignment horizontal="center"/>
      <protection hidden="1"/>
    </xf>
    <xf numFmtId="0" fontId="3" fillId="0" borderId="0" xfId="0" applyFont="1" applyBorder="1" applyAlignment="1" applyProtection="1">
      <alignment horizontal="center"/>
      <protection hidden="1"/>
    </xf>
    <xf numFmtId="0" fontId="5" fillId="0" borderId="3" xfId="0" applyFont="1" applyBorder="1" applyAlignment="1" applyProtection="1">
      <alignment horizontal="center"/>
      <protection hidden="1"/>
    </xf>
    <xf numFmtId="0" fontId="5" fillId="0" borderId="0" xfId="0" applyFont="1" applyBorder="1" applyProtection="1"/>
    <xf numFmtId="0" fontId="10" fillId="0" borderId="3" xfId="0" applyFont="1" applyBorder="1" applyAlignment="1" applyProtection="1">
      <alignment horizontal="left" vertical="center"/>
    </xf>
    <xf numFmtId="0" fontId="5" fillId="3" borderId="0" xfId="0" applyFont="1" applyFill="1" applyBorder="1" applyAlignment="1" applyProtection="1">
      <alignment horizontal="center"/>
    </xf>
    <xf numFmtId="0" fontId="5" fillId="0" borderId="4" xfId="0" applyFont="1" applyFill="1" applyBorder="1" applyAlignment="1" applyProtection="1">
      <alignment horizontal="center"/>
    </xf>
    <xf numFmtId="0" fontId="10" fillId="0" borderId="5" xfId="0" applyFont="1" applyBorder="1" applyAlignment="1" applyProtection="1">
      <alignment horizontal="left" vertical="center"/>
    </xf>
    <xf numFmtId="0" fontId="5" fillId="0" borderId="6" xfId="0" applyFont="1" applyBorder="1" applyProtection="1"/>
    <xf numFmtId="0" fontId="5" fillId="3" borderId="6" xfId="0" applyFont="1" applyFill="1" applyBorder="1" applyAlignment="1" applyProtection="1">
      <alignment horizontal="center"/>
    </xf>
    <xf numFmtId="0" fontId="5" fillId="0" borderId="8" xfId="0" applyFont="1" applyFill="1" applyBorder="1" applyAlignment="1" applyProtection="1">
      <alignment horizontal="center"/>
    </xf>
    <xf numFmtId="0" fontId="5" fillId="0" borderId="0" xfId="0" applyFont="1" applyBorder="1" applyAlignment="1" applyProtection="1"/>
    <xf numFmtId="0" fontId="5" fillId="2" borderId="0" xfId="0" applyFont="1" applyFill="1" applyProtection="1">
      <protection locked="0"/>
    </xf>
    <xf numFmtId="1" fontId="5" fillId="0" borderId="0" xfId="0" applyNumberFormat="1" applyFont="1" applyProtection="1"/>
    <xf numFmtId="0" fontId="5" fillId="0" borderId="0" xfId="0" applyFont="1" applyAlignment="1" applyProtection="1">
      <alignment wrapText="1"/>
    </xf>
    <xf numFmtId="164" fontId="5" fillId="2" borderId="0" xfId="0" applyNumberFormat="1" applyFont="1" applyFill="1" applyProtection="1">
      <protection locked="0"/>
    </xf>
    <xf numFmtId="1" fontId="5" fillId="0" borderId="0" xfId="0" applyNumberFormat="1" applyFont="1" applyFill="1" applyProtection="1">
      <protection hidden="1"/>
    </xf>
    <xf numFmtId="165" fontId="5" fillId="0" borderId="0" xfId="0" applyNumberFormat="1" applyFont="1" applyProtection="1">
      <protection hidden="1"/>
    </xf>
    <xf numFmtId="165" fontId="5" fillId="0" borderId="0" xfId="0" applyNumberFormat="1" applyFont="1" applyAlignment="1" applyProtection="1">
      <alignment horizontal="right"/>
      <protection hidden="1"/>
    </xf>
    <xf numFmtId="164" fontId="5" fillId="0" borderId="0" xfId="0" applyNumberFormat="1" applyFont="1" applyFill="1" applyProtection="1"/>
    <xf numFmtId="1" fontId="5" fillId="0" borderId="0" xfId="0" applyNumberFormat="1" applyFont="1" applyFill="1" applyProtection="1"/>
    <xf numFmtId="0" fontId="5" fillId="0" borderId="3" xfId="0" applyFont="1" applyBorder="1" applyAlignment="1" applyProtection="1">
      <alignment horizontal="left"/>
    </xf>
    <xf numFmtId="0" fontId="5" fillId="3" borderId="0" xfId="0" applyFont="1" applyFill="1" applyBorder="1" applyAlignment="1" applyProtection="1">
      <alignment horizontal="center"/>
      <protection hidden="1"/>
    </xf>
    <xf numFmtId="164" fontId="5" fillId="0" borderId="0" xfId="0" applyNumberFormat="1" applyFont="1" applyFill="1" applyBorder="1" applyProtection="1">
      <protection hidden="1"/>
    </xf>
    <xf numFmtId="0" fontId="5" fillId="0" borderId="3" xfId="0" applyFont="1" applyBorder="1" applyProtection="1"/>
    <xf numFmtId="0" fontId="5" fillId="0" borderId="5" xfId="0" applyFont="1" applyBorder="1" applyProtection="1"/>
    <xf numFmtId="164" fontId="5" fillId="0" borderId="6" xfId="0" applyNumberFormat="1" applyFont="1" applyFill="1" applyBorder="1" applyAlignment="1" applyProtection="1">
      <alignment horizontal="center"/>
    </xf>
    <xf numFmtId="164" fontId="5" fillId="0" borderId="0" xfId="0" applyNumberFormat="1" applyFont="1" applyFill="1" applyProtection="1">
      <protection hidden="1"/>
    </xf>
    <xf numFmtId="0" fontId="5" fillId="0" borderId="0" xfId="0" applyFont="1" applyAlignment="1" applyProtection="1">
      <alignment horizontal="right"/>
      <protection hidden="1"/>
    </xf>
    <xf numFmtId="0" fontId="5" fillId="0" borderId="3" xfId="0" applyFont="1" applyBorder="1" applyProtection="1">
      <protection hidden="1"/>
    </xf>
    <xf numFmtId="164" fontId="5" fillId="0" borderId="0" xfId="0" applyNumberFormat="1" applyFont="1" applyBorder="1" applyAlignment="1" applyProtection="1">
      <alignment horizontal="center"/>
      <protection hidden="1"/>
    </xf>
    <xf numFmtId="0" fontId="5" fillId="0" borderId="0" xfId="0" applyFont="1" applyAlignment="1" applyProtection="1">
      <protection hidden="1"/>
    </xf>
    <xf numFmtId="0" fontId="5" fillId="0" borderId="0" xfId="0" applyFont="1" applyAlignment="1" applyProtection="1"/>
    <xf numFmtId="0" fontId="3" fillId="0" borderId="9" xfId="0" applyFont="1" applyBorder="1" applyProtection="1">
      <protection locked="0"/>
    </xf>
    <xf numFmtId="0" fontId="12" fillId="0" borderId="9" xfId="4" applyFont="1" applyBorder="1" applyProtection="1">
      <protection locked="0"/>
    </xf>
    <xf numFmtId="0" fontId="13" fillId="0" borderId="10" xfId="4" applyFont="1" applyBorder="1" applyProtection="1">
      <protection locked="0"/>
    </xf>
    <xf numFmtId="0" fontId="13" fillId="0" borderId="11" xfId="4" applyFont="1" applyBorder="1" applyProtection="1">
      <protection locked="0"/>
    </xf>
    <xf numFmtId="0" fontId="0" fillId="0" borderId="0" xfId="0" applyAlignment="1" applyProtection="1">
      <alignment horizontal="left" wrapText="1"/>
      <protection hidden="1"/>
    </xf>
    <xf numFmtId="0" fontId="0" fillId="0" borderId="0" xfId="0" applyAlignment="1" applyProtection="1">
      <protection hidden="1"/>
    </xf>
    <xf numFmtId="0" fontId="3" fillId="0" borderId="1" xfId="0" applyFont="1" applyFill="1" applyBorder="1" applyAlignment="1" applyProtection="1">
      <alignment horizontal="center"/>
    </xf>
    <xf numFmtId="0" fontId="3" fillId="0" borderId="2" xfId="0" applyFont="1" applyFill="1" applyBorder="1" applyAlignment="1" applyProtection="1">
      <alignment horizontal="center"/>
    </xf>
    <xf numFmtId="0" fontId="3" fillId="0" borderId="7" xfId="0" applyFont="1" applyFill="1" applyBorder="1" applyAlignment="1" applyProtection="1">
      <alignment horizontal="center"/>
    </xf>
    <xf numFmtId="0" fontId="5" fillId="0" borderId="1" xfId="0" applyFont="1" applyBorder="1" applyAlignment="1" applyProtection="1">
      <alignment horizontal="center"/>
      <protection hidden="1"/>
    </xf>
    <xf numFmtId="0" fontId="5" fillId="0" borderId="2" xfId="0" applyFont="1" applyBorder="1" applyAlignment="1" applyProtection="1">
      <alignment horizontal="center"/>
      <protection hidden="1"/>
    </xf>
    <xf numFmtId="0" fontId="5" fillId="0" borderId="7" xfId="0" applyFont="1" applyBorder="1" applyAlignment="1" applyProtection="1">
      <alignment horizontal="center"/>
      <protection hidden="1"/>
    </xf>
  </cellXfs>
  <cellStyles count="5">
    <cellStyle name="Excel Built-in Normal" xfId="4"/>
    <cellStyle name="Normal" xfId="0" builtinId="0"/>
    <cellStyle name="Normal 2" xfId="1"/>
    <cellStyle name="Normal 2 2" xfId="3"/>
    <cellStyle name="Normal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E27"/>
  <sheetViews>
    <sheetView workbookViewId="0">
      <selection activeCell="E7" sqref="E7"/>
    </sheetView>
  </sheetViews>
  <sheetFormatPr defaultRowHeight="12.75"/>
  <cols>
    <col min="1" max="1" width="3.28515625" customWidth="1"/>
    <col min="2" max="3" width="17" style="2" customWidth="1"/>
    <col min="4" max="4" width="21.28515625" style="2" customWidth="1"/>
    <col min="5" max="5" width="29.7109375" customWidth="1"/>
  </cols>
  <sheetData>
    <row r="1" spans="2:5" s="3" customFormat="1">
      <c r="B1" s="7"/>
      <c r="C1" s="7"/>
      <c r="D1" s="7"/>
    </row>
    <row r="2" spans="2:5" s="3" customFormat="1">
      <c r="B2" s="8" t="s">
        <v>71</v>
      </c>
      <c r="C2" s="3" t="s">
        <v>65</v>
      </c>
      <c r="D2" s="7"/>
    </row>
    <row r="3" spans="2:5" s="3" customFormat="1">
      <c r="B3" s="9"/>
      <c r="D3" s="7"/>
    </row>
    <row r="4" spans="2:5" s="3" customFormat="1">
      <c r="B4" s="8" t="s">
        <v>72</v>
      </c>
      <c r="C4" s="3" t="s">
        <v>68</v>
      </c>
      <c r="D4" s="7"/>
    </row>
    <row r="5" spans="2:5" s="3" customFormat="1">
      <c r="B5" s="7"/>
      <c r="C5" s="7"/>
      <c r="D5" s="7"/>
    </row>
    <row r="6" spans="2:5" s="3" customFormat="1">
      <c r="B6" s="8" t="s">
        <v>73</v>
      </c>
      <c r="C6" s="8"/>
      <c r="D6" s="8"/>
    </row>
    <row r="7" spans="2:5" s="3" customFormat="1">
      <c r="B7" s="7" t="s">
        <v>66</v>
      </c>
      <c r="C7" s="7" t="s">
        <v>67</v>
      </c>
      <c r="D7" s="10">
        <v>40626</v>
      </c>
      <c r="E7" s="3" t="s">
        <v>78</v>
      </c>
    </row>
    <row r="8" spans="2:5" s="3" customFormat="1">
      <c r="B8" s="7" t="s">
        <v>66</v>
      </c>
      <c r="C8" s="7" t="s">
        <v>76</v>
      </c>
      <c r="D8" s="10">
        <v>40632</v>
      </c>
      <c r="E8" s="3" t="s">
        <v>79</v>
      </c>
    </row>
    <row r="9" spans="2:5" s="3" customFormat="1">
      <c r="B9" s="7" t="s">
        <v>66</v>
      </c>
      <c r="C9" s="7" t="s">
        <v>80</v>
      </c>
      <c r="D9" s="10">
        <v>40634</v>
      </c>
      <c r="E9" s="3" t="s">
        <v>81</v>
      </c>
    </row>
    <row r="10" spans="2:5" s="3" customFormat="1">
      <c r="B10" s="7" t="s">
        <v>66</v>
      </c>
      <c r="C10" s="7" t="s">
        <v>105</v>
      </c>
      <c r="D10" s="10">
        <v>40638</v>
      </c>
      <c r="E10" s="3" t="s">
        <v>106</v>
      </c>
    </row>
    <row r="11" spans="2:5" s="3" customFormat="1">
      <c r="B11" s="7" t="s">
        <v>66</v>
      </c>
      <c r="C11" s="7" t="s">
        <v>107</v>
      </c>
      <c r="D11" s="10">
        <v>40647</v>
      </c>
      <c r="E11" s="3" t="s">
        <v>108</v>
      </c>
    </row>
    <row r="12" spans="2:5" s="3" customFormat="1">
      <c r="B12" s="7" t="s">
        <v>66</v>
      </c>
      <c r="C12" s="7" t="s">
        <v>113</v>
      </c>
      <c r="D12" s="10">
        <v>40660</v>
      </c>
      <c r="E12" s="20" t="s">
        <v>120</v>
      </c>
    </row>
    <row r="13" spans="2:5" s="3" customFormat="1">
      <c r="B13" s="7" t="s">
        <v>66</v>
      </c>
      <c r="C13" s="7" t="s">
        <v>114</v>
      </c>
      <c r="D13" s="10">
        <v>40697</v>
      </c>
      <c r="E13" s="3" t="s">
        <v>115</v>
      </c>
    </row>
    <row r="14" spans="2:5" s="3" customFormat="1">
      <c r="B14" s="7" t="s">
        <v>66</v>
      </c>
      <c r="C14" s="7" t="s">
        <v>116</v>
      </c>
      <c r="D14" s="10">
        <v>40735</v>
      </c>
      <c r="E14" s="3" t="s">
        <v>117</v>
      </c>
    </row>
    <row r="15" spans="2:5" s="3" customFormat="1">
      <c r="B15" s="7" t="s">
        <v>66</v>
      </c>
      <c r="C15" s="7" t="s">
        <v>118</v>
      </c>
      <c r="D15" s="10">
        <v>41123</v>
      </c>
      <c r="E15" s="20" t="s">
        <v>121</v>
      </c>
    </row>
    <row r="16" spans="2:5" s="3" customFormat="1">
      <c r="B16" s="7"/>
      <c r="C16" s="7"/>
      <c r="D16" s="10"/>
      <c r="E16" s="3" t="s">
        <v>119</v>
      </c>
    </row>
    <row r="17" spans="2:5" s="3" customFormat="1">
      <c r="B17" s="7"/>
      <c r="C17" s="7"/>
      <c r="D17" s="7"/>
      <c r="E17" s="3" t="s">
        <v>126</v>
      </c>
    </row>
    <row r="18" spans="2:5" s="3" customFormat="1">
      <c r="B18" s="7" t="s">
        <v>66</v>
      </c>
      <c r="C18" s="7" t="s">
        <v>130</v>
      </c>
      <c r="D18" s="10">
        <v>41179</v>
      </c>
      <c r="E18" s="20" t="s">
        <v>131</v>
      </c>
    </row>
    <row r="19" spans="2:5" s="3" customFormat="1">
      <c r="B19" s="7"/>
      <c r="C19" s="7"/>
      <c r="D19" s="10"/>
      <c r="E19" s="20" t="s">
        <v>153</v>
      </c>
    </row>
    <row r="20" spans="2:5" s="3" customFormat="1">
      <c r="B20" s="7"/>
      <c r="C20" s="7"/>
      <c r="D20" s="7"/>
    </row>
    <row r="21" spans="2:5" s="3" customFormat="1">
      <c r="B21" s="8" t="s">
        <v>72</v>
      </c>
      <c r="C21" s="7"/>
      <c r="D21" s="7"/>
    </row>
    <row r="22" spans="2:5" s="3" customFormat="1" ht="51" customHeight="1">
      <c r="B22" s="86" t="s">
        <v>112</v>
      </c>
      <c r="C22" s="86"/>
      <c r="D22" s="86"/>
      <c r="E22" s="87"/>
    </row>
    <row r="23" spans="2:5" s="3" customFormat="1">
      <c r="B23" s="7"/>
      <c r="C23" s="7"/>
      <c r="D23" s="7"/>
    </row>
    <row r="24" spans="2:5" s="3" customFormat="1">
      <c r="B24" s="7"/>
      <c r="C24" s="7"/>
      <c r="D24" s="7"/>
    </row>
    <row r="25" spans="2:5" s="3" customFormat="1">
      <c r="B25" s="7"/>
      <c r="C25" s="7"/>
      <c r="D25" s="7"/>
    </row>
    <row r="26" spans="2:5" s="3" customFormat="1">
      <c r="B26" s="22" t="s">
        <v>127</v>
      </c>
      <c r="C26" s="7"/>
      <c r="D26" s="7"/>
    </row>
    <row r="27" spans="2:5" s="3" customFormat="1">
      <c r="B27" s="7"/>
      <c r="C27" s="7"/>
      <c r="D27" s="7"/>
    </row>
  </sheetData>
  <sheetProtection password="DF21" sheet="1" objects="1" scenarios="1" selectLockedCells="1"/>
  <mergeCells count="1">
    <mergeCell ref="B22:E22"/>
  </mergeCells>
  <phoneticPr fontId="2"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B1:B34"/>
  <sheetViews>
    <sheetView workbookViewId="0"/>
  </sheetViews>
  <sheetFormatPr defaultRowHeight="12.75"/>
  <cols>
    <col min="1" max="1" width="3.5703125" customWidth="1"/>
    <col min="2" max="2" width="112.85546875" style="1" customWidth="1"/>
  </cols>
  <sheetData>
    <row r="1" spans="2:2" s="3" customFormat="1">
      <c r="B1" s="4"/>
    </row>
    <row r="2" spans="2:2" s="3" customFormat="1">
      <c r="B2" s="5" t="s">
        <v>82</v>
      </c>
    </row>
    <row r="3" spans="2:2" s="3" customFormat="1">
      <c r="B3" s="4" t="s">
        <v>33</v>
      </c>
    </row>
    <row r="4" spans="2:2" s="3" customFormat="1">
      <c r="B4" s="4" t="s">
        <v>85</v>
      </c>
    </row>
    <row r="5" spans="2:2" s="3" customFormat="1">
      <c r="B5" s="21" t="s">
        <v>128</v>
      </c>
    </row>
    <row r="6" spans="2:2" s="3" customFormat="1">
      <c r="B6" s="4" t="s">
        <v>86</v>
      </c>
    </row>
    <row r="7" spans="2:2" s="3" customFormat="1">
      <c r="B7" s="4" t="s">
        <v>87</v>
      </c>
    </row>
    <row r="8" spans="2:2" s="3" customFormat="1" ht="38.25">
      <c r="B8" s="21" t="s">
        <v>137</v>
      </c>
    </row>
    <row r="9" spans="2:2" s="3" customFormat="1" ht="38.25">
      <c r="B9" s="21" t="s">
        <v>138</v>
      </c>
    </row>
    <row r="10" spans="2:2" s="3" customFormat="1" ht="25.5">
      <c r="B10" s="21" t="s">
        <v>139</v>
      </c>
    </row>
    <row r="11" spans="2:2" s="3" customFormat="1">
      <c r="B11" s="6" t="s">
        <v>88</v>
      </c>
    </row>
    <row r="12" spans="2:2" s="3" customFormat="1">
      <c r="B12" s="21" t="s">
        <v>77</v>
      </c>
    </row>
    <row r="13" spans="2:2" s="3" customFormat="1">
      <c r="B13" s="21" t="s">
        <v>152</v>
      </c>
    </row>
    <row r="14" spans="2:2" s="3" customFormat="1">
      <c r="B14" s="4" t="s">
        <v>89</v>
      </c>
    </row>
    <row r="15" spans="2:2" s="3" customFormat="1">
      <c r="B15" s="4"/>
    </row>
    <row r="16" spans="2:2" s="3" customFormat="1">
      <c r="B16" s="4"/>
    </row>
    <row r="17" spans="2:2" s="3" customFormat="1">
      <c r="B17" s="5" t="s">
        <v>83</v>
      </c>
    </row>
    <row r="18" spans="2:2" s="3" customFormat="1">
      <c r="B18" s="4" t="s">
        <v>84</v>
      </c>
    </row>
    <row r="19" spans="2:2" s="3" customFormat="1">
      <c r="B19" s="4" t="s">
        <v>90</v>
      </c>
    </row>
    <row r="20" spans="2:2" s="3" customFormat="1">
      <c r="B20" s="21" t="s">
        <v>151</v>
      </c>
    </row>
    <row r="21" spans="2:2" s="3" customFormat="1" ht="25.5">
      <c r="B21" s="21" t="s">
        <v>136</v>
      </c>
    </row>
    <row r="22" spans="2:2" s="3" customFormat="1">
      <c r="B22" s="4"/>
    </row>
    <row r="23" spans="2:2" s="3" customFormat="1">
      <c r="B23" s="4"/>
    </row>
    <row r="24" spans="2:2" s="3" customFormat="1">
      <c r="B24" s="5" t="s">
        <v>109</v>
      </c>
    </row>
    <row r="25" spans="2:2" s="3" customFormat="1">
      <c r="B25" s="4" t="s">
        <v>110</v>
      </c>
    </row>
    <row r="26" spans="2:2" s="3" customFormat="1">
      <c r="B26" s="4" t="s">
        <v>111</v>
      </c>
    </row>
    <row r="27" spans="2:2" s="3" customFormat="1">
      <c r="B27" s="21" t="s">
        <v>140</v>
      </c>
    </row>
    <row r="28" spans="2:2" s="3" customFormat="1">
      <c r="B28" s="4"/>
    </row>
    <row r="29" spans="2:2" s="3" customFormat="1">
      <c r="B29" s="4"/>
    </row>
    <row r="30" spans="2:2" s="3" customFormat="1">
      <c r="B30" s="4" t="s">
        <v>129</v>
      </c>
    </row>
    <row r="31" spans="2:2" s="3" customFormat="1">
      <c r="B31" s="4"/>
    </row>
    <row r="32" spans="2:2" s="3" customFormat="1">
      <c r="B32" s="4"/>
    </row>
    <row r="33" spans="2:2" s="3" customFormat="1">
      <c r="B33" s="22" t="s">
        <v>127</v>
      </c>
    </row>
    <row r="34" spans="2:2" s="3" customFormat="1">
      <c r="B34" s="4"/>
    </row>
  </sheetData>
  <sheetProtection password="DF21" sheet="1" objects="1" scenarios="1" selectLockedCells="1"/>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B2:N215"/>
  <sheetViews>
    <sheetView tabSelected="1" workbookViewId="0">
      <selection activeCell="C4" sqref="C4"/>
    </sheetView>
  </sheetViews>
  <sheetFormatPr defaultRowHeight="12.75"/>
  <cols>
    <col min="1" max="1" width="2.85546875" style="18" customWidth="1"/>
    <col min="2" max="2" width="31.7109375" style="18" customWidth="1"/>
    <col min="3" max="6" width="15.42578125" style="18" customWidth="1"/>
    <col min="7" max="7" width="16.85546875" style="18" customWidth="1"/>
    <col min="8" max="8" width="15.42578125" style="18" customWidth="1"/>
    <col min="9" max="9" width="15.85546875" style="18" customWidth="1"/>
    <col min="10" max="16384" width="9.140625" style="18"/>
  </cols>
  <sheetData>
    <row r="2" spans="2:14">
      <c r="B2" s="11" t="s">
        <v>124</v>
      </c>
      <c r="C2" s="61">
        <v>170</v>
      </c>
      <c r="D2" s="18" t="s">
        <v>5</v>
      </c>
    </row>
    <row r="3" spans="2:14">
      <c r="B3" s="11" t="s">
        <v>7</v>
      </c>
      <c r="C3" s="61">
        <v>800</v>
      </c>
      <c r="D3" s="18" t="s">
        <v>0</v>
      </c>
      <c r="E3" s="62">
        <f>1000000/C3</f>
        <v>1250</v>
      </c>
      <c r="F3" s="18" t="s">
        <v>5</v>
      </c>
    </row>
    <row r="4" spans="2:14">
      <c r="B4" s="11" t="s">
        <v>8</v>
      </c>
      <c r="C4" s="61">
        <v>1</v>
      </c>
      <c r="F4" s="23" t="str">
        <f>IF(AND(MIN(H8:H24)&lt;0, INVERT_CLK=0), "ERROR - Invert Clock must be a 1", "")</f>
        <v/>
      </c>
    </row>
    <row r="5" spans="2:14">
      <c r="B5" s="11" t="s">
        <v>9</v>
      </c>
      <c r="C5" s="18">
        <v>256</v>
      </c>
      <c r="F5" s="23" t="str">
        <f>IF(MAX(I8:I24)&gt;(2.75*CLK_PERIOD-INVERT_CLK*0.5*CLK_PERIOD), "ERROR - Round Trip Delay too large", "")</f>
        <v/>
      </c>
    </row>
    <row r="6" spans="2:14">
      <c r="F6" s="24" t="str">
        <f>IF(AND(MIN(H8:H24)&lt;0, INVERT_CLK=1), "ERROR - Invalid clock length(s)", "")</f>
        <v/>
      </c>
    </row>
    <row r="7" spans="2:14" s="63" customFormat="1" ht="25.5">
      <c r="C7" s="12" t="s">
        <v>122</v>
      </c>
      <c r="D7" s="12" t="s">
        <v>123</v>
      </c>
      <c r="E7" s="12" t="s">
        <v>6</v>
      </c>
      <c r="F7" s="12" t="s">
        <v>125</v>
      </c>
      <c r="G7" s="12" t="s">
        <v>143</v>
      </c>
      <c r="H7" s="12" t="s">
        <v>141</v>
      </c>
      <c r="I7" s="12" t="s">
        <v>142</v>
      </c>
    </row>
    <row r="8" spans="2:14">
      <c r="B8" s="18" t="s">
        <v>1</v>
      </c>
      <c r="C8" s="64">
        <v>0</v>
      </c>
      <c r="D8" s="82">
        <v>1.546665</v>
      </c>
      <c r="E8" s="65">
        <f t="shared" ref="E8:E25" si="0">(D8+C8/1.1)*INCH_DEL</f>
        <v>262.93304999999998</v>
      </c>
      <c r="F8" s="33">
        <f t="shared" ref="F8:F25" si="1">E8/CLK_PERIOD</f>
        <v>0.21034644</v>
      </c>
      <c r="G8" s="66">
        <f>IF(F8&lt;0.001, 0, E9-E8)</f>
        <v>234.41725000000002</v>
      </c>
      <c r="H8" s="66">
        <f>IF(F8&lt;0.001, 0, E9-E8-CLK_PERIOD/4+CLK_PERIOD/2*INVERT_CLK)</f>
        <v>546.91724999999997</v>
      </c>
      <c r="I8" s="31">
        <f>E8+E9</f>
        <v>760.28334999999993</v>
      </c>
      <c r="K8" s="63"/>
      <c r="L8" s="63"/>
      <c r="M8" s="63"/>
      <c r="N8" s="63"/>
    </row>
    <row r="9" spans="2:14">
      <c r="B9" s="18" t="s">
        <v>10</v>
      </c>
      <c r="C9" s="64">
        <v>0</v>
      </c>
      <c r="D9" s="82">
        <v>2.9255900000000001</v>
      </c>
      <c r="E9" s="65">
        <f t="shared" si="0"/>
        <v>497.3503</v>
      </c>
      <c r="F9" s="33">
        <f t="shared" si="1"/>
        <v>0.39788024</v>
      </c>
      <c r="G9" s="66"/>
      <c r="H9" s="66"/>
      <c r="I9" s="20"/>
      <c r="K9" s="63"/>
      <c r="L9" s="63"/>
      <c r="M9" s="63"/>
      <c r="N9" s="63"/>
    </row>
    <row r="10" spans="2:14">
      <c r="B10" s="18" t="s">
        <v>2</v>
      </c>
      <c r="C10" s="64">
        <v>0</v>
      </c>
      <c r="D10" s="82">
        <v>1.5484150000000001</v>
      </c>
      <c r="E10" s="65">
        <f t="shared" si="0"/>
        <v>263.23054999999999</v>
      </c>
      <c r="F10" s="33">
        <f t="shared" si="1"/>
        <v>0.21058443999999998</v>
      </c>
      <c r="G10" s="66">
        <f>IF(F10&lt;0.001, 0, E11-E10)</f>
        <v>234.11975000000001</v>
      </c>
      <c r="H10" s="66">
        <f>IF(F10&lt;0.001, 0, E11-E10-CLK_PERIOD/4+CLK_PERIOD/2*INVERT_CLK)</f>
        <v>546.61975000000007</v>
      </c>
      <c r="I10" s="31">
        <f>E10+E11</f>
        <v>760.58085000000005</v>
      </c>
      <c r="K10" s="63"/>
      <c r="L10" s="63"/>
      <c r="M10" s="63"/>
      <c r="N10" s="63"/>
    </row>
    <row r="11" spans="2:14" ht="15">
      <c r="B11" s="18" t="s">
        <v>11</v>
      </c>
      <c r="C11" s="64">
        <v>0</v>
      </c>
      <c r="D11" s="83">
        <v>2.9255900000000001</v>
      </c>
      <c r="E11" s="65">
        <f t="shared" si="0"/>
        <v>497.3503</v>
      </c>
      <c r="F11" s="33">
        <f t="shared" si="1"/>
        <v>0.39788024</v>
      </c>
      <c r="G11" s="66"/>
      <c r="H11" s="66"/>
      <c r="I11" s="20"/>
      <c r="K11" s="63"/>
      <c r="L11" s="63"/>
      <c r="M11" s="63"/>
      <c r="N11" s="63"/>
    </row>
    <row r="12" spans="2:14">
      <c r="B12" s="18" t="s">
        <v>3</v>
      </c>
      <c r="C12" s="64">
        <v>0</v>
      </c>
      <c r="D12" s="82">
        <v>1.544195</v>
      </c>
      <c r="E12" s="65">
        <f t="shared" si="0"/>
        <v>262.51315</v>
      </c>
      <c r="F12" s="33">
        <f t="shared" si="1"/>
        <v>0.21001052000000001</v>
      </c>
      <c r="G12" s="66">
        <f>IF(F12&lt;0.001, 0, E13-E12)</f>
        <v>322.78665000000001</v>
      </c>
      <c r="H12" s="66">
        <f>IF(F12&lt;0.001, 0, E13-E12-CLK_PERIOD/4+CLK_PERIOD/2*INVERT_CLK)</f>
        <v>635.28665000000001</v>
      </c>
      <c r="I12" s="31">
        <f>E12+E13</f>
        <v>847.81295</v>
      </c>
      <c r="K12" s="63"/>
      <c r="L12" s="63"/>
      <c r="M12" s="63"/>
      <c r="N12" s="63"/>
    </row>
    <row r="13" spans="2:14" ht="15">
      <c r="B13" s="18" t="s">
        <v>12</v>
      </c>
      <c r="C13" s="64">
        <v>0</v>
      </c>
      <c r="D13" s="83">
        <v>3.4429400000000001</v>
      </c>
      <c r="E13" s="65">
        <f t="shared" si="0"/>
        <v>585.2998</v>
      </c>
      <c r="F13" s="33">
        <f t="shared" si="1"/>
        <v>0.46823984000000002</v>
      </c>
      <c r="G13" s="66"/>
      <c r="H13" s="66"/>
      <c r="I13" s="20"/>
      <c r="K13" s="63"/>
      <c r="L13" s="63"/>
      <c r="M13" s="63"/>
      <c r="N13" s="63"/>
    </row>
    <row r="14" spans="2:14">
      <c r="B14" s="18" t="s">
        <v>4</v>
      </c>
      <c r="C14" s="64">
        <v>0</v>
      </c>
      <c r="D14" s="82">
        <v>1.5433749999999999</v>
      </c>
      <c r="E14" s="65">
        <f t="shared" si="0"/>
        <v>262.37374999999997</v>
      </c>
      <c r="F14" s="33">
        <f t="shared" si="1"/>
        <v>0.20989899999999997</v>
      </c>
      <c r="G14" s="66">
        <f>IF(F14&lt;0.001, 0, E15-E14)</f>
        <v>322.92605000000003</v>
      </c>
      <c r="H14" s="66">
        <f>IF(F14&lt;0.001, 0, E15-E14-CLK_PERIOD/4+CLK_PERIOD/2*INVERT_CLK)</f>
        <v>635.42605000000003</v>
      </c>
      <c r="I14" s="31">
        <f>E14+E15</f>
        <v>847.67354999999998</v>
      </c>
      <c r="K14" s="63"/>
      <c r="L14" s="63"/>
      <c r="M14" s="63"/>
      <c r="N14" s="63"/>
    </row>
    <row r="15" spans="2:14" ht="15">
      <c r="B15" s="18" t="s">
        <v>13</v>
      </c>
      <c r="C15" s="64">
        <v>0</v>
      </c>
      <c r="D15" s="84">
        <v>3.4429400000000001</v>
      </c>
      <c r="E15" s="65">
        <f t="shared" si="0"/>
        <v>585.2998</v>
      </c>
      <c r="F15" s="33">
        <f t="shared" si="1"/>
        <v>0.46823984000000002</v>
      </c>
      <c r="G15" s="66"/>
      <c r="H15" s="66"/>
      <c r="I15" s="20"/>
      <c r="K15" s="63"/>
      <c r="L15" s="63"/>
      <c r="M15" s="63"/>
      <c r="N15" s="63"/>
    </row>
    <row r="16" spans="2:14">
      <c r="B16" s="18" t="s">
        <v>23</v>
      </c>
      <c r="C16" s="64">
        <v>0</v>
      </c>
      <c r="D16" s="82">
        <v>1.5467949999999999</v>
      </c>
      <c r="E16" s="65">
        <f t="shared" si="0"/>
        <v>262.95515</v>
      </c>
      <c r="F16" s="33">
        <f t="shared" si="1"/>
        <v>0.21036412000000002</v>
      </c>
      <c r="G16" s="66">
        <f>IF(F16&lt;0.001, 0, E17-E16)</f>
        <v>492.44749999999999</v>
      </c>
      <c r="H16" s="66">
        <f>IF(F16&lt;0.001, 0, E17-E16-CLK_PERIOD/4+CLK_PERIOD/2*INVERT_CLK)</f>
        <v>804.94749999999999</v>
      </c>
      <c r="I16" s="31">
        <f>E16+E17</f>
        <v>1018.3578</v>
      </c>
      <c r="K16" s="63"/>
      <c r="L16" s="63"/>
      <c r="M16" s="63"/>
      <c r="N16" s="63"/>
    </row>
    <row r="17" spans="2:14" ht="15">
      <c r="B17" s="18" t="s">
        <v>24</v>
      </c>
      <c r="C17" s="64">
        <v>0</v>
      </c>
      <c r="D17" s="84">
        <v>4.4435450000000003</v>
      </c>
      <c r="E17" s="65">
        <f t="shared" si="0"/>
        <v>755.40264999999999</v>
      </c>
      <c r="F17" s="33">
        <f t="shared" si="1"/>
        <v>0.60432211999999996</v>
      </c>
      <c r="G17" s="66"/>
      <c r="H17" s="66"/>
      <c r="I17" s="20"/>
      <c r="K17" s="63"/>
      <c r="L17" s="63"/>
      <c r="M17" s="63"/>
      <c r="N17" s="63"/>
    </row>
    <row r="18" spans="2:14">
      <c r="B18" s="18" t="s">
        <v>25</v>
      </c>
      <c r="C18" s="64">
        <v>0</v>
      </c>
      <c r="D18" s="82">
        <v>1.545085</v>
      </c>
      <c r="E18" s="65">
        <f t="shared" si="0"/>
        <v>262.66444999999999</v>
      </c>
      <c r="F18" s="33">
        <f t="shared" si="1"/>
        <v>0.21013156</v>
      </c>
      <c r="G18" s="66">
        <f>IF(F18&lt;0.001, 0, E19-E18)</f>
        <v>492.73820000000001</v>
      </c>
      <c r="H18" s="66">
        <f>IF(F18&lt;0.001, 0, E19-E18-CLK_PERIOD/4+CLK_PERIOD/2*INVERT_CLK)</f>
        <v>805.23820000000001</v>
      </c>
      <c r="I18" s="31">
        <f>E18+E19</f>
        <v>1018.0671</v>
      </c>
      <c r="K18" s="63"/>
      <c r="L18" s="63"/>
      <c r="M18" s="63"/>
      <c r="N18" s="63"/>
    </row>
    <row r="19" spans="2:14" ht="15">
      <c r="B19" s="18" t="s">
        <v>26</v>
      </c>
      <c r="C19" s="64">
        <v>0</v>
      </c>
      <c r="D19" s="84">
        <v>4.4435450000000003</v>
      </c>
      <c r="E19" s="65">
        <f t="shared" si="0"/>
        <v>755.40264999999999</v>
      </c>
      <c r="F19" s="33">
        <f t="shared" si="1"/>
        <v>0.60432211999999996</v>
      </c>
      <c r="G19" s="66"/>
      <c r="H19" s="66"/>
      <c r="I19" s="20"/>
      <c r="K19" s="63"/>
      <c r="L19" s="63"/>
      <c r="M19" s="63"/>
      <c r="N19" s="63"/>
    </row>
    <row r="20" spans="2:14">
      <c r="B20" s="18" t="s">
        <v>27</v>
      </c>
      <c r="C20" s="64">
        <v>0</v>
      </c>
      <c r="D20" s="82">
        <v>1.54708</v>
      </c>
      <c r="E20" s="65">
        <f t="shared" si="0"/>
        <v>263.00360000000001</v>
      </c>
      <c r="F20" s="33">
        <f t="shared" si="1"/>
        <v>0.21040288000000001</v>
      </c>
      <c r="G20" s="66">
        <f>IF(F20&lt;0.001, 0, E21-E20)</f>
        <v>591.23450000000003</v>
      </c>
      <c r="H20" s="66">
        <f>IF(F20&lt;0.001, 0, E21-E20-CLK_PERIOD/4+CLK_PERIOD/2*INVERT_CLK)</f>
        <v>903.73450000000003</v>
      </c>
      <c r="I20" s="31">
        <f>E20+E21</f>
        <v>1117.2417</v>
      </c>
      <c r="K20" s="63"/>
      <c r="L20" s="63"/>
      <c r="M20" s="63"/>
      <c r="N20" s="63"/>
    </row>
    <row r="21" spans="2:14" ht="15">
      <c r="B21" s="18" t="s">
        <v>28</v>
      </c>
      <c r="C21" s="64">
        <v>0</v>
      </c>
      <c r="D21" s="84">
        <v>5.0249300000000003</v>
      </c>
      <c r="E21" s="65">
        <f t="shared" si="0"/>
        <v>854.23810000000003</v>
      </c>
      <c r="F21" s="33">
        <f t="shared" si="1"/>
        <v>0.68339048000000002</v>
      </c>
      <c r="G21" s="66"/>
      <c r="H21" s="66"/>
      <c r="I21" s="20"/>
      <c r="K21" s="63"/>
      <c r="L21" s="63"/>
      <c r="M21" s="63"/>
      <c r="N21" s="63"/>
    </row>
    <row r="22" spans="2:14">
      <c r="B22" s="18" t="s">
        <v>29</v>
      </c>
      <c r="C22" s="64">
        <v>0</v>
      </c>
      <c r="D22" s="82">
        <v>1.54206</v>
      </c>
      <c r="E22" s="65">
        <f t="shared" si="0"/>
        <v>262.15019999999998</v>
      </c>
      <c r="F22" s="33">
        <f t="shared" si="1"/>
        <v>0.20972015999999999</v>
      </c>
      <c r="G22" s="66">
        <f>IF(F22&lt;0.001, 0, E23-E22)</f>
        <v>592.08789999999999</v>
      </c>
      <c r="H22" s="66">
        <f>IF(F22&lt;0.001, 0, E23-E22-CLK_PERIOD/4+CLK_PERIOD/2*INVERT_CLK)</f>
        <v>904.58789999999999</v>
      </c>
      <c r="I22" s="31">
        <f>E22+E23</f>
        <v>1116.3883000000001</v>
      </c>
      <c r="K22" s="63"/>
      <c r="L22" s="63"/>
      <c r="M22" s="63"/>
      <c r="N22" s="63"/>
    </row>
    <row r="23" spans="2:14" ht="15">
      <c r="B23" s="18" t="s">
        <v>30</v>
      </c>
      <c r="C23" s="64">
        <v>0</v>
      </c>
      <c r="D23" s="84">
        <v>5.0249300000000003</v>
      </c>
      <c r="E23" s="65">
        <f t="shared" si="0"/>
        <v>854.23810000000003</v>
      </c>
      <c r="F23" s="33">
        <f t="shared" si="1"/>
        <v>0.68339048000000002</v>
      </c>
      <c r="G23" s="66"/>
      <c r="H23" s="66"/>
      <c r="I23" s="20"/>
      <c r="K23" s="63"/>
      <c r="L23" s="63"/>
      <c r="M23" s="63"/>
      <c r="N23" s="63"/>
    </row>
    <row r="24" spans="2:14">
      <c r="B24" s="18" t="s">
        <v>31</v>
      </c>
      <c r="C24" s="64">
        <v>0</v>
      </c>
      <c r="D24" s="82">
        <v>1.5467500000000001</v>
      </c>
      <c r="E24" s="65">
        <f t="shared" si="0"/>
        <v>262.94749999999999</v>
      </c>
      <c r="F24" s="33">
        <f t="shared" si="1"/>
        <v>0.21035799999999999</v>
      </c>
      <c r="G24" s="66">
        <f>IF(F24&lt;0.001, 0, E25-E24)</f>
        <v>406.14020000000005</v>
      </c>
      <c r="H24" s="66">
        <f>IF(F24&lt;0.001, 0, E25-E24-CLK_PERIOD/4+CLK_PERIOD/2*INVERT_CLK)</f>
        <v>718.64020000000005</v>
      </c>
      <c r="I24" s="31">
        <f>E24+E25</f>
        <v>932.03520000000003</v>
      </c>
      <c r="K24" s="63"/>
      <c r="L24" s="63"/>
      <c r="M24" s="63"/>
      <c r="N24" s="63"/>
    </row>
    <row r="25" spans="2:14" ht="15">
      <c r="B25" s="18" t="s">
        <v>32</v>
      </c>
      <c r="C25" s="64">
        <v>0</v>
      </c>
      <c r="D25" s="85">
        <v>3.93581</v>
      </c>
      <c r="E25" s="65">
        <f t="shared" si="0"/>
        <v>669.08770000000004</v>
      </c>
      <c r="F25" s="33">
        <f t="shared" si="1"/>
        <v>0.53527016000000005</v>
      </c>
      <c r="G25" s="67"/>
      <c r="H25" s="67"/>
      <c r="I25" s="20"/>
      <c r="K25" s="63"/>
      <c r="L25" s="63"/>
      <c r="M25" s="63"/>
      <c r="N25" s="63"/>
    </row>
    <row r="26" spans="2:14">
      <c r="C26" s="68"/>
      <c r="D26" s="69"/>
      <c r="E26" s="19"/>
      <c r="F26" s="17"/>
    </row>
    <row r="27" spans="2:14" ht="13.5" thickBot="1">
      <c r="C27" s="68"/>
      <c r="D27" s="69"/>
      <c r="E27" s="25"/>
      <c r="F27" s="26"/>
      <c r="G27" s="27"/>
      <c r="H27" s="27"/>
      <c r="I27" s="27"/>
    </row>
    <row r="28" spans="2:14">
      <c r="B28" s="13" t="s">
        <v>69</v>
      </c>
      <c r="C28" s="14" t="s">
        <v>70</v>
      </c>
      <c r="D28" s="14" t="s">
        <v>144</v>
      </c>
      <c r="E28" s="35" t="s">
        <v>145</v>
      </c>
      <c r="F28" s="17"/>
      <c r="I28" s="17"/>
    </row>
    <row r="29" spans="2:14">
      <c r="B29" s="70" t="s">
        <v>91</v>
      </c>
      <c r="C29" s="28" t="s">
        <v>36</v>
      </c>
      <c r="D29" s="71" t="str">
        <f>D170</f>
        <v>000000B9</v>
      </c>
      <c r="E29" s="36">
        <f>HEX2DEC(D29)</f>
        <v>185</v>
      </c>
      <c r="F29" s="17"/>
      <c r="I29" s="17"/>
    </row>
    <row r="30" spans="2:14">
      <c r="B30" s="70" t="s">
        <v>92</v>
      </c>
      <c r="C30" s="28" t="s">
        <v>38</v>
      </c>
      <c r="D30" s="71" t="str">
        <f>D155</f>
        <v>000000B9</v>
      </c>
      <c r="E30" s="36">
        <f t="shared" ref="E30:E37" si="2">HEX2DEC(D30)</f>
        <v>185</v>
      </c>
      <c r="F30" s="17"/>
      <c r="I30" s="17"/>
    </row>
    <row r="31" spans="2:14">
      <c r="B31" s="70" t="s">
        <v>93</v>
      </c>
      <c r="C31" s="28" t="s">
        <v>41</v>
      </c>
      <c r="D31" s="71" t="str">
        <f>D140</f>
        <v>000000A4</v>
      </c>
      <c r="E31" s="36">
        <f t="shared" si="2"/>
        <v>164</v>
      </c>
      <c r="F31" s="17"/>
      <c r="I31" s="17"/>
    </row>
    <row r="32" spans="2:14">
      <c r="B32" s="70" t="s">
        <v>94</v>
      </c>
      <c r="C32" s="28" t="s">
        <v>44</v>
      </c>
      <c r="D32" s="71" t="str">
        <f>D125</f>
        <v>000000A4</v>
      </c>
      <c r="E32" s="36">
        <f t="shared" si="2"/>
        <v>164</v>
      </c>
      <c r="F32" s="17"/>
      <c r="I32" s="17"/>
    </row>
    <row r="33" spans="2:9">
      <c r="B33" s="70" t="s">
        <v>95</v>
      </c>
      <c r="C33" s="28" t="s">
        <v>47</v>
      </c>
      <c r="D33" s="71" t="str">
        <f>D110</f>
        <v>00000082</v>
      </c>
      <c r="E33" s="36">
        <f t="shared" si="2"/>
        <v>130</v>
      </c>
      <c r="F33" s="17"/>
      <c r="I33" s="17"/>
    </row>
    <row r="34" spans="2:9">
      <c r="B34" s="70" t="s">
        <v>96</v>
      </c>
      <c r="C34" s="28" t="s">
        <v>49</v>
      </c>
      <c r="D34" s="71" t="str">
        <f>D95</f>
        <v>00000082</v>
      </c>
      <c r="E34" s="36">
        <f t="shared" si="2"/>
        <v>130</v>
      </c>
      <c r="F34" s="17"/>
      <c r="I34" s="17"/>
    </row>
    <row r="35" spans="2:9">
      <c r="B35" s="70" t="s">
        <v>97</v>
      </c>
      <c r="C35" s="28" t="s">
        <v>53</v>
      </c>
      <c r="D35" s="71" t="str">
        <f>D80</f>
        <v>0000006F</v>
      </c>
      <c r="E35" s="36">
        <f t="shared" si="2"/>
        <v>111</v>
      </c>
      <c r="F35" s="17"/>
      <c r="I35" s="17"/>
    </row>
    <row r="36" spans="2:9">
      <c r="B36" s="70" t="s">
        <v>98</v>
      </c>
      <c r="C36" s="28" t="s">
        <v>56</v>
      </c>
      <c r="D36" s="71" t="str">
        <f>D65</f>
        <v>00000070</v>
      </c>
      <c r="E36" s="36">
        <f t="shared" si="2"/>
        <v>112</v>
      </c>
      <c r="F36" s="17"/>
      <c r="I36" s="17"/>
    </row>
    <row r="37" spans="2:9">
      <c r="B37" s="70" t="s">
        <v>99</v>
      </c>
      <c r="C37" s="28" t="s">
        <v>59</v>
      </c>
      <c r="D37" s="71" t="str">
        <f>D185</f>
        <v>00000093</v>
      </c>
      <c r="E37" s="36">
        <f t="shared" si="2"/>
        <v>147</v>
      </c>
      <c r="F37" s="17"/>
      <c r="I37" s="17"/>
    </row>
    <row r="38" spans="2:9">
      <c r="B38" s="70"/>
      <c r="C38" s="30"/>
      <c r="D38" s="72"/>
      <c r="E38" s="36"/>
      <c r="F38" s="17"/>
      <c r="I38" s="17"/>
    </row>
    <row r="39" spans="2:9">
      <c r="B39" s="15" t="s">
        <v>69</v>
      </c>
      <c r="C39" s="16" t="s">
        <v>70</v>
      </c>
      <c r="D39" s="34" t="s">
        <v>144</v>
      </c>
      <c r="E39" s="37" t="s">
        <v>145</v>
      </c>
      <c r="F39" s="17"/>
      <c r="I39" s="17"/>
    </row>
    <row r="40" spans="2:9">
      <c r="B40" s="70" t="s">
        <v>34</v>
      </c>
      <c r="C40" s="28" t="s">
        <v>35</v>
      </c>
      <c r="D40" s="71" t="str">
        <f>D172</f>
        <v>00000124</v>
      </c>
      <c r="E40" s="36">
        <f t="shared" ref="E40:E48" si="3">HEX2DEC(D40)</f>
        <v>292</v>
      </c>
      <c r="F40" s="17"/>
    </row>
    <row r="41" spans="2:9">
      <c r="B41" s="70" t="s">
        <v>37</v>
      </c>
      <c r="C41" s="28" t="s">
        <v>39</v>
      </c>
      <c r="D41" s="71" t="str">
        <f>D157</f>
        <v>00000124</v>
      </c>
      <c r="E41" s="36">
        <f t="shared" si="3"/>
        <v>292</v>
      </c>
      <c r="F41" s="17"/>
    </row>
    <row r="42" spans="2:9">
      <c r="B42" s="70" t="s">
        <v>40</v>
      </c>
      <c r="C42" s="28" t="s">
        <v>42</v>
      </c>
      <c r="D42" s="71" t="str">
        <f>D142</f>
        <v>00000110</v>
      </c>
      <c r="E42" s="36">
        <f t="shared" si="3"/>
        <v>272</v>
      </c>
      <c r="F42" s="17"/>
    </row>
    <row r="43" spans="2:9">
      <c r="B43" s="70" t="s">
        <v>43</v>
      </c>
      <c r="C43" s="28" t="s">
        <v>45</v>
      </c>
      <c r="D43" s="71" t="str">
        <f>D127</f>
        <v>00000110</v>
      </c>
      <c r="E43" s="36">
        <f t="shared" si="3"/>
        <v>272</v>
      </c>
      <c r="F43" s="17"/>
    </row>
    <row r="44" spans="2:9">
      <c r="B44" s="70" t="s">
        <v>46</v>
      </c>
      <c r="C44" s="28" t="s">
        <v>48</v>
      </c>
      <c r="D44" s="71" t="str">
        <f>D112</f>
        <v>000000ED</v>
      </c>
      <c r="E44" s="36">
        <f t="shared" si="3"/>
        <v>237</v>
      </c>
      <c r="F44" s="17"/>
    </row>
    <row r="45" spans="2:9">
      <c r="B45" s="70" t="s">
        <v>51</v>
      </c>
      <c r="C45" s="28" t="s">
        <v>50</v>
      </c>
      <c r="D45" s="71" t="str">
        <f>D97</f>
        <v>000000ED</v>
      </c>
      <c r="E45" s="36">
        <f t="shared" si="3"/>
        <v>237</v>
      </c>
      <c r="F45" s="17"/>
    </row>
    <row r="46" spans="2:9">
      <c r="B46" s="70" t="s">
        <v>52</v>
      </c>
      <c r="C46" s="28" t="s">
        <v>54</v>
      </c>
      <c r="D46" s="71" t="str">
        <f>D82</f>
        <v>000000DB</v>
      </c>
      <c r="E46" s="36">
        <f t="shared" si="3"/>
        <v>219</v>
      </c>
      <c r="F46" s="17"/>
    </row>
    <row r="47" spans="2:9">
      <c r="B47" s="70" t="s">
        <v>55</v>
      </c>
      <c r="C47" s="28" t="s">
        <v>57</v>
      </c>
      <c r="D47" s="71" t="str">
        <f>D67</f>
        <v>000000DB</v>
      </c>
      <c r="E47" s="36">
        <f t="shared" si="3"/>
        <v>219</v>
      </c>
      <c r="F47" s="17"/>
    </row>
    <row r="48" spans="2:9">
      <c r="B48" s="70" t="s">
        <v>58</v>
      </c>
      <c r="C48" s="28" t="s">
        <v>60</v>
      </c>
      <c r="D48" s="71" t="str">
        <f>D187</f>
        <v>000000FE</v>
      </c>
      <c r="E48" s="36">
        <f t="shared" si="3"/>
        <v>254</v>
      </c>
      <c r="F48" s="17"/>
    </row>
    <row r="49" spans="2:9">
      <c r="B49" s="73"/>
      <c r="C49" s="30"/>
      <c r="D49" s="72"/>
      <c r="E49" s="38"/>
      <c r="F49" s="17"/>
      <c r="G49" s="31"/>
      <c r="I49" s="17"/>
    </row>
    <row r="50" spans="2:9">
      <c r="B50" s="15" t="s">
        <v>69</v>
      </c>
      <c r="C50" s="16" t="s">
        <v>70</v>
      </c>
      <c r="D50" s="34" t="s">
        <v>144</v>
      </c>
      <c r="E50" s="39"/>
      <c r="F50" s="17"/>
      <c r="G50" s="31"/>
      <c r="I50" s="17"/>
    </row>
    <row r="51" spans="2:9">
      <c r="B51" s="73" t="s">
        <v>75</v>
      </c>
      <c r="C51" s="32" t="s">
        <v>74</v>
      </c>
      <c r="D51" s="71" t="str">
        <f>DEC2HEX(2 ^ 27 * INVERT_CLK, 8)</f>
        <v>08000000</v>
      </c>
      <c r="E51" s="40"/>
      <c r="F51" s="17"/>
      <c r="G51" s="31"/>
      <c r="I51" s="17"/>
    </row>
    <row r="52" spans="2:9" ht="13.5" thickBot="1">
      <c r="B52" s="74"/>
      <c r="C52" s="75"/>
      <c r="D52" s="75"/>
      <c r="E52" s="41"/>
      <c r="F52" s="17"/>
      <c r="G52" s="33"/>
      <c r="H52" s="33"/>
      <c r="I52" s="17"/>
    </row>
    <row r="53" spans="2:9">
      <c r="C53" s="68"/>
      <c r="D53" s="69"/>
      <c r="E53" s="25"/>
      <c r="F53" s="26"/>
      <c r="G53" s="27"/>
      <c r="H53" s="27"/>
      <c r="I53" s="27"/>
    </row>
    <row r="54" spans="2:9" s="20" customFormat="1" ht="13.5" thickBot="1">
      <c r="C54" s="76"/>
      <c r="D54" s="65"/>
      <c r="E54" s="33"/>
      <c r="F54" s="77"/>
    </row>
    <row r="55" spans="2:9" s="20" customFormat="1">
      <c r="B55" s="91" t="s">
        <v>14</v>
      </c>
      <c r="C55" s="92"/>
      <c r="D55" s="92"/>
      <c r="E55" s="93"/>
      <c r="F55" s="78"/>
    </row>
    <row r="56" spans="2:9" s="20" customFormat="1">
      <c r="B56" s="51"/>
      <c r="C56" s="29"/>
      <c r="D56" s="29"/>
      <c r="E56" s="50" t="s">
        <v>146</v>
      </c>
      <c r="F56" s="78"/>
    </row>
    <row r="57" spans="2:9" s="20" customFormat="1">
      <c r="B57" s="42" t="s">
        <v>147</v>
      </c>
      <c r="C57" s="43"/>
      <c r="D57" s="43"/>
      <c r="E57" s="49">
        <f>F8</f>
        <v>0.21034644</v>
      </c>
      <c r="F57" s="78"/>
    </row>
    <row r="58" spans="2:9" s="20" customFormat="1">
      <c r="B58" s="42" t="s">
        <v>148</v>
      </c>
      <c r="C58" s="43"/>
      <c r="D58" s="43"/>
      <c r="E58" s="49">
        <f>F9</f>
        <v>0.39788024</v>
      </c>
      <c r="F58" s="78"/>
    </row>
    <row r="59" spans="2:9" s="20" customFormat="1">
      <c r="B59" s="42" t="s">
        <v>149</v>
      </c>
      <c r="C59" s="43"/>
      <c r="D59" s="43"/>
      <c r="E59" s="49">
        <f>E58-E57</f>
        <v>0.1875338</v>
      </c>
      <c r="F59" s="78"/>
    </row>
    <row r="60" spans="2:9" s="20" customFormat="1">
      <c r="B60" s="42" t="s">
        <v>150</v>
      </c>
      <c r="C60" s="43"/>
      <c r="D60" s="43"/>
      <c r="E60" s="79">
        <f>E58+E57</f>
        <v>0.60822668000000002</v>
      </c>
      <c r="F60" s="78"/>
    </row>
    <row r="61" spans="2:9" s="20" customFormat="1">
      <c r="B61" s="42"/>
      <c r="C61" s="43"/>
      <c r="D61" s="43"/>
      <c r="E61" s="49"/>
      <c r="F61" s="78"/>
    </row>
    <row r="62" spans="2:9" s="20" customFormat="1">
      <c r="B62" s="42"/>
      <c r="C62" s="43"/>
      <c r="D62" s="16" t="s">
        <v>144</v>
      </c>
      <c r="E62" s="37" t="s">
        <v>145</v>
      </c>
      <c r="F62" s="78"/>
    </row>
    <row r="63" spans="2:9" s="20" customFormat="1">
      <c r="B63" s="42" t="s">
        <v>62</v>
      </c>
      <c r="C63" s="43"/>
      <c r="D63" s="29" t="str">
        <f>DEC2HEX(E63,8)</f>
        <v>00000034</v>
      </c>
      <c r="E63" s="47">
        <f>HEX2DEC("34")</f>
        <v>52</v>
      </c>
      <c r="F63" s="78"/>
    </row>
    <row r="64" spans="2:9" s="20" customFormat="1">
      <c r="B64" s="42" t="s">
        <v>61</v>
      </c>
      <c r="C64" s="43"/>
      <c r="D64" s="29" t="str">
        <f t="shared" ref="D64:D67" si="4">DEC2HEX(E64,8)</f>
        <v>000000B0</v>
      </c>
      <c r="E64" s="36">
        <f>IF(E58 &lt; 0.001, 0, FLOOR((E59 + INVERT_CLK / 2) * FULL_CYCLE_RATIO, 1))</f>
        <v>176</v>
      </c>
      <c r="F64" s="78"/>
    </row>
    <row r="65" spans="2:6" s="20" customFormat="1">
      <c r="B65" s="42" t="s">
        <v>63</v>
      </c>
      <c r="C65" s="43"/>
      <c r="D65" s="29" t="str">
        <f t="shared" si="4"/>
        <v>00000070</v>
      </c>
      <c r="E65" s="47">
        <f>IF((E64 - (FULL_CYCLE_RATIO / 4)) &lt; 0, 0, (E64 - (FULL_CYCLE_RATIO / 4)))</f>
        <v>112</v>
      </c>
      <c r="F65" s="78"/>
    </row>
    <row r="66" spans="2:6" s="20" customFormat="1">
      <c r="B66" s="42" t="s">
        <v>132</v>
      </c>
      <c r="C66" s="43"/>
      <c r="D66" s="29" t="str">
        <f t="shared" si="4"/>
        <v>0000011B</v>
      </c>
      <c r="E66" s="47">
        <f>IF(E58 &lt; 0.001, 0, FLOOR((E60 + INVERT_CLK / 2) * FULL_CYCLE_RATIO, 1))</f>
        <v>283</v>
      </c>
      <c r="F66" s="78"/>
    </row>
    <row r="67" spans="2:6" s="20" customFormat="1" ht="13.5" thickBot="1">
      <c r="B67" s="44" t="s">
        <v>64</v>
      </c>
      <c r="C67" s="45"/>
      <c r="D67" s="46" t="str">
        <f t="shared" si="4"/>
        <v>000000DB</v>
      </c>
      <c r="E67" s="48">
        <f>IF((E66 - (FULL_CYCLE_RATIO / 4)) &lt; 0, 0, (E66 - (FULL_CYCLE_RATIO / 4)))</f>
        <v>219</v>
      </c>
      <c r="F67" s="78"/>
    </row>
    <row r="68" spans="2:6" s="20" customFormat="1">
      <c r="B68" s="80"/>
      <c r="C68" s="80"/>
      <c r="D68" s="80"/>
      <c r="E68" s="80"/>
    </row>
    <row r="69" spans="2:6" s="20" customFormat="1" ht="13.5" thickBot="1">
      <c r="B69" s="80"/>
      <c r="C69" s="80"/>
      <c r="D69" s="80"/>
      <c r="E69" s="80"/>
    </row>
    <row r="70" spans="2:6" s="20" customFormat="1">
      <c r="B70" s="91" t="s">
        <v>15</v>
      </c>
      <c r="C70" s="92"/>
      <c r="D70" s="92"/>
      <c r="E70" s="93"/>
      <c r="F70" s="78"/>
    </row>
    <row r="71" spans="2:6" s="20" customFormat="1">
      <c r="B71" s="51"/>
      <c r="C71" s="29"/>
      <c r="D71" s="29"/>
      <c r="E71" s="50" t="s">
        <v>146</v>
      </c>
      <c r="F71" s="78"/>
    </row>
    <row r="72" spans="2:6" s="20" customFormat="1">
      <c r="B72" s="42" t="s">
        <v>147</v>
      </c>
      <c r="C72" s="43"/>
      <c r="D72" s="43"/>
      <c r="E72" s="79">
        <f>F10</f>
        <v>0.21058443999999998</v>
      </c>
      <c r="F72" s="78"/>
    </row>
    <row r="73" spans="2:6" s="20" customFormat="1">
      <c r="B73" s="42" t="s">
        <v>148</v>
      </c>
      <c r="C73" s="43"/>
      <c r="D73" s="43"/>
      <c r="E73" s="79">
        <f>F11</f>
        <v>0.39788024</v>
      </c>
      <c r="F73" s="78"/>
    </row>
    <row r="74" spans="2:6" s="20" customFormat="1">
      <c r="B74" s="42" t="s">
        <v>149</v>
      </c>
      <c r="C74" s="43"/>
      <c r="D74" s="43"/>
      <c r="E74" s="79">
        <f>E73-E72</f>
        <v>0.18729580000000001</v>
      </c>
      <c r="F74" s="78"/>
    </row>
    <row r="75" spans="2:6" s="20" customFormat="1">
      <c r="B75" s="42" t="s">
        <v>150</v>
      </c>
      <c r="C75" s="43"/>
      <c r="D75" s="43"/>
      <c r="E75" s="79">
        <f>E73+E72</f>
        <v>0.60846467999999998</v>
      </c>
      <c r="F75" s="78"/>
    </row>
    <row r="76" spans="2:6" s="20" customFormat="1">
      <c r="B76" s="42"/>
      <c r="C76" s="43"/>
      <c r="D76" s="43"/>
      <c r="E76" s="79"/>
      <c r="F76" s="78"/>
    </row>
    <row r="77" spans="2:6" s="20" customFormat="1">
      <c r="B77" s="42"/>
      <c r="C77" s="43"/>
      <c r="D77" s="16" t="s">
        <v>144</v>
      </c>
      <c r="E77" s="37" t="s">
        <v>145</v>
      </c>
      <c r="F77" s="78"/>
    </row>
    <row r="78" spans="2:6" s="20" customFormat="1">
      <c r="B78" s="42" t="s">
        <v>62</v>
      </c>
      <c r="C78" s="43"/>
      <c r="D78" s="29" t="str">
        <f>DEC2HEX(E78,8)</f>
        <v>00000034</v>
      </c>
      <c r="E78" s="47">
        <f>HEX2DEC("34")</f>
        <v>52</v>
      </c>
      <c r="F78" s="78"/>
    </row>
    <row r="79" spans="2:6" s="20" customFormat="1">
      <c r="B79" s="42" t="s">
        <v>61</v>
      </c>
      <c r="C79" s="43"/>
      <c r="D79" s="29" t="str">
        <f t="shared" ref="D79:D82" si="5">DEC2HEX(E79,8)</f>
        <v>000000AF</v>
      </c>
      <c r="E79" s="36">
        <f>IF(E73 &lt; 0.001, 0, FLOOR((E74 + INVERT_CLK / 2) * FULL_CYCLE_RATIO, 1))</f>
        <v>175</v>
      </c>
      <c r="F79" s="78"/>
    </row>
    <row r="80" spans="2:6" s="20" customFormat="1">
      <c r="B80" s="42" t="s">
        <v>63</v>
      </c>
      <c r="C80" s="43"/>
      <c r="D80" s="29" t="str">
        <f t="shared" si="5"/>
        <v>0000006F</v>
      </c>
      <c r="E80" s="47">
        <f>IF((E79 - (FULL_CYCLE_RATIO / 4)) &lt; 0, 0, (E79 - (FULL_CYCLE_RATIO / 4)))</f>
        <v>111</v>
      </c>
      <c r="F80" s="78"/>
    </row>
    <row r="81" spans="2:6" s="20" customFormat="1">
      <c r="B81" s="42" t="s">
        <v>132</v>
      </c>
      <c r="C81" s="43"/>
      <c r="D81" s="29" t="str">
        <f t="shared" si="5"/>
        <v>0000011B</v>
      </c>
      <c r="E81" s="47">
        <f>IF(E73 &lt; 0.001, 0, FLOOR((E75 + INVERT_CLK / 2) * FULL_CYCLE_RATIO, 1))</f>
        <v>283</v>
      </c>
      <c r="F81" s="78"/>
    </row>
    <row r="82" spans="2:6" s="20" customFormat="1" ht="13.5" thickBot="1">
      <c r="B82" s="44" t="s">
        <v>64</v>
      </c>
      <c r="C82" s="45"/>
      <c r="D82" s="46" t="str">
        <f t="shared" si="5"/>
        <v>000000DB</v>
      </c>
      <c r="E82" s="48">
        <f>IF((E81 - (FULL_CYCLE_RATIO / 4)) &lt; 0, 0, (E81 - (FULL_CYCLE_RATIO / 4)))</f>
        <v>219</v>
      </c>
      <c r="F82" s="78"/>
    </row>
    <row r="83" spans="2:6" s="20" customFormat="1">
      <c r="B83" s="80"/>
      <c r="C83" s="80"/>
      <c r="D83" s="80"/>
      <c r="E83" s="80"/>
    </row>
    <row r="84" spans="2:6" s="20" customFormat="1" ht="13.5" thickBot="1">
      <c r="B84" s="80"/>
      <c r="C84" s="80"/>
      <c r="D84" s="80"/>
      <c r="E84" s="80"/>
    </row>
    <row r="85" spans="2:6" s="20" customFormat="1">
      <c r="B85" s="91" t="s">
        <v>16</v>
      </c>
      <c r="C85" s="92"/>
      <c r="D85" s="92"/>
      <c r="E85" s="93"/>
      <c r="F85" s="78"/>
    </row>
    <row r="86" spans="2:6" s="20" customFormat="1">
      <c r="B86" s="51"/>
      <c r="C86" s="29"/>
      <c r="D86" s="29"/>
      <c r="E86" s="50" t="s">
        <v>146</v>
      </c>
      <c r="F86" s="78"/>
    </row>
    <row r="87" spans="2:6" s="20" customFormat="1">
      <c r="B87" s="42" t="s">
        <v>147</v>
      </c>
      <c r="C87" s="43"/>
      <c r="D87" s="43"/>
      <c r="E87" s="79">
        <f>F12</f>
        <v>0.21001052000000001</v>
      </c>
      <c r="F87" s="78"/>
    </row>
    <row r="88" spans="2:6" s="20" customFormat="1">
      <c r="B88" s="42" t="s">
        <v>148</v>
      </c>
      <c r="C88" s="43"/>
      <c r="D88" s="43"/>
      <c r="E88" s="79">
        <f>F13</f>
        <v>0.46823984000000002</v>
      </c>
      <c r="F88" s="78"/>
    </row>
    <row r="89" spans="2:6" s="20" customFormat="1">
      <c r="B89" s="42" t="s">
        <v>149</v>
      </c>
      <c r="C89" s="43"/>
      <c r="D89" s="43"/>
      <c r="E89" s="79">
        <f>E88-E87</f>
        <v>0.25822931999999998</v>
      </c>
      <c r="F89" s="78"/>
    </row>
    <row r="90" spans="2:6" s="20" customFormat="1">
      <c r="B90" s="42" t="s">
        <v>150</v>
      </c>
      <c r="C90" s="43"/>
      <c r="D90" s="43"/>
      <c r="E90" s="79">
        <f>E88+E87</f>
        <v>0.67825036000000005</v>
      </c>
      <c r="F90" s="78"/>
    </row>
    <row r="91" spans="2:6" s="20" customFormat="1">
      <c r="B91" s="42"/>
      <c r="C91" s="43"/>
      <c r="D91" s="43"/>
      <c r="E91" s="79"/>
      <c r="F91" s="78"/>
    </row>
    <row r="92" spans="2:6" s="20" customFormat="1">
      <c r="B92" s="42"/>
      <c r="C92" s="43"/>
      <c r="D92" s="16" t="s">
        <v>144</v>
      </c>
      <c r="E92" s="37" t="s">
        <v>145</v>
      </c>
      <c r="F92" s="78"/>
    </row>
    <row r="93" spans="2:6" s="20" customFormat="1">
      <c r="B93" s="42" t="s">
        <v>62</v>
      </c>
      <c r="C93" s="43"/>
      <c r="D93" s="29" t="str">
        <f>DEC2HEX(E93,8)</f>
        <v>00000034</v>
      </c>
      <c r="E93" s="47">
        <f>HEX2DEC("34")</f>
        <v>52</v>
      </c>
      <c r="F93" s="78"/>
    </row>
    <row r="94" spans="2:6" s="20" customFormat="1">
      <c r="B94" s="42" t="s">
        <v>61</v>
      </c>
      <c r="C94" s="43"/>
      <c r="D94" s="29" t="str">
        <f t="shared" ref="D94:D97" si="6">DEC2HEX(E94,8)</f>
        <v>000000C2</v>
      </c>
      <c r="E94" s="36">
        <f>IF(E88 &lt; 0.001, 0, FLOOR((E89 + INVERT_CLK / 2) * FULL_CYCLE_RATIO, 1))</f>
        <v>194</v>
      </c>
      <c r="F94" s="78"/>
    </row>
    <row r="95" spans="2:6" s="20" customFormat="1">
      <c r="B95" s="42" t="s">
        <v>63</v>
      </c>
      <c r="C95" s="43"/>
      <c r="D95" s="29" t="str">
        <f t="shared" si="6"/>
        <v>00000082</v>
      </c>
      <c r="E95" s="47">
        <f>IF((E94 - (FULL_CYCLE_RATIO / 4)) &lt; 0, 0, (E94 - (FULL_CYCLE_RATIO / 4)))</f>
        <v>130</v>
      </c>
      <c r="F95" s="78"/>
    </row>
    <row r="96" spans="2:6" s="20" customFormat="1">
      <c r="B96" s="42" t="s">
        <v>132</v>
      </c>
      <c r="C96" s="43"/>
      <c r="D96" s="29" t="str">
        <f t="shared" si="6"/>
        <v>0000012D</v>
      </c>
      <c r="E96" s="47">
        <f>IF(E88 &lt; 0.001, 0, FLOOR((E90 + INVERT_CLK / 2) * FULL_CYCLE_RATIO, 1))</f>
        <v>301</v>
      </c>
      <c r="F96" s="78"/>
    </row>
    <row r="97" spans="2:6" s="20" customFormat="1" ht="13.5" thickBot="1">
      <c r="B97" s="44" t="s">
        <v>64</v>
      </c>
      <c r="C97" s="45"/>
      <c r="D97" s="46" t="str">
        <f t="shared" si="6"/>
        <v>000000ED</v>
      </c>
      <c r="E97" s="48">
        <f>IF((E96 - (FULL_CYCLE_RATIO / 4)) &lt; 0, 0, (E96 - (FULL_CYCLE_RATIO / 4)))</f>
        <v>237</v>
      </c>
      <c r="F97" s="78"/>
    </row>
    <row r="98" spans="2:6" s="20" customFormat="1">
      <c r="B98" s="80"/>
      <c r="C98" s="80"/>
      <c r="D98" s="80"/>
      <c r="E98" s="80"/>
    </row>
    <row r="99" spans="2:6" s="20" customFormat="1" ht="13.5" thickBot="1">
      <c r="B99" s="80"/>
      <c r="C99" s="80"/>
      <c r="D99" s="80"/>
      <c r="E99" s="80"/>
    </row>
    <row r="100" spans="2:6" s="20" customFormat="1">
      <c r="B100" s="91" t="s">
        <v>17</v>
      </c>
      <c r="C100" s="92"/>
      <c r="D100" s="92"/>
      <c r="E100" s="93"/>
      <c r="F100" s="78"/>
    </row>
    <row r="101" spans="2:6" s="20" customFormat="1">
      <c r="B101" s="51"/>
      <c r="C101" s="29"/>
      <c r="D101" s="29"/>
      <c r="E101" s="50" t="s">
        <v>146</v>
      </c>
      <c r="F101" s="78"/>
    </row>
    <row r="102" spans="2:6" s="20" customFormat="1">
      <c r="B102" s="42" t="s">
        <v>147</v>
      </c>
      <c r="C102" s="43"/>
      <c r="D102" s="43"/>
      <c r="E102" s="79">
        <f>F14</f>
        <v>0.20989899999999997</v>
      </c>
      <c r="F102" s="78"/>
    </row>
    <row r="103" spans="2:6" s="20" customFormat="1">
      <c r="B103" s="42" t="s">
        <v>148</v>
      </c>
      <c r="C103" s="43"/>
      <c r="D103" s="43"/>
      <c r="E103" s="79">
        <f>F15</f>
        <v>0.46823984000000002</v>
      </c>
      <c r="F103" s="78"/>
    </row>
    <row r="104" spans="2:6" s="20" customFormat="1">
      <c r="B104" s="42" t="s">
        <v>149</v>
      </c>
      <c r="C104" s="43"/>
      <c r="D104" s="43"/>
      <c r="E104" s="79">
        <f>E103-E102</f>
        <v>0.25834084000000002</v>
      </c>
      <c r="F104" s="78"/>
    </row>
    <row r="105" spans="2:6" s="20" customFormat="1">
      <c r="B105" s="42" t="s">
        <v>150</v>
      </c>
      <c r="C105" s="43"/>
      <c r="D105" s="43"/>
      <c r="E105" s="79">
        <f>E103+E102</f>
        <v>0.67813884000000002</v>
      </c>
      <c r="F105" s="78"/>
    </row>
    <row r="106" spans="2:6" s="20" customFormat="1">
      <c r="B106" s="42"/>
      <c r="C106" s="43"/>
      <c r="D106" s="43"/>
      <c r="E106" s="79"/>
      <c r="F106" s="78"/>
    </row>
    <row r="107" spans="2:6" s="20" customFormat="1">
      <c r="B107" s="42"/>
      <c r="C107" s="43"/>
      <c r="D107" s="16" t="s">
        <v>144</v>
      </c>
      <c r="E107" s="37" t="s">
        <v>145</v>
      </c>
      <c r="F107" s="78"/>
    </row>
    <row r="108" spans="2:6" s="20" customFormat="1">
      <c r="B108" s="42" t="s">
        <v>62</v>
      </c>
      <c r="C108" s="43"/>
      <c r="D108" s="29" t="str">
        <f>DEC2HEX(E108,8)</f>
        <v>00000034</v>
      </c>
      <c r="E108" s="47">
        <f>HEX2DEC("34")</f>
        <v>52</v>
      </c>
      <c r="F108" s="78"/>
    </row>
    <row r="109" spans="2:6" s="20" customFormat="1">
      <c r="B109" s="42" t="s">
        <v>61</v>
      </c>
      <c r="C109" s="43"/>
      <c r="D109" s="29" t="str">
        <f t="shared" ref="D109:D112" si="7">DEC2HEX(E109,8)</f>
        <v>000000C2</v>
      </c>
      <c r="E109" s="36">
        <f>IF(E103 &lt; 0.001, 0, FLOOR((E104 + INVERT_CLK / 2) * FULL_CYCLE_RATIO, 1))</f>
        <v>194</v>
      </c>
      <c r="F109" s="78"/>
    </row>
    <row r="110" spans="2:6" s="20" customFormat="1">
      <c r="B110" s="42" t="s">
        <v>63</v>
      </c>
      <c r="C110" s="43"/>
      <c r="D110" s="29" t="str">
        <f t="shared" si="7"/>
        <v>00000082</v>
      </c>
      <c r="E110" s="47">
        <f>IF((E109 - (FULL_CYCLE_RATIO / 4)) &lt; 0, 0, (E109 - (FULL_CYCLE_RATIO / 4)))</f>
        <v>130</v>
      </c>
      <c r="F110" s="78"/>
    </row>
    <row r="111" spans="2:6" s="20" customFormat="1">
      <c r="B111" s="42" t="s">
        <v>132</v>
      </c>
      <c r="C111" s="43"/>
      <c r="D111" s="29" t="str">
        <f t="shared" si="7"/>
        <v>0000012D</v>
      </c>
      <c r="E111" s="47">
        <f>IF(E103 &lt; 0.001, 0, FLOOR((E105 + INVERT_CLK / 2) * FULL_CYCLE_RATIO, 1))</f>
        <v>301</v>
      </c>
      <c r="F111" s="78"/>
    </row>
    <row r="112" spans="2:6" s="20" customFormat="1" ht="13.5" thickBot="1">
      <c r="B112" s="44" t="s">
        <v>64</v>
      </c>
      <c r="C112" s="45"/>
      <c r="D112" s="46" t="str">
        <f t="shared" si="7"/>
        <v>000000ED</v>
      </c>
      <c r="E112" s="48">
        <f>IF((E111 - (FULL_CYCLE_RATIO / 4)) &lt; 0, 0, (E111 - (FULL_CYCLE_RATIO / 4)))</f>
        <v>237</v>
      </c>
      <c r="F112" s="78"/>
    </row>
    <row r="113" spans="2:6" s="20" customFormat="1">
      <c r="B113" s="80"/>
      <c r="C113" s="80"/>
      <c r="D113" s="80"/>
      <c r="E113" s="80"/>
    </row>
    <row r="114" spans="2:6" s="20" customFormat="1" ht="13.5" thickBot="1">
      <c r="B114" s="80"/>
      <c r="C114" s="80"/>
      <c r="D114" s="80"/>
      <c r="E114" s="80"/>
    </row>
    <row r="115" spans="2:6" s="20" customFormat="1">
      <c r="B115" s="91" t="s">
        <v>20</v>
      </c>
      <c r="C115" s="92"/>
      <c r="D115" s="92"/>
      <c r="E115" s="93"/>
      <c r="F115" s="78"/>
    </row>
    <row r="116" spans="2:6" s="20" customFormat="1">
      <c r="B116" s="51"/>
      <c r="C116" s="29"/>
      <c r="D116" s="29"/>
      <c r="E116" s="50" t="s">
        <v>146</v>
      </c>
      <c r="F116" s="78"/>
    </row>
    <row r="117" spans="2:6" s="20" customFormat="1">
      <c r="B117" s="42" t="s">
        <v>147</v>
      </c>
      <c r="C117" s="43"/>
      <c r="D117" s="43"/>
      <c r="E117" s="79">
        <f>F16</f>
        <v>0.21036412000000002</v>
      </c>
      <c r="F117" s="78"/>
    </row>
    <row r="118" spans="2:6" s="20" customFormat="1">
      <c r="B118" s="42" t="s">
        <v>148</v>
      </c>
      <c r="C118" s="43"/>
      <c r="D118" s="43"/>
      <c r="E118" s="79">
        <f>F17</f>
        <v>0.60432211999999996</v>
      </c>
      <c r="F118" s="78"/>
    </row>
    <row r="119" spans="2:6" s="20" customFormat="1">
      <c r="B119" s="42" t="s">
        <v>149</v>
      </c>
      <c r="C119" s="43"/>
      <c r="D119" s="43"/>
      <c r="E119" s="79">
        <f>E118-E117</f>
        <v>0.39395799999999992</v>
      </c>
      <c r="F119" s="78"/>
    </row>
    <row r="120" spans="2:6" s="20" customFormat="1">
      <c r="B120" s="42" t="s">
        <v>150</v>
      </c>
      <c r="C120" s="43"/>
      <c r="D120" s="43"/>
      <c r="E120" s="79">
        <f>E118+E117</f>
        <v>0.81468624000000001</v>
      </c>
      <c r="F120" s="78"/>
    </row>
    <row r="121" spans="2:6" s="20" customFormat="1">
      <c r="B121" s="42"/>
      <c r="C121" s="43"/>
      <c r="D121" s="43"/>
      <c r="E121" s="79"/>
      <c r="F121" s="78"/>
    </row>
    <row r="122" spans="2:6" s="20" customFormat="1">
      <c r="B122" s="42"/>
      <c r="C122" s="43"/>
      <c r="D122" s="16" t="s">
        <v>144</v>
      </c>
      <c r="E122" s="37" t="s">
        <v>145</v>
      </c>
      <c r="F122" s="78"/>
    </row>
    <row r="123" spans="2:6" s="20" customFormat="1">
      <c r="B123" s="42" t="s">
        <v>62</v>
      </c>
      <c r="C123" s="43"/>
      <c r="D123" s="29" t="str">
        <f>DEC2HEX(E123,8)</f>
        <v>00000034</v>
      </c>
      <c r="E123" s="47">
        <f>HEX2DEC("34")</f>
        <v>52</v>
      </c>
      <c r="F123" s="78"/>
    </row>
    <row r="124" spans="2:6" s="20" customFormat="1">
      <c r="B124" s="42" t="s">
        <v>61</v>
      </c>
      <c r="C124" s="43"/>
      <c r="D124" s="29" t="str">
        <f t="shared" ref="D124:D127" si="8">DEC2HEX(E124,8)</f>
        <v>000000E4</v>
      </c>
      <c r="E124" s="36">
        <f>IF(E118 &lt; 0.001, 0, FLOOR((E119 + INVERT_CLK / 2) * FULL_CYCLE_RATIO, 1))</f>
        <v>228</v>
      </c>
      <c r="F124" s="78"/>
    </row>
    <row r="125" spans="2:6" s="20" customFormat="1">
      <c r="B125" s="42" t="s">
        <v>63</v>
      </c>
      <c r="C125" s="43"/>
      <c r="D125" s="29" t="str">
        <f t="shared" si="8"/>
        <v>000000A4</v>
      </c>
      <c r="E125" s="47">
        <f>IF((E124 - (FULL_CYCLE_RATIO / 4)) &lt; 0, 0, (E124 - (FULL_CYCLE_RATIO / 4)))</f>
        <v>164</v>
      </c>
      <c r="F125" s="78"/>
    </row>
    <row r="126" spans="2:6" s="20" customFormat="1">
      <c r="B126" s="42" t="s">
        <v>132</v>
      </c>
      <c r="C126" s="43"/>
      <c r="D126" s="29" t="str">
        <f t="shared" si="8"/>
        <v>00000150</v>
      </c>
      <c r="E126" s="47">
        <f>IF(E118 &lt; 0.001, 0, FLOOR((E120 + INVERT_CLK / 2) * FULL_CYCLE_RATIO, 1))</f>
        <v>336</v>
      </c>
      <c r="F126" s="78"/>
    </row>
    <row r="127" spans="2:6" s="20" customFormat="1" ht="13.5" thickBot="1">
      <c r="B127" s="44" t="s">
        <v>64</v>
      </c>
      <c r="C127" s="45"/>
      <c r="D127" s="46" t="str">
        <f t="shared" si="8"/>
        <v>00000110</v>
      </c>
      <c r="E127" s="48">
        <f>IF((E126 - (FULL_CYCLE_RATIO / 4)) &lt; 0, 0, (E126 - (FULL_CYCLE_RATIO / 4)))</f>
        <v>272</v>
      </c>
      <c r="F127" s="78"/>
    </row>
    <row r="128" spans="2:6" s="20" customFormat="1">
      <c r="B128" s="80"/>
      <c r="C128" s="80"/>
      <c r="D128" s="80"/>
      <c r="E128" s="80"/>
    </row>
    <row r="129" spans="2:6" s="20" customFormat="1" ht="13.5" thickBot="1">
      <c r="B129" s="80"/>
      <c r="C129" s="80"/>
      <c r="D129" s="80"/>
      <c r="E129" s="80"/>
    </row>
    <row r="130" spans="2:6" s="20" customFormat="1">
      <c r="B130" s="91" t="s">
        <v>21</v>
      </c>
      <c r="C130" s="92"/>
      <c r="D130" s="92"/>
      <c r="E130" s="93"/>
      <c r="F130" s="78"/>
    </row>
    <row r="131" spans="2:6" s="20" customFormat="1">
      <c r="B131" s="51"/>
      <c r="C131" s="29"/>
      <c r="D131" s="29"/>
      <c r="E131" s="50" t="s">
        <v>146</v>
      </c>
      <c r="F131" s="78"/>
    </row>
    <row r="132" spans="2:6" s="20" customFormat="1">
      <c r="B132" s="42" t="s">
        <v>147</v>
      </c>
      <c r="C132" s="43"/>
      <c r="D132" s="43"/>
      <c r="E132" s="79">
        <f>F18</f>
        <v>0.21013156</v>
      </c>
      <c r="F132" s="78"/>
    </row>
    <row r="133" spans="2:6" s="20" customFormat="1">
      <c r="B133" s="42" t="s">
        <v>148</v>
      </c>
      <c r="C133" s="43"/>
      <c r="D133" s="43"/>
      <c r="E133" s="79">
        <f>F19</f>
        <v>0.60432211999999996</v>
      </c>
      <c r="F133" s="78"/>
    </row>
    <row r="134" spans="2:6" s="20" customFormat="1">
      <c r="B134" s="42" t="s">
        <v>149</v>
      </c>
      <c r="C134" s="43"/>
      <c r="D134" s="43"/>
      <c r="E134" s="79">
        <f>E133-E132</f>
        <v>0.39419055999999997</v>
      </c>
      <c r="F134" s="78"/>
    </row>
    <row r="135" spans="2:6" s="20" customFormat="1">
      <c r="B135" s="42" t="s">
        <v>150</v>
      </c>
      <c r="C135" s="43"/>
      <c r="D135" s="43"/>
      <c r="E135" s="79">
        <f>E133+E132</f>
        <v>0.81445367999999996</v>
      </c>
      <c r="F135" s="78"/>
    </row>
    <row r="136" spans="2:6" s="20" customFormat="1">
      <c r="B136" s="42"/>
      <c r="C136" s="43"/>
      <c r="D136" s="43"/>
      <c r="E136" s="79"/>
      <c r="F136" s="78"/>
    </row>
    <row r="137" spans="2:6" s="20" customFormat="1">
      <c r="B137" s="42"/>
      <c r="C137" s="43"/>
      <c r="D137" s="16" t="s">
        <v>144</v>
      </c>
      <c r="E137" s="37" t="s">
        <v>145</v>
      </c>
      <c r="F137" s="78"/>
    </row>
    <row r="138" spans="2:6" s="20" customFormat="1">
      <c r="B138" s="42" t="s">
        <v>62</v>
      </c>
      <c r="C138" s="43"/>
      <c r="D138" s="29" t="str">
        <f>DEC2HEX(E138,8)</f>
        <v>00000034</v>
      </c>
      <c r="E138" s="47">
        <f>HEX2DEC("34")</f>
        <v>52</v>
      </c>
      <c r="F138" s="78"/>
    </row>
    <row r="139" spans="2:6" s="20" customFormat="1">
      <c r="B139" s="42" t="s">
        <v>61</v>
      </c>
      <c r="C139" s="43"/>
      <c r="D139" s="29" t="str">
        <f t="shared" ref="D139:D142" si="9">DEC2HEX(E139,8)</f>
        <v>000000E4</v>
      </c>
      <c r="E139" s="36">
        <f>IF(E133 &lt; 0.001, 0, FLOOR((E134 + INVERT_CLK / 2) * FULL_CYCLE_RATIO, 1))</f>
        <v>228</v>
      </c>
      <c r="F139" s="78"/>
    </row>
    <row r="140" spans="2:6" s="20" customFormat="1">
      <c r="B140" s="42" t="s">
        <v>63</v>
      </c>
      <c r="C140" s="43"/>
      <c r="D140" s="29" t="str">
        <f t="shared" si="9"/>
        <v>000000A4</v>
      </c>
      <c r="E140" s="47">
        <f>IF((E139 - (FULL_CYCLE_RATIO / 4)) &lt; 0, 0, (E139 - (FULL_CYCLE_RATIO / 4)))</f>
        <v>164</v>
      </c>
      <c r="F140" s="78"/>
    </row>
    <row r="141" spans="2:6" s="20" customFormat="1">
      <c r="B141" s="42" t="s">
        <v>132</v>
      </c>
      <c r="C141" s="43"/>
      <c r="D141" s="29" t="str">
        <f t="shared" si="9"/>
        <v>00000150</v>
      </c>
      <c r="E141" s="47">
        <f>IF(E133 &lt; 0.001, 0, FLOOR((E135 + INVERT_CLK / 2) * FULL_CYCLE_RATIO, 1))</f>
        <v>336</v>
      </c>
      <c r="F141" s="78"/>
    </row>
    <row r="142" spans="2:6" s="20" customFormat="1" ht="13.5" thickBot="1">
      <c r="B142" s="44" t="s">
        <v>64</v>
      </c>
      <c r="C142" s="45"/>
      <c r="D142" s="46" t="str">
        <f t="shared" si="9"/>
        <v>00000110</v>
      </c>
      <c r="E142" s="48">
        <f>IF((E141 - (FULL_CYCLE_RATIO / 4)) &lt; 0, 0, (E141 - (FULL_CYCLE_RATIO / 4)))</f>
        <v>272</v>
      </c>
      <c r="F142" s="78"/>
    </row>
    <row r="143" spans="2:6" s="20" customFormat="1">
      <c r="B143" s="80"/>
      <c r="C143" s="80"/>
      <c r="D143" s="80"/>
      <c r="E143" s="80"/>
    </row>
    <row r="144" spans="2:6" s="20" customFormat="1" ht="13.5" thickBot="1">
      <c r="B144" s="80"/>
      <c r="C144" s="80"/>
      <c r="D144" s="80"/>
      <c r="E144" s="80"/>
    </row>
    <row r="145" spans="2:6" s="20" customFormat="1">
      <c r="B145" s="91" t="s">
        <v>22</v>
      </c>
      <c r="C145" s="92"/>
      <c r="D145" s="92"/>
      <c r="E145" s="93"/>
      <c r="F145" s="78"/>
    </row>
    <row r="146" spans="2:6" s="20" customFormat="1">
      <c r="B146" s="51"/>
      <c r="C146" s="29"/>
      <c r="D146" s="29"/>
      <c r="E146" s="50" t="s">
        <v>146</v>
      </c>
      <c r="F146" s="78"/>
    </row>
    <row r="147" spans="2:6" s="20" customFormat="1">
      <c r="B147" s="42" t="s">
        <v>147</v>
      </c>
      <c r="C147" s="43"/>
      <c r="D147" s="43"/>
      <c r="E147" s="79">
        <f>F20</f>
        <v>0.21040288000000001</v>
      </c>
      <c r="F147" s="78"/>
    </row>
    <row r="148" spans="2:6" s="20" customFormat="1">
      <c r="B148" s="42" t="s">
        <v>148</v>
      </c>
      <c r="C148" s="43"/>
      <c r="D148" s="43"/>
      <c r="E148" s="79">
        <f>F21</f>
        <v>0.68339048000000002</v>
      </c>
      <c r="F148" s="78"/>
    </row>
    <row r="149" spans="2:6" s="20" customFormat="1">
      <c r="B149" s="42" t="s">
        <v>149</v>
      </c>
      <c r="C149" s="43"/>
      <c r="D149" s="43"/>
      <c r="E149" s="79">
        <f>E148-E147</f>
        <v>0.47298760000000001</v>
      </c>
      <c r="F149" s="78"/>
    </row>
    <row r="150" spans="2:6" s="20" customFormat="1">
      <c r="B150" s="42" t="s">
        <v>150</v>
      </c>
      <c r="C150" s="43"/>
      <c r="D150" s="43"/>
      <c r="E150" s="79">
        <f>E148+E147</f>
        <v>0.89379336000000009</v>
      </c>
      <c r="F150" s="78"/>
    </row>
    <row r="151" spans="2:6" s="20" customFormat="1">
      <c r="B151" s="42"/>
      <c r="C151" s="43"/>
      <c r="D151" s="43"/>
      <c r="E151" s="79"/>
      <c r="F151" s="78"/>
    </row>
    <row r="152" spans="2:6" s="20" customFormat="1">
      <c r="B152" s="42"/>
      <c r="C152" s="43"/>
      <c r="D152" s="16" t="s">
        <v>144</v>
      </c>
      <c r="E152" s="37" t="s">
        <v>145</v>
      </c>
      <c r="F152" s="78"/>
    </row>
    <row r="153" spans="2:6" s="20" customFormat="1">
      <c r="B153" s="42" t="s">
        <v>62</v>
      </c>
      <c r="C153" s="43"/>
      <c r="D153" s="29" t="str">
        <f>DEC2HEX(E153,8)</f>
        <v>00000034</v>
      </c>
      <c r="E153" s="47">
        <f>HEX2DEC("34")</f>
        <v>52</v>
      </c>
      <c r="F153" s="78"/>
    </row>
    <row r="154" spans="2:6" s="20" customFormat="1">
      <c r="B154" s="42" t="s">
        <v>61</v>
      </c>
      <c r="C154" s="43"/>
      <c r="D154" s="29" t="str">
        <f t="shared" ref="D154:D157" si="10">DEC2HEX(E154,8)</f>
        <v>000000F9</v>
      </c>
      <c r="E154" s="36">
        <f>IF(E148 &lt; 0.001, 0, FLOOR((E149 + INVERT_CLK / 2) * FULL_CYCLE_RATIO, 1))</f>
        <v>249</v>
      </c>
      <c r="F154" s="78"/>
    </row>
    <row r="155" spans="2:6" s="20" customFormat="1">
      <c r="B155" s="42" t="s">
        <v>63</v>
      </c>
      <c r="C155" s="43"/>
      <c r="D155" s="29" t="str">
        <f t="shared" si="10"/>
        <v>000000B9</v>
      </c>
      <c r="E155" s="47">
        <f>IF((E154 - (FULL_CYCLE_RATIO / 4)) &lt; 0, 0, (E154 - (FULL_CYCLE_RATIO / 4)))</f>
        <v>185</v>
      </c>
      <c r="F155" s="78"/>
    </row>
    <row r="156" spans="2:6" s="20" customFormat="1">
      <c r="B156" s="42" t="s">
        <v>132</v>
      </c>
      <c r="C156" s="43"/>
      <c r="D156" s="29" t="str">
        <f t="shared" si="10"/>
        <v>00000164</v>
      </c>
      <c r="E156" s="47">
        <f>IF(E148 &lt; 0.001, 0, FLOOR((E150 + INVERT_CLK / 2) * FULL_CYCLE_RATIO, 1))</f>
        <v>356</v>
      </c>
      <c r="F156" s="78"/>
    </row>
    <row r="157" spans="2:6" s="20" customFormat="1" ht="13.5" thickBot="1">
      <c r="B157" s="44" t="s">
        <v>64</v>
      </c>
      <c r="C157" s="45"/>
      <c r="D157" s="46" t="str">
        <f t="shared" si="10"/>
        <v>00000124</v>
      </c>
      <c r="E157" s="48">
        <f>IF((E156 - (FULL_CYCLE_RATIO / 4)) &lt; 0, 0, (E156 - (FULL_CYCLE_RATIO / 4)))</f>
        <v>292</v>
      </c>
      <c r="F157" s="78"/>
    </row>
    <row r="158" spans="2:6" s="20" customFormat="1">
      <c r="B158" s="80"/>
      <c r="C158" s="80"/>
      <c r="D158" s="80"/>
      <c r="E158" s="80"/>
    </row>
    <row r="159" spans="2:6" s="20" customFormat="1" ht="13.5" thickBot="1">
      <c r="B159" s="80"/>
      <c r="C159" s="80"/>
      <c r="D159" s="80"/>
      <c r="E159" s="80"/>
    </row>
    <row r="160" spans="2:6" s="20" customFormat="1">
      <c r="B160" s="91" t="s">
        <v>19</v>
      </c>
      <c r="C160" s="92"/>
      <c r="D160" s="92"/>
      <c r="E160" s="93"/>
      <c r="F160" s="78"/>
    </row>
    <row r="161" spans="2:6" s="20" customFormat="1">
      <c r="B161" s="51"/>
      <c r="C161" s="29"/>
      <c r="D161" s="29"/>
      <c r="E161" s="50" t="s">
        <v>146</v>
      </c>
      <c r="F161" s="78"/>
    </row>
    <row r="162" spans="2:6" s="20" customFormat="1">
      <c r="B162" s="42" t="s">
        <v>147</v>
      </c>
      <c r="C162" s="43"/>
      <c r="D162" s="43"/>
      <c r="E162" s="79">
        <f>F22</f>
        <v>0.20972015999999999</v>
      </c>
      <c r="F162" s="78"/>
    </row>
    <row r="163" spans="2:6" s="20" customFormat="1">
      <c r="B163" s="42" t="s">
        <v>148</v>
      </c>
      <c r="C163" s="43"/>
      <c r="D163" s="43"/>
      <c r="E163" s="79">
        <f>F23</f>
        <v>0.68339048000000002</v>
      </c>
      <c r="F163" s="78"/>
    </row>
    <row r="164" spans="2:6" s="20" customFormat="1">
      <c r="B164" s="42" t="s">
        <v>149</v>
      </c>
      <c r="C164" s="43"/>
      <c r="D164" s="43"/>
      <c r="E164" s="79">
        <f>E163-E162</f>
        <v>0.47367032000000003</v>
      </c>
      <c r="F164" s="78"/>
    </row>
    <row r="165" spans="2:6" s="20" customFormat="1">
      <c r="B165" s="42" t="s">
        <v>150</v>
      </c>
      <c r="C165" s="43"/>
      <c r="D165" s="43"/>
      <c r="E165" s="79">
        <f>E163+E162</f>
        <v>0.89311063999999996</v>
      </c>
      <c r="F165" s="78"/>
    </row>
    <row r="166" spans="2:6" s="20" customFormat="1">
      <c r="B166" s="42"/>
      <c r="C166" s="43"/>
      <c r="D166" s="43"/>
      <c r="E166" s="79"/>
      <c r="F166" s="78"/>
    </row>
    <row r="167" spans="2:6" s="20" customFormat="1">
      <c r="B167" s="42"/>
      <c r="C167" s="43"/>
      <c r="D167" s="16" t="s">
        <v>144</v>
      </c>
      <c r="E167" s="37" t="s">
        <v>145</v>
      </c>
      <c r="F167" s="78"/>
    </row>
    <row r="168" spans="2:6" s="20" customFormat="1">
      <c r="B168" s="42" t="s">
        <v>62</v>
      </c>
      <c r="C168" s="43"/>
      <c r="D168" s="29" t="str">
        <f>DEC2HEX(E168,8)</f>
        <v>00000034</v>
      </c>
      <c r="E168" s="47">
        <f>HEX2DEC("34")</f>
        <v>52</v>
      </c>
      <c r="F168" s="78"/>
    </row>
    <row r="169" spans="2:6" s="20" customFormat="1">
      <c r="B169" s="42" t="s">
        <v>61</v>
      </c>
      <c r="C169" s="43"/>
      <c r="D169" s="29" t="str">
        <f t="shared" ref="D169:D172" si="11">DEC2HEX(E169,8)</f>
        <v>000000F9</v>
      </c>
      <c r="E169" s="36">
        <f>IF(E163 &lt; 0.001, 0, FLOOR((E164 + INVERT_CLK / 2) * FULL_CYCLE_RATIO, 1))</f>
        <v>249</v>
      </c>
      <c r="F169" s="78"/>
    </row>
    <row r="170" spans="2:6" s="20" customFormat="1">
      <c r="B170" s="42" t="s">
        <v>63</v>
      </c>
      <c r="C170" s="43"/>
      <c r="D170" s="29" t="str">
        <f t="shared" si="11"/>
        <v>000000B9</v>
      </c>
      <c r="E170" s="47">
        <f>IF((E169 - (FULL_CYCLE_RATIO / 4)) &lt; 0, 0, (E169 - (FULL_CYCLE_RATIO / 4)))</f>
        <v>185</v>
      </c>
      <c r="F170" s="78"/>
    </row>
    <row r="171" spans="2:6" s="20" customFormat="1">
      <c r="B171" s="42" t="s">
        <v>132</v>
      </c>
      <c r="C171" s="43"/>
      <c r="D171" s="29" t="str">
        <f t="shared" si="11"/>
        <v>00000164</v>
      </c>
      <c r="E171" s="47">
        <f>IF(E163 &lt; 0.001, 0, FLOOR((E165 + INVERT_CLK / 2) * FULL_CYCLE_RATIO, 1))</f>
        <v>356</v>
      </c>
      <c r="F171" s="78"/>
    </row>
    <row r="172" spans="2:6" s="20" customFormat="1" ht="13.5" thickBot="1">
      <c r="B172" s="44" t="s">
        <v>64</v>
      </c>
      <c r="C172" s="45"/>
      <c r="D172" s="46" t="str">
        <f t="shared" si="11"/>
        <v>00000124</v>
      </c>
      <c r="E172" s="48">
        <f>IF((E171 - (FULL_CYCLE_RATIO / 4)) &lt; 0, 0, (E171 - (FULL_CYCLE_RATIO / 4)))</f>
        <v>292</v>
      </c>
      <c r="F172" s="78"/>
    </row>
    <row r="173" spans="2:6" s="20" customFormat="1">
      <c r="B173" s="80"/>
      <c r="C173" s="80"/>
      <c r="D173" s="80"/>
      <c r="E173" s="80"/>
    </row>
    <row r="174" spans="2:6" s="20" customFormat="1" ht="13.5" thickBot="1">
      <c r="B174" s="80"/>
      <c r="C174" s="80"/>
      <c r="D174" s="80"/>
      <c r="E174" s="80"/>
    </row>
    <row r="175" spans="2:6" s="20" customFormat="1">
      <c r="B175" s="91" t="s">
        <v>18</v>
      </c>
      <c r="C175" s="92"/>
      <c r="D175" s="92"/>
      <c r="E175" s="93"/>
      <c r="F175" s="78"/>
    </row>
    <row r="176" spans="2:6" s="20" customFormat="1">
      <c r="B176" s="51"/>
      <c r="C176" s="29"/>
      <c r="D176" s="29"/>
      <c r="E176" s="50" t="s">
        <v>146</v>
      </c>
      <c r="F176" s="78"/>
    </row>
    <row r="177" spans="2:6" s="20" customFormat="1">
      <c r="B177" s="42" t="s">
        <v>147</v>
      </c>
      <c r="C177" s="43"/>
      <c r="D177" s="43"/>
      <c r="E177" s="79">
        <f>F24</f>
        <v>0.21035799999999999</v>
      </c>
      <c r="F177" s="78"/>
    </row>
    <row r="178" spans="2:6" s="20" customFormat="1">
      <c r="B178" s="42" t="s">
        <v>148</v>
      </c>
      <c r="C178" s="43"/>
      <c r="D178" s="43"/>
      <c r="E178" s="79">
        <f>F25</f>
        <v>0.53527016000000005</v>
      </c>
      <c r="F178" s="78"/>
    </row>
    <row r="179" spans="2:6" s="20" customFormat="1">
      <c r="B179" s="42" t="s">
        <v>149</v>
      </c>
      <c r="C179" s="43"/>
      <c r="D179" s="43"/>
      <c r="E179" s="79">
        <f>E178-E177</f>
        <v>0.32491216000000006</v>
      </c>
      <c r="F179" s="78"/>
    </row>
    <row r="180" spans="2:6" s="20" customFormat="1">
      <c r="B180" s="42" t="s">
        <v>150</v>
      </c>
      <c r="C180" s="43"/>
      <c r="D180" s="43"/>
      <c r="E180" s="79">
        <f>E178+E177</f>
        <v>0.7456281600000001</v>
      </c>
      <c r="F180" s="78"/>
    </row>
    <row r="181" spans="2:6" s="20" customFormat="1">
      <c r="B181" s="42"/>
      <c r="C181" s="43"/>
      <c r="D181" s="43"/>
      <c r="E181" s="79"/>
      <c r="F181" s="78"/>
    </row>
    <row r="182" spans="2:6" s="20" customFormat="1">
      <c r="B182" s="42"/>
      <c r="C182" s="43"/>
      <c r="D182" s="16" t="s">
        <v>144</v>
      </c>
      <c r="E182" s="37" t="s">
        <v>145</v>
      </c>
      <c r="F182" s="78"/>
    </row>
    <row r="183" spans="2:6" s="20" customFormat="1">
      <c r="B183" s="42" t="s">
        <v>62</v>
      </c>
      <c r="C183" s="43"/>
      <c r="D183" s="29" t="str">
        <f>DEC2HEX(E183,8)</f>
        <v>00000034</v>
      </c>
      <c r="E183" s="47">
        <f>HEX2DEC("34")</f>
        <v>52</v>
      </c>
      <c r="F183" s="78"/>
    </row>
    <row r="184" spans="2:6" s="20" customFormat="1">
      <c r="B184" s="42" t="s">
        <v>61</v>
      </c>
      <c r="C184" s="43"/>
      <c r="D184" s="29" t="str">
        <f t="shared" ref="D184:D187" si="12">DEC2HEX(E184,8)</f>
        <v>000000D3</v>
      </c>
      <c r="E184" s="36">
        <f>IF(E178 &lt; 0.001, 0, FLOOR((E179 + INVERT_CLK / 2) * FULL_CYCLE_RATIO, 1))</f>
        <v>211</v>
      </c>
      <c r="F184" s="78"/>
    </row>
    <row r="185" spans="2:6" s="20" customFormat="1">
      <c r="B185" s="42" t="s">
        <v>63</v>
      </c>
      <c r="C185" s="43"/>
      <c r="D185" s="29" t="str">
        <f t="shared" si="12"/>
        <v>00000093</v>
      </c>
      <c r="E185" s="47">
        <f>IF((E184 - (FULL_CYCLE_RATIO / 4)) &lt; 0, 0, (E184 - (FULL_CYCLE_RATIO / 4)))</f>
        <v>147</v>
      </c>
      <c r="F185" s="78"/>
    </row>
    <row r="186" spans="2:6" s="20" customFormat="1">
      <c r="B186" s="42" t="s">
        <v>132</v>
      </c>
      <c r="C186" s="43"/>
      <c r="D186" s="29" t="str">
        <f t="shared" si="12"/>
        <v>0000013E</v>
      </c>
      <c r="E186" s="47">
        <f>IF(E178 &lt; 0.001, 0, FLOOR((E180 + INVERT_CLK / 2) * FULL_CYCLE_RATIO, 1))</f>
        <v>318</v>
      </c>
      <c r="F186" s="78"/>
    </row>
    <row r="187" spans="2:6" s="20" customFormat="1" ht="13.5" thickBot="1">
      <c r="B187" s="44" t="s">
        <v>64</v>
      </c>
      <c r="C187" s="45"/>
      <c r="D187" s="46" t="str">
        <f t="shared" si="12"/>
        <v>000000FE</v>
      </c>
      <c r="E187" s="48">
        <f>IF((E186 - (FULL_CYCLE_RATIO / 4)) &lt; 0, 0, (E186 - (FULL_CYCLE_RATIO / 4)))</f>
        <v>254</v>
      </c>
      <c r="F187" s="78"/>
    </row>
    <row r="188" spans="2:6" s="20" customFormat="1">
      <c r="B188" s="80"/>
      <c r="C188" s="80"/>
      <c r="D188" s="80"/>
    </row>
    <row r="189" spans="2:6" ht="13.5" thickBot="1">
      <c r="B189" s="81"/>
      <c r="C189" s="81"/>
      <c r="D189" s="81"/>
    </row>
    <row r="190" spans="2:6">
      <c r="B190" s="88" t="s">
        <v>133</v>
      </c>
      <c r="C190" s="89"/>
      <c r="D190" s="89"/>
      <c r="E190" s="90"/>
    </row>
    <row r="191" spans="2:6">
      <c r="B191" s="15" t="s">
        <v>104</v>
      </c>
      <c r="C191" s="52"/>
      <c r="D191" s="16" t="s">
        <v>144</v>
      </c>
      <c r="E191" s="37" t="s">
        <v>145</v>
      </c>
    </row>
    <row r="192" spans="2:6">
      <c r="B192" s="53" t="s">
        <v>101</v>
      </c>
      <c r="C192" s="52"/>
      <c r="D192" s="54" t="str">
        <f>DEC2HEX(E192, 8)</f>
        <v>00000034</v>
      </c>
      <c r="E192" s="55">
        <f>HEX2DEC("34")</f>
        <v>52</v>
      </c>
    </row>
    <row r="193" spans="2:6">
      <c r="B193" s="53" t="s">
        <v>100</v>
      </c>
      <c r="C193" s="52"/>
      <c r="D193" s="54" t="str">
        <f t="shared" ref="D193:D195" si="13">DEC2HEX(E193, 8)</f>
        <v>000000D4</v>
      </c>
      <c r="E193" s="55">
        <f>FLOOR((MAX(E64,E79,E94,E109,E124,E139,E154,E169,E184) + MIN(E64,E79,E94,E109,E124,E139,E154,E169,E184)) / 2,1)</f>
        <v>212</v>
      </c>
      <c r="F193" s="62"/>
    </row>
    <row r="194" spans="2:6">
      <c r="B194" s="53" t="s">
        <v>102</v>
      </c>
      <c r="C194" s="52"/>
      <c r="D194" s="54" t="str">
        <f t="shared" si="13"/>
        <v>00000114</v>
      </c>
      <c r="E194" s="55">
        <f>E193+64</f>
        <v>276</v>
      </c>
    </row>
    <row r="195" spans="2:6" ht="13.5" thickBot="1">
      <c r="B195" s="56" t="s">
        <v>103</v>
      </c>
      <c r="C195" s="57"/>
      <c r="D195" s="58" t="str">
        <f t="shared" si="13"/>
        <v>0000013F</v>
      </c>
      <c r="E195" s="59">
        <f>FLOOR((MAX(E66,E81,E96,E111,E126,E141,E156,E171,E186) + MIN(E66,E81,E96,E111,E126,E141,E156,E171,E186)) / 2,1)</f>
        <v>319</v>
      </c>
    </row>
    <row r="196" spans="2:6">
      <c r="B196" s="60"/>
      <c r="C196" s="52"/>
      <c r="D196" s="60"/>
      <c r="E196" s="60"/>
    </row>
    <row r="197" spans="2:6" ht="13.5" thickBot="1">
      <c r="B197" s="60"/>
      <c r="C197" s="52"/>
      <c r="D197" s="60"/>
      <c r="E197" s="60"/>
    </row>
    <row r="198" spans="2:6">
      <c r="B198" s="88" t="s">
        <v>134</v>
      </c>
      <c r="C198" s="89"/>
      <c r="D198" s="89"/>
      <c r="E198" s="90"/>
    </row>
    <row r="199" spans="2:6">
      <c r="B199" s="15" t="s">
        <v>104</v>
      </c>
      <c r="C199" s="52"/>
      <c r="D199" s="16" t="s">
        <v>144</v>
      </c>
      <c r="E199" s="37" t="s">
        <v>145</v>
      </c>
    </row>
    <row r="200" spans="2:6">
      <c r="B200" s="53" t="s">
        <v>101</v>
      </c>
      <c r="C200" s="52"/>
      <c r="D200" s="54" t="str">
        <f>DEC2HEX(E200, 8)</f>
        <v>00000034</v>
      </c>
      <c r="E200" s="55">
        <f>HEX2DEC("34")</f>
        <v>52</v>
      </c>
    </row>
    <row r="201" spans="2:6">
      <c r="B201" s="53" t="s">
        <v>100</v>
      </c>
      <c r="C201" s="52"/>
      <c r="D201" s="54" t="str">
        <f t="shared" ref="D201:D203" si="14">DEC2HEX(E201, 8)</f>
        <v>000000D4</v>
      </c>
      <c r="E201" s="55">
        <f>FLOOR((MAX(E64,E79,E94,E109,E124,E139,E154,E169) + MIN(E64,E79,E94,E109,E124,E139,E154,E169)) / 2,1)</f>
        <v>212</v>
      </c>
      <c r="F201" s="62"/>
    </row>
    <row r="202" spans="2:6">
      <c r="B202" s="53" t="s">
        <v>102</v>
      </c>
      <c r="C202" s="52"/>
      <c r="D202" s="54" t="str">
        <f t="shared" si="14"/>
        <v>00000114</v>
      </c>
      <c r="E202" s="55">
        <f>E201+64</f>
        <v>276</v>
      </c>
    </row>
    <row r="203" spans="2:6" ht="13.5" thickBot="1">
      <c r="B203" s="56" t="s">
        <v>103</v>
      </c>
      <c r="C203" s="57"/>
      <c r="D203" s="58" t="str">
        <f t="shared" si="14"/>
        <v>0000013F</v>
      </c>
      <c r="E203" s="59">
        <f>FLOOR((MAX(E66,E81,E96,E111,E126,E141,E156,E171) + MIN(E66,E81,E96,E111,E126,E141,E156,E171)) / 2,1)</f>
        <v>319</v>
      </c>
    </row>
    <row r="204" spans="2:6">
      <c r="B204" s="60"/>
      <c r="C204" s="52"/>
      <c r="D204" s="60"/>
      <c r="E204" s="60"/>
    </row>
    <row r="205" spans="2:6" ht="13.5" thickBot="1">
      <c r="B205" s="60"/>
      <c r="C205" s="52"/>
      <c r="D205" s="60"/>
      <c r="E205" s="60"/>
    </row>
    <row r="206" spans="2:6">
      <c r="B206" s="88" t="s">
        <v>135</v>
      </c>
      <c r="C206" s="89"/>
      <c r="D206" s="89"/>
      <c r="E206" s="90"/>
    </row>
    <row r="207" spans="2:6">
      <c r="B207" s="15" t="s">
        <v>104</v>
      </c>
      <c r="C207" s="52"/>
      <c r="D207" s="16" t="s">
        <v>144</v>
      </c>
      <c r="E207" s="37" t="s">
        <v>145</v>
      </c>
    </row>
    <row r="208" spans="2:6">
      <c r="B208" s="53" t="s">
        <v>101</v>
      </c>
      <c r="C208" s="52"/>
      <c r="D208" s="54" t="str">
        <f>DEC2HEX(E208, 8)</f>
        <v>00000034</v>
      </c>
      <c r="E208" s="55">
        <f>HEX2DEC("34")</f>
        <v>52</v>
      </c>
    </row>
    <row r="209" spans="2:6">
      <c r="B209" s="53" t="s">
        <v>100</v>
      </c>
      <c r="C209" s="52"/>
      <c r="D209" s="54" t="str">
        <f t="shared" ref="D209:D211" si="15">DEC2HEX(E209, 8)</f>
        <v>000000B8</v>
      </c>
      <c r="E209" s="55">
        <f>FLOOR((MAX(E64,E79,E94,E109) + MIN(E64,E79,E94,E109)) / 2,1)</f>
        <v>184</v>
      </c>
      <c r="F209" s="62"/>
    </row>
    <row r="210" spans="2:6">
      <c r="B210" s="53" t="s">
        <v>102</v>
      </c>
      <c r="C210" s="52"/>
      <c r="D210" s="54" t="str">
        <f t="shared" si="15"/>
        <v>000000F8</v>
      </c>
      <c r="E210" s="55">
        <f>E209+64</f>
        <v>248</v>
      </c>
    </row>
    <row r="211" spans="2:6" ht="13.5" thickBot="1">
      <c r="B211" s="56" t="s">
        <v>103</v>
      </c>
      <c r="C211" s="57"/>
      <c r="D211" s="58" t="str">
        <f t="shared" si="15"/>
        <v>00000124</v>
      </c>
      <c r="E211" s="59">
        <f>FLOOR((MAX(E66,E81,E96,E111) + MIN(E66,E81,E96,E111)) / 2,1)</f>
        <v>292</v>
      </c>
    </row>
    <row r="215" spans="2:6">
      <c r="B215" s="22" t="s">
        <v>127</v>
      </c>
    </row>
  </sheetData>
  <sheetProtection password="DF21" sheet="1" objects="1" scenarios="1"/>
  <mergeCells count="12">
    <mergeCell ref="B190:E190"/>
    <mergeCell ref="B198:E198"/>
    <mergeCell ref="B206:E206"/>
    <mergeCell ref="B55:E55"/>
    <mergeCell ref="B175:E175"/>
    <mergeCell ref="B160:E160"/>
    <mergeCell ref="B145:E145"/>
    <mergeCell ref="B130:E130"/>
    <mergeCell ref="B115:E115"/>
    <mergeCell ref="B100:E100"/>
    <mergeCell ref="B85:E85"/>
    <mergeCell ref="B70:E70"/>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Notes</vt:lpstr>
      <vt:lpstr>Instructions</vt:lpstr>
      <vt:lpstr>PHY CALC</vt:lpstr>
      <vt:lpstr>CLK_PERIOD</vt:lpstr>
      <vt:lpstr>FULL_CYCLE_RATIO</vt:lpstr>
      <vt:lpstr>INCH_DEL</vt:lpstr>
      <vt:lpstr>INVERT_CLK</vt:lpstr>
    </vt:vector>
  </TitlesOfParts>
  <Company>Texas Instruments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Hansen</dc:creator>
  <cp:lastModifiedBy>Cornet</cp:lastModifiedBy>
  <cp:lastPrinted>2009-09-15T15:48:00Z</cp:lastPrinted>
  <dcterms:created xsi:type="dcterms:W3CDTF">2009-01-21T14:50:02Z</dcterms:created>
  <dcterms:modified xsi:type="dcterms:W3CDTF">2014-10-29T06:03:37Z</dcterms:modified>
</cp:coreProperties>
</file>