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0" yWindow="1785" windowWidth="7245" windowHeight="5235"/>
  </bookViews>
  <sheets>
    <sheet name="inductor calculations" sheetId="4" r:id="rId1"/>
    <sheet name="Sheet1" sheetId="1" r:id="rId2"/>
    <sheet name="freq" sheetId="2" r:id="rId3"/>
    <sheet name="Sheet4" sheetId="5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F33" i="4" l="1"/>
  <c r="F24" i="4"/>
  <c r="F23" i="4"/>
  <c r="F25" i="4" l="1"/>
  <c r="F39" i="4" s="1"/>
  <c r="F26" i="4"/>
  <c r="N33" i="4" s="1"/>
  <c r="F28" i="4"/>
  <c r="F27" i="4"/>
  <c r="D45" i="4" l="1"/>
  <c r="D39" i="4"/>
  <c r="D41" i="4"/>
  <c r="D40" i="4"/>
  <c r="D42" i="4" s="1"/>
  <c r="O33" i="4"/>
  <c r="R36" i="4"/>
  <c r="Q37" i="4"/>
  <c r="S41" i="4"/>
  <c r="R41" i="4"/>
  <c r="Q41" i="4"/>
  <c r="P41" i="4"/>
  <c r="O41" i="4"/>
  <c r="N41" i="4"/>
  <c r="N40" i="4"/>
  <c r="O40" i="4"/>
  <c r="P40" i="4"/>
  <c r="Q40" i="4"/>
  <c r="R40" i="4"/>
  <c r="S39" i="4"/>
  <c r="S38" i="4"/>
  <c r="S37" i="4"/>
  <c r="S36" i="4"/>
  <c r="S35" i="4"/>
  <c r="R35" i="4"/>
  <c r="R37" i="4"/>
  <c r="R38" i="4"/>
  <c r="Q39" i="4"/>
  <c r="P39" i="4"/>
  <c r="O39" i="4"/>
  <c r="N39" i="4"/>
  <c r="N38" i="4"/>
  <c r="O38" i="4"/>
  <c r="P38" i="4"/>
  <c r="Q36" i="4"/>
  <c r="Q35" i="4"/>
  <c r="M41" i="4"/>
  <c r="M40" i="4"/>
  <c r="M39" i="4"/>
  <c r="M38" i="4"/>
  <c r="T40" i="4"/>
  <c r="T39" i="4"/>
  <c r="T38" i="4"/>
  <c r="T37" i="4"/>
  <c r="T36" i="4"/>
  <c r="T35" i="4"/>
  <c r="T34" i="4"/>
  <c r="S34" i="4"/>
  <c r="R34" i="4"/>
  <c r="Q34" i="4"/>
  <c r="T41" i="4"/>
  <c r="S40" i="4"/>
  <c r="R39" i="4"/>
  <c r="Q38" i="4"/>
  <c r="P37" i="4"/>
  <c r="O36" i="4"/>
  <c r="N35" i="4"/>
  <c r="M34" i="4"/>
  <c r="L34" i="4" l="1"/>
  <c r="D29" i="4"/>
  <c r="F29" i="4" s="1"/>
  <c r="D30" i="4"/>
  <c r="F30" i="4" s="1"/>
  <c r="D31" i="4"/>
  <c r="F31" i="4" s="1"/>
  <c r="D32" i="4"/>
  <c r="F32" i="4" s="1"/>
  <c r="D38" i="4"/>
  <c r="D46" i="4" s="1"/>
  <c r="C40" i="5"/>
  <c r="D40" i="5"/>
  <c r="E40" i="5"/>
  <c r="F40" i="5"/>
  <c r="G40" i="5"/>
  <c r="H40" i="5"/>
  <c r="I40" i="5"/>
  <c r="J40" i="5"/>
  <c r="K40" i="5"/>
  <c r="C41" i="5"/>
  <c r="D41" i="5"/>
  <c r="E41" i="5"/>
  <c r="F41" i="5"/>
  <c r="G41" i="5"/>
  <c r="H41" i="5"/>
  <c r="I41" i="5"/>
  <c r="J41" i="5"/>
  <c r="K41" i="5"/>
  <c r="C42" i="5"/>
  <c r="D42" i="5"/>
  <c r="E42" i="5"/>
  <c r="F42" i="5"/>
  <c r="G42" i="5"/>
  <c r="H42" i="5"/>
  <c r="I42" i="5"/>
  <c r="J42" i="5"/>
  <c r="K42" i="5"/>
  <c r="C43" i="5"/>
  <c r="D43" i="5"/>
  <c r="E43" i="5"/>
  <c r="F43" i="5"/>
  <c r="G43" i="5"/>
  <c r="H43" i="5"/>
  <c r="I43" i="5"/>
  <c r="J43" i="5"/>
  <c r="K43" i="5"/>
  <c r="C44" i="5"/>
  <c r="D44" i="5"/>
  <c r="E44" i="5"/>
  <c r="F44" i="5"/>
  <c r="G44" i="5"/>
  <c r="H44" i="5"/>
  <c r="I44" i="5"/>
  <c r="J44" i="5"/>
  <c r="K44" i="5"/>
  <c r="C45" i="5"/>
  <c r="D45" i="5"/>
  <c r="E45" i="5"/>
  <c r="F45" i="5"/>
  <c r="G45" i="5"/>
  <c r="H45" i="5"/>
  <c r="I45" i="5"/>
  <c r="J45" i="5"/>
  <c r="K45" i="5"/>
  <c r="C46" i="5"/>
  <c r="D46" i="5"/>
  <c r="E46" i="5"/>
  <c r="F46" i="5"/>
  <c r="G46" i="5"/>
  <c r="H46" i="5"/>
  <c r="I46" i="5"/>
  <c r="J46" i="5"/>
  <c r="K46" i="5"/>
  <c r="C47" i="5"/>
  <c r="D47" i="5"/>
  <c r="E47" i="5"/>
  <c r="F47" i="5"/>
  <c r="G47" i="5"/>
  <c r="H47" i="5"/>
  <c r="I47" i="5"/>
  <c r="J47" i="5"/>
  <c r="K47" i="5"/>
  <c r="C48" i="5"/>
  <c r="D48" i="5"/>
  <c r="E48" i="5"/>
  <c r="F48" i="5"/>
  <c r="G48" i="5"/>
  <c r="H48" i="5"/>
  <c r="I48" i="5"/>
  <c r="J48" i="5"/>
  <c r="K48" i="5"/>
  <c r="C49" i="5"/>
  <c r="D49" i="5"/>
  <c r="E49" i="5"/>
  <c r="F49" i="5"/>
  <c r="G49" i="5"/>
  <c r="H49" i="5"/>
  <c r="I49" i="5"/>
  <c r="J49" i="5"/>
  <c r="K49" i="5"/>
  <c r="C50" i="5"/>
  <c r="D50" i="5"/>
  <c r="E50" i="5"/>
  <c r="F50" i="5"/>
  <c r="G50" i="5"/>
  <c r="H50" i="5"/>
  <c r="I50" i="5"/>
  <c r="J50" i="5"/>
  <c r="K50" i="5"/>
  <c r="C51" i="5"/>
  <c r="D51" i="5"/>
  <c r="E51" i="5"/>
  <c r="F51" i="5"/>
  <c r="G51" i="5"/>
  <c r="H51" i="5"/>
  <c r="I51" i="5"/>
  <c r="J51" i="5"/>
  <c r="K51" i="5"/>
  <c r="D39" i="5"/>
  <c r="E39" i="5"/>
  <c r="F39" i="5"/>
  <c r="G39" i="5"/>
  <c r="H39" i="5"/>
  <c r="I39" i="5"/>
  <c r="J39" i="5"/>
  <c r="K39" i="5"/>
  <c r="C39" i="5"/>
  <c r="C23" i="5"/>
  <c r="G23" i="5"/>
  <c r="K23" i="5"/>
  <c r="F24" i="5"/>
  <c r="J24" i="5"/>
  <c r="E25" i="5"/>
  <c r="I25" i="5"/>
  <c r="C27" i="5"/>
  <c r="G27" i="5"/>
  <c r="K27" i="5"/>
  <c r="F28" i="5"/>
  <c r="J28" i="5"/>
  <c r="E29" i="5"/>
  <c r="I29" i="5"/>
  <c r="C31" i="5"/>
  <c r="G31" i="5"/>
  <c r="K31" i="5"/>
  <c r="F32" i="5"/>
  <c r="J32" i="5"/>
  <c r="E33" i="5"/>
  <c r="I33" i="5"/>
  <c r="E21" i="5"/>
  <c r="I21" i="5"/>
  <c r="D4" i="5"/>
  <c r="D21" i="5" s="1"/>
  <c r="E4" i="5"/>
  <c r="F4" i="5"/>
  <c r="F21" i="5" s="1"/>
  <c r="G4" i="5"/>
  <c r="G21" i="5" s="1"/>
  <c r="H4" i="5"/>
  <c r="H21" i="5" s="1"/>
  <c r="I4" i="5"/>
  <c r="J4" i="5"/>
  <c r="J21" i="5" s="1"/>
  <c r="K4" i="5"/>
  <c r="K21" i="5" s="1"/>
  <c r="D5" i="5"/>
  <c r="D22" i="5" s="1"/>
  <c r="E5" i="5"/>
  <c r="E22" i="5" s="1"/>
  <c r="F5" i="5"/>
  <c r="F22" i="5" s="1"/>
  <c r="G5" i="5"/>
  <c r="G22" i="5" s="1"/>
  <c r="H5" i="5"/>
  <c r="H22" i="5" s="1"/>
  <c r="I5" i="5"/>
  <c r="I22" i="5" s="1"/>
  <c r="J5" i="5"/>
  <c r="J22" i="5" s="1"/>
  <c r="K5" i="5"/>
  <c r="K22" i="5" s="1"/>
  <c r="D6" i="5"/>
  <c r="D23" i="5" s="1"/>
  <c r="E6" i="5"/>
  <c r="E23" i="5" s="1"/>
  <c r="F6" i="5"/>
  <c r="F23" i="5" s="1"/>
  <c r="G6" i="5"/>
  <c r="H6" i="5"/>
  <c r="H23" i="5" s="1"/>
  <c r="I6" i="5"/>
  <c r="I23" i="5" s="1"/>
  <c r="J6" i="5"/>
  <c r="J23" i="5" s="1"/>
  <c r="K6" i="5"/>
  <c r="D7" i="5"/>
  <c r="D24" i="5" s="1"/>
  <c r="E7" i="5"/>
  <c r="E24" i="5" s="1"/>
  <c r="F7" i="5"/>
  <c r="G7" i="5"/>
  <c r="G24" i="5" s="1"/>
  <c r="H7" i="5"/>
  <c r="H24" i="5" s="1"/>
  <c r="I7" i="5"/>
  <c r="I24" i="5" s="1"/>
  <c r="J7" i="5"/>
  <c r="K7" i="5"/>
  <c r="K24" i="5" s="1"/>
  <c r="D8" i="5"/>
  <c r="D25" i="5" s="1"/>
  <c r="E8" i="5"/>
  <c r="F8" i="5"/>
  <c r="F25" i="5" s="1"/>
  <c r="G8" i="5"/>
  <c r="G25" i="5" s="1"/>
  <c r="H8" i="5"/>
  <c r="H25" i="5" s="1"/>
  <c r="I8" i="5"/>
  <c r="J8" i="5"/>
  <c r="J25" i="5" s="1"/>
  <c r="K8" i="5"/>
  <c r="K25" i="5" s="1"/>
  <c r="D9" i="5"/>
  <c r="D26" i="5" s="1"/>
  <c r="E9" i="5"/>
  <c r="E26" i="5" s="1"/>
  <c r="F9" i="5"/>
  <c r="F26" i="5" s="1"/>
  <c r="G9" i="5"/>
  <c r="G26" i="5" s="1"/>
  <c r="H9" i="5"/>
  <c r="H26" i="5" s="1"/>
  <c r="I9" i="5"/>
  <c r="I26" i="5" s="1"/>
  <c r="J9" i="5"/>
  <c r="J26" i="5" s="1"/>
  <c r="K9" i="5"/>
  <c r="K26" i="5" s="1"/>
  <c r="D10" i="5"/>
  <c r="D27" i="5" s="1"/>
  <c r="E10" i="5"/>
  <c r="E27" i="5" s="1"/>
  <c r="F10" i="5"/>
  <c r="F27" i="5" s="1"/>
  <c r="G10" i="5"/>
  <c r="H10" i="5"/>
  <c r="H27" i="5" s="1"/>
  <c r="I10" i="5"/>
  <c r="I27" i="5" s="1"/>
  <c r="J10" i="5"/>
  <c r="J27" i="5" s="1"/>
  <c r="K10" i="5"/>
  <c r="D11" i="5"/>
  <c r="D28" i="5" s="1"/>
  <c r="E11" i="5"/>
  <c r="E28" i="5" s="1"/>
  <c r="F11" i="5"/>
  <c r="G11" i="5"/>
  <c r="G28" i="5" s="1"/>
  <c r="H11" i="5"/>
  <c r="H28" i="5" s="1"/>
  <c r="I11" i="5"/>
  <c r="I28" i="5" s="1"/>
  <c r="J11" i="5"/>
  <c r="K11" i="5"/>
  <c r="K28" i="5" s="1"/>
  <c r="D12" i="5"/>
  <c r="D29" i="5" s="1"/>
  <c r="E12" i="5"/>
  <c r="F12" i="5"/>
  <c r="F29" i="5" s="1"/>
  <c r="G12" i="5"/>
  <c r="G29" i="5" s="1"/>
  <c r="H12" i="5"/>
  <c r="H29" i="5" s="1"/>
  <c r="I12" i="5"/>
  <c r="J12" i="5"/>
  <c r="J29" i="5" s="1"/>
  <c r="K12" i="5"/>
  <c r="K29" i="5" s="1"/>
  <c r="D13" i="5"/>
  <c r="D30" i="5" s="1"/>
  <c r="E13" i="5"/>
  <c r="E30" i="5" s="1"/>
  <c r="F13" i="5"/>
  <c r="F30" i="5" s="1"/>
  <c r="G13" i="5"/>
  <c r="G30" i="5" s="1"/>
  <c r="H13" i="5"/>
  <c r="H30" i="5" s="1"/>
  <c r="I13" i="5"/>
  <c r="I30" i="5" s="1"/>
  <c r="J13" i="5"/>
  <c r="J30" i="5" s="1"/>
  <c r="K13" i="5"/>
  <c r="K30" i="5" s="1"/>
  <c r="D14" i="5"/>
  <c r="D31" i="5" s="1"/>
  <c r="E14" i="5"/>
  <c r="E31" i="5" s="1"/>
  <c r="F14" i="5"/>
  <c r="F31" i="5" s="1"/>
  <c r="G14" i="5"/>
  <c r="H14" i="5"/>
  <c r="H31" i="5" s="1"/>
  <c r="I14" i="5"/>
  <c r="I31" i="5" s="1"/>
  <c r="J14" i="5"/>
  <c r="J31" i="5" s="1"/>
  <c r="K14" i="5"/>
  <c r="D15" i="5"/>
  <c r="D32" i="5" s="1"/>
  <c r="E15" i="5"/>
  <c r="E32" i="5" s="1"/>
  <c r="F15" i="5"/>
  <c r="G15" i="5"/>
  <c r="G32" i="5" s="1"/>
  <c r="H15" i="5"/>
  <c r="H32" i="5" s="1"/>
  <c r="I15" i="5"/>
  <c r="I32" i="5" s="1"/>
  <c r="J15" i="5"/>
  <c r="K15" i="5"/>
  <c r="K32" i="5" s="1"/>
  <c r="D16" i="5"/>
  <c r="D33" i="5" s="1"/>
  <c r="E16" i="5"/>
  <c r="F16" i="5"/>
  <c r="F33" i="5" s="1"/>
  <c r="G16" i="5"/>
  <c r="G33" i="5" s="1"/>
  <c r="H16" i="5"/>
  <c r="H33" i="5" s="1"/>
  <c r="I16" i="5"/>
  <c r="J16" i="5"/>
  <c r="J33" i="5" s="1"/>
  <c r="K16" i="5"/>
  <c r="K33" i="5" s="1"/>
  <c r="C5" i="5"/>
  <c r="C22" i="5" s="1"/>
  <c r="C6" i="5"/>
  <c r="C7" i="5"/>
  <c r="C24" i="5" s="1"/>
  <c r="C8" i="5"/>
  <c r="C25" i="5" s="1"/>
  <c r="C9" i="5"/>
  <c r="C26" i="5" s="1"/>
  <c r="C10" i="5"/>
  <c r="C11" i="5"/>
  <c r="C28" i="5" s="1"/>
  <c r="C12" i="5"/>
  <c r="C29" i="5" s="1"/>
  <c r="C13" i="5"/>
  <c r="C30" i="5" s="1"/>
  <c r="C14" i="5"/>
  <c r="C15" i="5"/>
  <c r="C32" i="5" s="1"/>
  <c r="C16" i="5"/>
  <c r="C33" i="5" s="1"/>
  <c r="C4" i="5"/>
  <c r="C21" i="5" s="1"/>
  <c r="N34" i="4" l="1"/>
  <c r="L35" i="4"/>
  <c r="M35" i="4" s="1"/>
  <c r="P33" i="4"/>
  <c r="Q33" i="4" s="1"/>
  <c r="R33" i="4" s="1"/>
  <c r="S33" i="4" s="1"/>
  <c r="T33" i="4" s="1"/>
  <c r="O35" i="4" l="1"/>
  <c r="O34" i="4"/>
  <c r="L36" i="4"/>
  <c r="M36" i="4" l="1"/>
  <c r="N36" i="4"/>
  <c r="P34" i="4"/>
  <c r="P35" i="4"/>
  <c r="P36" i="4"/>
  <c r="L37" i="4"/>
  <c r="M37" i="4" l="1"/>
  <c r="N37" i="4"/>
  <c r="O37" i="4"/>
  <c r="U36" i="4"/>
  <c r="U41" i="4"/>
  <c r="U38" i="4"/>
  <c r="U40" i="4"/>
  <c r="U39" i="4"/>
  <c r="U34" i="4"/>
  <c r="U35" i="4"/>
  <c r="L38" i="4"/>
  <c r="B6" i="1"/>
  <c r="B10" i="3"/>
  <c r="B11" i="3"/>
  <c r="B12" i="3"/>
  <c r="B13" i="3"/>
  <c r="B14" i="3"/>
  <c r="B15" i="3"/>
  <c r="B16" i="3"/>
  <c r="B17" i="3"/>
  <c r="B9" i="3"/>
  <c r="F3" i="3"/>
  <c r="F2" i="3"/>
  <c r="C15" i="3" s="1"/>
  <c r="D15" i="3" s="1"/>
  <c r="D3" i="3"/>
  <c r="D4" i="3"/>
  <c r="D5" i="3"/>
  <c r="D6" i="3"/>
  <c r="D2" i="3"/>
  <c r="T13" i="1"/>
  <c r="T12" i="1"/>
  <c r="T14" i="1" s="1"/>
  <c r="T11" i="1"/>
  <c r="U37" i="4" l="1"/>
  <c r="L39" i="4"/>
  <c r="C12" i="3"/>
  <c r="D12" i="3" s="1"/>
  <c r="C9" i="3"/>
  <c r="D9" i="3" s="1"/>
  <c r="C16" i="3"/>
  <c r="D16" i="3" s="1"/>
  <c r="C14" i="3"/>
  <c r="D14" i="3" s="1"/>
  <c r="C13" i="3"/>
  <c r="D13" i="3" s="1"/>
  <c r="C11" i="3"/>
  <c r="D11" i="3" s="1"/>
  <c r="C17" i="3"/>
  <c r="D17" i="3" s="1"/>
  <c r="C10" i="3"/>
  <c r="D10" i="3" s="1"/>
  <c r="N41" i="2"/>
  <c r="N21" i="2"/>
  <c r="N48" i="2" s="1"/>
  <c r="N20" i="2"/>
  <c r="N47" i="2" s="1"/>
  <c r="N19" i="2"/>
  <c r="N46" i="2" s="1"/>
  <c r="N18" i="2"/>
  <c r="N45" i="2" s="1"/>
  <c r="N17" i="2"/>
  <c r="N44" i="2" s="1"/>
  <c r="N16" i="2"/>
  <c r="N43" i="2" s="1"/>
  <c r="N15" i="2"/>
  <c r="N42" i="2" s="1"/>
  <c r="N14" i="2"/>
  <c r="N13" i="2"/>
  <c r="N40" i="2" s="1"/>
  <c r="N12" i="2"/>
  <c r="N39" i="2" s="1"/>
  <c r="N11" i="2"/>
  <c r="N38" i="2" s="1"/>
  <c r="N10" i="2"/>
  <c r="N37" i="2" s="1"/>
  <c r="N9" i="2"/>
  <c r="N36" i="2" s="1"/>
  <c r="N8" i="2"/>
  <c r="N35" i="2" s="1"/>
  <c r="N7" i="2"/>
  <c r="N34" i="2" s="1"/>
  <c r="N6" i="2"/>
  <c r="N33" i="2" s="1"/>
  <c r="N5" i="2"/>
  <c r="N32" i="2" s="1"/>
  <c r="N4" i="2"/>
  <c r="N31" i="2" s="1"/>
  <c r="N3" i="2"/>
  <c r="N30" i="2" s="1"/>
  <c r="M21" i="2"/>
  <c r="M48" i="2" s="1"/>
  <c r="M20" i="2"/>
  <c r="M47" i="2" s="1"/>
  <c r="M19" i="2"/>
  <c r="M46" i="2" s="1"/>
  <c r="M18" i="2"/>
  <c r="M45" i="2" s="1"/>
  <c r="M17" i="2"/>
  <c r="M44" i="2" s="1"/>
  <c r="M16" i="2"/>
  <c r="M43" i="2" s="1"/>
  <c r="M15" i="2"/>
  <c r="M42" i="2" s="1"/>
  <c r="M14" i="2"/>
  <c r="M41" i="2" s="1"/>
  <c r="M13" i="2"/>
  <c r="M40" i="2" s="1"/>
  <c r="M12" i="2"/>
  <c r="M39" i="2" s="1"/>
  <c r="M11" i="2"/>
  <c r="M38" i="2" s="1"/>
  <c r="M10" i="2"/>
  <c r="M37" i="2" s="1"/>
  <c r="M9" i="2"/>
  <c r="M36" i="2" s="1"/>
  <c r="M8" i="2"/>
  <c r="M35" i="2" s="1"/>
  <c r="M7" i="2"/>
  <c r="M34" i="2" s="1"/>
  <c r="M6" i="2"/>
  <c r="M33" i="2" s="1"/>
  <c r="M5" i="2"/>
  <c r="M32" i="2" s="1"/>
  <c r="M4" i="2"/>
  <c r="M31" i="2" s="1"/>
  <c r="M3" i="2"/>
  <c r="M30" i="2" s="1"/>
  <c r="L21" i="2"/>
  <c r="L48" i="2" s="1"/>
  <c r="L20" i="2"/>
  <c r="L47" i="2" s="1"/>
  <c r="L19" i="2"/>
  <c r="L46" i="2" s="1"/>
  <c r="L18" i="2"/>
  <c r="L45" i="2" s="1"/>
  <c r="L17" i="2"/>
  <c r="L44" i="2" s="1"/>
  <c r="L16" i="2"/>
  <c r="L43" i="2" s="1"/>
  <c r="L15" i="2"/>
  <c r="L42" i="2" s="1"/>
  <c r="L14" i="2"/>
  <c r="L41" i="2" s="1"/>
  <c r="L13" i="2"/>
  <c r="L40" i="2" s="1"/>
  <c r="L12" i="2"/>
  <c r="L39" i="2" s="1"/>
  <c r="L11" i="2"/>
  <c r="L38" i="2" s="1"/>
  <c r="L10" i="2"/>
  <c r="L37" i="2" s="1"/>
  <c r="L9" i="2"/>
  <c r="L36" i="2" s="1"/>
  <c r="L8" i="2"/>
  <c r="L35" i="2" s="1"/>
  <c r="L7" i="2"/>
  <c r="L34" i="2" s="1"/>
  <c r="L6" i="2"/>
  <c r="L33" i="2" s="1"/>
  <c r="L5" i="2"/>
  <c r="L32" i="2" s="1"/>
  <c r="L4" i="2"/>
  <c r="L31" i="2" s="1"/>
  <c r="L3" i="2"/>
  <c r="L30" i="2" s="1"/>
  <c r="K21" i="2"/>
  <c r="K48" i="2" s="1"/>
  <c r="K20" i="2"/>
  <c r="K47" i="2" s="1"/>
  <c r="K19" i="2"/>
  <c r="K46" i="2" s="1"/>
  <c r="K18" i="2"/>
  <c r="K45" i="2" s="1"/>
  <c r="K17" i="2"/>
  <c r="K44" i="2" s="1"/>
  <c r="K16" i="2"/>
  <c r="K43" i="2" s="1"/>
  <c r="K15" i="2"/>
  <c r="K42" i="2" s="1"/>
  <c r="K14" i="2"/>
  <c r="K41" i="2" s="1"/>
  <c r="K13" i="2"/>
  <c r="K40" i="2" s="1"/>
  <c r="K12" i="2"/>
  <c r="K39" i="2" s="1"/>
  <c r="K11" i="2"/>
  <c r="K38" i="2" s="1"/>
  <c r="K10" i="2"/>
  <c r="K37" i="2" s="1"/>
  <c r="K9" i="2"/>
  <c r="K36" i="2" s="1"/>
  <c r="K8" i="2"/>
  <c r="K35" i="2" s="1"/>
  <c r="K7" i="2"/>
  <c r="K34" i="2" s="1"/>
  <c r="K6" i="2"/>
  <c r="K33" i="2" s="1"/>
  <c r="K5" i="2"/>
  <c r="K32" i="2" s="1"/>
  <c r="K4" i="2"/>
  <c r="K31" i="2" s="1"/>
  <c r="K3" i="2"/>
  <c r="K30" i="2" s="1"/>
  <c r="J21" i="2"/>
  <c r="J48" i="2" s="1"/>
  <c r="J20" i="2"/>
  <c r="J47" i="2" s="1"/>
  <c r="J19" i="2"/>
  <c r="J46" i="2" s="1"/>
  <c r="J18" i="2"/>
  <c r="J45" i="2" s="1"/>
  <c r="J17" i="2"/>
  <c r="J44" i="2" s="1"/>
  <c r="J16" i="2"/>
  <c r="J43" i="2" s="1"/>
  <c r="J15" i="2"/>
  <c r="J42" i="2" s="1"/>
  <c r="J14" i="2"/>
  <c r="J41" i="2" s="1"/>
  <c r="J13" i="2"/>
  <c r="J40" i="2" s="1"/>
  <c r="J12" i="2"/>
  <c r="J39" i="2" s="1"/>
  <c r="J11" i="2"/>
  <c r="J38" i="2" s="1"/>
  <c r="J10" i="2"/>
  <c r="J37" i="2" s="1"/>
  <c r="J9" i="2"/>
  <c r="J36" i="2" s="1"/>
  <c r="J8" i="2"/>
  <c r="J35" i="2" s="1"/>
  <c r="J7" i="2"/>
  <c r="J34" i="2" s="1"/>
  <c r="J6" i="2"/>
  <c r="J33" i="2" s="1"/>
  <c r="J5" i="2"/>
  <c r="J32" i="2" s="1"/>
  <c r="J4" i="2"/>
  <c r="J31" i="2" s="1"/>
  <c r="J3" i="2"/>
  <c r="J30" i="2" s="1"/>
  <c r="I21" i="2"/>
  <c r="I48" i="2" s="1"/>
  <c r="I20" i="2"/>
  <c r="I47" i="2" s="1"/>
  <c r="I19" i="2"/>
  <c r="I46" i="2" s="1"/>
  <c r="I18" i="2"/>
  <c r="I45" i="2" s="1"/>
  <c r="I17" i="2"/>
  <c r="I44" i="2" s="1"/>
  <c r="I16" i="2"/>
  <c r="I43" i="2" s="1"/>
  <c r="I15" i="2"/>
  <c r="I42" i="2" s="1"/>
  <c r="I14" i="2"/>
  <c r="I41" i="2" s="1"/>
  <c r="I13" i="2"/>
  <c r="I40" i="2" s="1"/>
  <c r="I12" i="2"/>
  <c r="I39" i="2" s="1"/>
  <c r="I11" i="2"/>
  <c r="I38" i="2" s="1"/>
  <c r="I10" i="2"/>
  <c r="I37" i="2" s="1"/>
  <c r="I9" i="2"/>
  <c r="I36" i="2" s="1"/>
  <c r="I8" i="2"/>
  <c r="I35" i="2" s="1"/>
  <c r="I7" i="2"/>
  <c r="I34" i="2" s="1"/>
  <c r="I6" i="2"/>
  <c r="I33" i="2" s="1"/>
  <c r="I5" i="2"/>
  <c r="I32" i="2" s="1"/>
  <c r="I4" i="2"/>
  <c r="I31" i="2" s="1"/>
  <c r="I3" i="2"/>
  <c r="I30" i="2" s="1"/>
  <c r="H21" i="2"/>
  <c r="H48" i="2" s="1"/>
  <c r="H20" i="2"/>
  <c r="H47" i="2" s="1"/>
  <c r="H19" i="2"/>
  <c r="H46" i="2" s="1"/>
  <c r="H18" i="2"/>
  <c r="H45" i="2" s="1"/>
  <c r="H17" i="2"/>
  <c r="H44" i="2" s="1"/>
  <c r="H16" i="2"/>
  <c r="H43" i="2" s="1"/>
  <c r="H15" i="2"/>
  <c r="H42" i="2" s="1"/>
  <c r="H14" i="2"/>
  <c r="H41" i="2" s="1"/>
  <c r="H13" i="2"/>
  <c r="H40" i="2" s="1"/>
  <c r="H12" i="2"/>
  <c r="H39" i="2" s="1"/>
  <c r="H11" i="2"/>
  <c r="H38" i="2" s="1"/>
  <c r="H10" i="2"/>
  <c r="H37" i="2" s="1"/>
  <c r="H9" i="2"/>
  <c r="H36" i="2" s="1"/>
  <c r="H8" i="2"/>
  <c r="H35" i="2" s="1"/>
  <c r="H7" i="2"/>
  <c r="H34" i="2" s="1"/>
  <c r="H6" i="2"/>
  <c r="H33" i="2" s="1"/>
  <c r="H5" i="2"/>
  <c r="H32" i="2" s="1"/>
  <c r="H4" i="2"/>
  <c r="H31" i="2" s="1"/>
  <c r="H3" i="2"/>
  <c r="H30" i="2" s="1"/>
  <c r="G21" i="2"/>
  <c r="G48" i="2" s="1"/>
  <c r="G20" i="2"/>
  <c r="G47" i="2" s="1"/>
  <c r="G19" i="2"/>
  <c r="G46" i="2" s="1"/>
  <c r="G18" i="2"/>
  <c r="G45" i="2" s="1"/>
  <c r="G17" i="2"/>
  <c r="G44" i="2" s="1"/>
  <c r="G16" i="2"/>
  <c r="G43" i="2" s="1"/>
  <c r="G15" i="2"/>
  <c r="G42" i="2" s="1"/>
  <c r="G14" i="2"/>
  <c r="G41" i="2" s="1"/>
  <c r="G13" i="2"/>
  <c r="G40" i="2" s="1"/>
  <c r="G12" i="2"/>
  <c r="G39" i="2" s="1"/>
  <c r="G11" i="2"/>
  <c r="G38" i="2" s="1"/>
  <c r="G10" i="2"/>
  <c r="G37" i="2" s="1"/>
  <c r="G9" i="2"/>
  <c r="G36" i="2" s="1"/>
  <c r="G8" i="2"/>
  <c r="G35" i="2" s="1"/>
  <c r="G7" i="2"/>
  <c r="G34" i="2" s="1"/>
  <c r="G6" i="2"/>
  <c r="G33" i="2" s="1"/>
  <c r="G5" i="2"/>
  <c r="G32" i="2" s="1"/>
  <c r="G4" i="2"/>
  <c r="G31" i="2" s="1"/>
  <c r="G3" i="2"/>
  <c r="G30" i="2" s="1"/>
  <c r="F21" i="2"/>
  <c r="F48" i="2" s="1"/>
  <c r="F20" i="2"/>
  <c r="F47" i="2" s="1"/>
  <c r="F19" i="2"/>
  <c r="F46" i="2" s="1"/>
  <c r="F18" i="2"/>
  <c r="F45" i="2" s="1"/>
  <c r="F17" i="2"/>
  <c r="F44" i="2" s="1"/>
  <c r="F16" i="2"/>
  <c r="F43" i="2" s="1"/>
  <c r="F15" i="2"/>
  <c r="F42" i="2" s="1"/>
  <c r="F14" i="2"/>
  <c r="F41" i="2" s="1"/>
  <c r="F13" i="2"/>
  <c r="F40" i="2" s="1"/>
  <c r="F12" i="2"/>
  <c r="F39" i="2" s="1"/>
  <c r="F11" i="2"/>
  <c r="F38" i="2" s="1"/>
  <c r="F10" i="2"/>
  <c r="F37" i="2" s="1"/>
  <c r="F9" i="2"/>
  <c r="F36" i="2" s="1"/>
  <c r="F8" i="2"/>
  <c r="F35" i="2" s="1"/>
  <c r="F7" i="2"/>
  <c r="F34" i="2" s="1"/>
  <c r="F6" i="2"/>
  <c r="F33" i="2" s="1"/>
  <c r="F5" i="2"/>
  <c r="F32" i="2" s="1"/>
  <c r="F4" i="2"/>
  <c r="F31" i="2" s="1"/>
  <c r="F3" i="2"/>
  <c r="F30" i="2" s="1"/>
  <c r="E21" i="2"/>
  <c r="E48" i="2" s="1"/>
  <c r="E20" i="2"/>
  <c r="E47" i="2" s="1"/>
  <c r="E19" i="2"/>
  <c r="E46" i="2" s="1"/>
  <c r="E18" i="2"/>
  <c r="E45" i="2" s="1"/>
  <c r="E17" i="2"/>
  <c r="E44" i="2" s="1"/>
  <c r="E16" i="2"/>
  <c r="E43" i="2" s="1"/>
  <c r="E15" i="2"/>
  <c r="E42" i="2" s="1"/>
  <c r="E14" i="2"/>
  <c r="E41" i="2" s="1"/>
  <c r="E13" i="2"/>
  <c r="E40" i="2" s="1"/>
  <c r="E12" i="2"/>
  <c r="E39" i="2" s="1"/>
  <c r="E11" i="2"/>
  <c r="E38" i="2" s="1"/>
  <c r="E10" i="2"/>
  <c r="E37" i="2" s="1"/>
  <c r="E9" i="2"/>
  <c r="E36" i="2" s="1"/>
  <c r="E8" i="2"/>
  <c r="E35" i="2" s="1"/>
  <c r="E7" i="2"/>
  <c r="E34" i="2" s="1"/>
  <c r="E6" i="2"/>
  <c r="E33" i="2" s="1"/>
  <c r="E5" i="2"/>
  <c r="E32" i="2" s="1"/>
  <c r="E4" i="2"/>
  <c r="E31" i="2" s="1"/>
  <c r="E3" i="2"/>
  <c r="E30" i="2" s="1"/>
  <c r="D21" i="2"/>
  <c r="D48" i="2" s="1"/>
  <c r="D20" i="2"/>
  <c r="D47" i="2" s="1"/>
  <c r="D19" i="2"/>
  <c r="D46" i="2" s="1"/>
  <c r="D18" i="2"/>
  <c r="D45" i="2" s="1"/>
  <c r="D17" i="2"/>
  <c r="D44" i="2" s="1"/>
  <c r="D16" i="2"/>
  <c r="D43" i="2" s="1"/>
  <c r="D15" i="2"/>
  <c r="D42" i="2" s="1"/>
  <c r="D14" i="2"/>
  <c r="D41" i="2" s="1"/>
  <c r="D13" i="2"/>
  <c r="D40" i="2" s="1"/>
  <c r="D12" i="2"/>
  <c r="D39" i="2" s="1"/>
  <c r="D11" i="2"/>
  <c r="D38" i="2" s="1"/>
  <c r="D10" i="2"/>
  <c r="D37" i="2" s="1"/>
  <c r="D9" i="2"/>
  <c r="D36" i="2" s="1"/>
  <c r="D8" i="2"/>
  <c r="D35" i="2" s="1"/>
  <c r="D7" i="2"/>
  <c r="D34" i="2" s="1"/>
  <c r="D6" i="2"/>
  <c r="D33" i="2" s="1"/>
  <c r="D5" i="2"/>
  <c r="D32" i="2" s="1"/>
  <c r="D4" i="2"/>
  <c r="D31" i="2" s="1"/>
  <c r="D3" i="2"/>
  <c r="D30" i="2" s="1"/>
  <c r="C21" i="2"/>
  <c r="C48" i="2" s="1"/>
  <c r="C20" i="2"/>
  <c r="C47" i="2" s="1"/>
  <c r="C19" i="2"/>
  <c r="C46" i="2" s="1"/>
  <c r="C18" i="2"/>
  <c r="C45" i="2" s="1"/>
  <c r="C17" i="2"/>
  <c r="C44" i="2" s="1"/>
  <c r="C16" i="2"/>
  <c r="C43" i="2" s="1"/>
  <c r="C15" i="2"/>
  <c r="C42" i="2" s="1"/>
  <c r="C14" i="2"/>
  <c r="C41" i="2" s="1"/>
  <c r="C13" i="2"/>
  <c r="C40" i="2" s="1"/>
  <c r="C12" i="2"/>
  <c r="C39" i="2" s="1"/>
  <c r="C11" i="2"/>
  <c r="C38" i="2" s="1"/>
  <c r="C10" i="2"/>
  <c r="C37" i="2" s="1"/>
  <c r="C9" i="2"/>
  <c r="C36" i="2" s="1"/>
  <c r="C8" i="2"/>
  <c r="C35" i="2" s="1"/>
  <c r="C7" i="2"/>
  <c r="C34" i="2" s="1"/>
  <c r="C6" i="2"/>
  <c r="C33" i="2" s="1"/>
  <c r="C5" i="2"/>
  <c r="C32" i="2" s="1"/>
  <c r="C4" i="2"/>
  <c r="C31" i="2" s="1"/>
  <c r="C3" i="2"/>
  <c r="C30" i="2" s="1"/>
  <c r="B4" i="2"/>
  <c r="B31" i="2" s="1"/>
  <c r="B5" i="2"/>
  <c r="B32" i="2" s="1"/>
  <c r="B6" i="2"/>
  <c r="B33" i="2" s="1"/>
  <c r="B7" i="2"/>
  <c r="B34" i="2" s="1"/>
  <c r="B8" i="2"/>
  <c r="B35" i="2" s="1"/>
  <c r="B9" i="2"/>
  <c r="B36" i="2" s="1"/>
  <c r="B10" i="2"/>
  <c r="B37" i="2" s="1"/>
  <c r="B11" i="2"/>
  <c r="B38" i="2" s="1"/>
  <c r="B12" i="2"/>
  <c r="B39" i="2" s="1"/>
  <c r="B13" i="2"/>
  <c r="B40" i="2" s="1"/>
  <c r="B14" i="2"/>
  <c r="B41" i="2" s="1"/>
  <c r="B15" i="2"/>
  <c r="B42" i="2" s="1"/>
  <c r="B16" i="2"/>
  <c r="B43" i="2" s="1"/>
  <c r="B17" i="2"/>
  <c r="B44" i="2" s="1"/>
  <c r="B18" i="2"/>
  <c r="B45" i="2" s="1"/>
  <c r="B19" i="2"/>
  <c r="B46" i="2" s="1"/>
  <c r="B20" i="2"/>
  <c r="B47" i="2" s="1"/>
  <c r="B21" i="2"/>
  <c r="B48" i="2" s="1"/>
  <c r="B3" i="2"/>
  <c r="B30" i="2" s="1"/>
  <c r="B10" i="1"/>
  <c r="B11" i="1" s="1"/>
  <c r="B8" i="1"/>
  <c r="B9" i="1" s="1"/>
  <c r="B12" i="1" s="1"/>
  <c r="B7" i="1"/>
  <c r="U42" i="4" l="1"/>
  <c r="D43" i="4" s="1"/>
  <c r="D51" i="4" s="1"/>
  <c r="L40" i="4"/>
  <c r="B14" i="1"/>
  <c r="B13" i="1"/>
  <c r="D44" i="4" l="1"/>
  <c r="L41" i="4"/>
  <c r="D47" i="4" l="1"/>
  <c r="D48" i="4" s="1"/>
  <c r="D50" i="4" s="1"/>
  <c r="G44" i="4"/>
  <c r="D49" i="4" l="1"/>
</calcChain>
</file>

<file path=xl/sharedStrings.xml><?xml version="1.0" encoding="utf-8"?>
<sst xmlns="http://schemas.openxmlformats.org/spreadsheetml/2006/main" count="283" uniqueCount="180">
  <si>
    <t>L</t>
  </si>
  <si>
    <t>C</t>
  </si>
  <si>
    <t>F</t>
  </si>
  <si>
    <t>V</t>
  </si>
  <si>
    <t>Ec</t>
  </si>
  <si>
    <t>I</t>
  </si>
  <si>
    <t>J</t>
  </si>
  <si>
    <t>Q</t>
  </si>
  <si>
    <t>Rp</t>
  </si>
  <si>
    <t>Ohms</t>
  </si>
  <si>
    <t>Rs</t>
  </si>
  <si>
    <t>uH</t>
  </si>
  <si>
    <t>nF</t>
  </si>
  <si>
    <t>kHz</t>
  </si>
  <si>
    <t>Apk-pk</t>
  </si>
  <si>
    <t>Vpk-pk</t>
  </si>
  <si>
    <t>Iloss</t>
  </si>
  <si>
    <t>BW</t>
  </si>
  <si>
    <t>Tccu</t>
  </si>
  <si>
    <t>% per deg C</t>
  </si>
  <si>
    <t>L(uH)</t>
  </si>
  <si>
    <t>F(kHz)</t>
  </si>
  <si>
    <t>Cmin</t>
  </si>
  <si>
    <t>Cmax</t>
  </si>
  <si>
    <t>C_1KHz(F)</t>
  </si>
  <si>
    <t>C_2KHz(F)</t>
  </si>
  <si>
    <t>C_5KHz(F)</t>
  </si>
  <si>
    <t>C_10KHz(F)</t>
  </si>
  <si>
    <t>C_20KHz(F)</t>
  </si>
  <si>
    <t>C_50KHz(F)</t>
  </si>
  <si>
    <t>C_100KHz(F)</t>
  </si>
  <si>
    <t>C_200KHz(F)</t>
  </si>
  <si>
    <t>C_500KHz(F)</t>
  </si>
  <si>
    <t>C_1000KHz(F)</t>
  </si>
  <si>
    <t>C_2000KHz(F)</t>
  </si>
  <si>
    <t>C_5000KHz(F)</t>
  </si>
  <si>
    <t>C_10000KHz(F)</t>
  </si>
  <si>
    <t>1</t>
  </si>
  <si>
    <t>2</t>
  </si>
  <si>
    <t>5</t>
  </si>
  <si>
    <t>10</t>
  </si>
  <si>
    <t>20</t>
  </si>
  <si>
    <t>50</t>
  </si>
  <si>
    <t>100</t>
  </si>
  <si>
    <t>200</t>
  </si>
  <si>
    <t>500</t>
  </si>
  <si>
    <t>1000</t>
  </si>
  <si>
    <t>2000</t>
  </si>
  <si>
    <t>5000</t>
  </si>
  <si>
    <t>10000</t>
  </si>
  <si>
    <t>Rp_min</t>
  </si>
  <si>
    <t>Ql</t>
  </si>
  <si>
    <t>D</t>
  </si>
  <si>
    <t>ODR</t>
  </si>
  <si>
    <t>T=</t>
  </si>
  <si>
    <t>Startup</t>
  </si>
  <si>
    <t>Total=</t>
  </si>
  <si>
    <t>Resistivity</t>
  </si>
  <si>
    <t>T(K)</t>
  </si>
  <si>
    <t xml:space="preserve">Resitivity </t>
  </si>
  <si>
    <t>conductivity</t>
  </si>
  <si>
    <t>Slope</t>
  </si>
  <si>
    <t>Intercept</t>
  </si>
  <si>
    <t>Res</t>
  </si>
  <si>
    <t>T( C)</t>
  </si>
  <si>
    <t>Cond (MS/)</t>
  </si>
  <si>
    <t>C_par</t>
  </si>
  <si>
    <t>pF</t>
  </si>
  <si>
    <t>SRF</t>
  </si>
  <si>
    <t>MHz</t>
  </si>
  <si>
    <t>N</t>
  </si>
  <si>
    <t>din</t>
  </si>
  <si>
    <t>mm</t>
  </si>
  <si>
    <t>S</t>
  </si>
  <si>
    <t>w</t>
  </si>
  <si>
    <t>dout</t>
  </si>
  <si>
    <t>davg</t>
  </si>
  <si>
    <t>p</t>
  </si>
  <si>
    <t>Ltotal</t>
  </si>
  <si>
    <t>Cpar</t>
  </si>
  <si>
    <t>Fres (KHz)</t>
  </si>
  <si>
    <t>C(nF)</t>
  </si>
  <si>
    <t>Rp(K)</t>
  </si>
  <si>
    <t>SRF(MHz)</t>
  </si>
  <si>
    <t>Turns</t>
  </si>
  <si>
    <t>Copper thickness</t>
  </si>
  <si>
    <t>t</t>
  </si>
  <si>
    <t>l</t>
  </si>
  <si>
    <t>coil length per layer</t>
  </si>
  <si>
    <t>pr</t>
  </si>
  <si>
    <t>Rdc</t>
  </si>
  <si>
    <t>Layers</t>
  </si>
  <si>
    <t>M</t>
  </si>
  <si>
    <t>DC resistance</t>
  </si>
  <si>
    <t>AC resistance (skin effect only)</t>
  </si>
  <si>
    <t>ur</t>
  </si>
  <si>
    <t>Skin depth</t>
  </si>
  <si>
    <t>sd</t>
  </si>
  <si>
    <t>Rac</t>
  </si>
  <si>
    <t>Average diameter</t>
  </si>
  <si>
    <t>Self inductance per layer</t>
  </si>
  <si>
    <t>Total Inductance</t>
  </si>
  <si>
    <t>Self resonant frequency</t>
  </si>
  <si>
    <t>Geometric mean diameter</t>
  </si>
  <si>
    <t>Resonance impedance</t>
  </si>
  <si>
    <t>LC tank capacitance</t>
  </si>
  <si>
    <t>Resonance frequency</t>
  </si>
  <si>
    <t>Fres</t>
  </si>
  <si>
    <t>Q factor</t>
  </si>
  <si>
    <t>LC tank calculations</t>
  </si>
  <si>
    <t>Operating temperature</t>
  </si>
  <si>
    <t>T</t>
  </si>
  <si>
    <t>pr_tc</t>
  </si>
  <si>
    <t xml:space="preserve">pr_t </t>
  </si>
  <si>
    <t>Estimate - generally in the rage of 1 to 5 pf</t>
  </si>
  <si>
    <t>spacing between traces</t>
  </si>
  <si>
    <t>width of trace</t>
  </si>
  <si>
    <t>Space between 1st layer and 2nd layer</t>
  </si>
  <si>
    <t>Space between 2nd layer and 3rd layer</t>
  </si>
  <si>
    <t>Space between 3rd layer and 4th layer</t>
  </si>
  <si>
    <t>Space between 4th layer and 5th layer</t>
  </si>
  <si>
    <t>Space between 5th layer and 6th layer</t>
  </si>
  <si>
    <t>Space between 6th layer and 7th layer</t>
  </si>
  <si>
    <t>Space between 7th layer and 8th layer</t>
  </si>
  <si>
    <t>x12</t>
  </si>
  <si>
    <t>x23</t>
  </si>
  <si>
    <t>x34</t>
  </si>
  <si>
    <t>x45</t>
  </si>
  <si>
    <t>x56</t>
  </si>
  <si>
    <t>x67</t>
  </si>
  <si>
    <t>x78</t>
  </si>
  <si>
    <t>x1</t>
  </si>
  <si>
    <t>x2</t>
  </si>
  <si>
    <t>x3</t>
  </si>
  <si>
    <t>x4</t>
  </si>
  <si>
    <t>x5</t>
  </si>
  <si>
    <t>x6</t>
  </si>
  <si>
    <t>x7</t>
  </si>
  <si>
    <t>x8</t>
  </si>
  <si>
    <t>Distance between Layers (mm)</t>
  </si>
  <si>
    <t>Distance between layers</t>
  </si>
  <si>
    <t>Coupling Coef</t>
  </si>
  <si>
    <t>Inner diameter of the inductor</t>
  </si>
  <si>
    <t>Outer diameter of the inductor</t>
  </si>
  <si>
    <t>Self and Mutual Inductance Matrix (computed - do not modify directly)</t>
  </si>
  <si>
    <t>Enter operating temperature</t>
  </si>
  <si>
    <t>Select LC tank capacitance</t>
  </si>
  <si>
    <t>Number of turns per layer</t>
  </si>
  <si>
    <t>Layer Stackup</t>
  </si>
  <si>
    <t>mil</t>
  </si>
  <si>
    <t>Parasitic capacitance</t>
  </si>
  <si>
    <t>Ω</t>
  </si>
  <si>
    <t>Use 1.68e-8 for copper</t>
  </si>
  <si>
    <t>use 0.393 for  copper</t>
  </si>
  <si>
    <t>use 1 for copper</t>
  </si>
  <si>
    <r>
      <t>Number of layers on PCB board (1≤M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8)</t>
    </r>
  </si>
  <si>
    <t>TI LDC Inductance calculator</t>
  </si>
  <si>
    <r>
      <t>Conductor Resistivity (at 20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C)</t>
    </r>
  </si>
  <si>
    <t>Connductor Resistivity temperature coef</t>
  </si>
  <si>
    <t>Conductor relative permeability</t>
  </si>
  <si>
    <r>
      <t>Inductance Sum (</t>
    </r>
    <r>
      <rPr>
        <b/>
        <sz val="11"/>
        <color rgb="FFFA7D00"/>
        <rFont val="Calibri"/>
        <family val="2"/>
      </rPr>
      <t>µ</t>
    </r>
    <r>
      <rPr>
        <b/>
        <sz val="11"/>
        <color rgb="FFFA7D00"/>
        <rFont val="Calibri"/>
        <family val="2"/>
        <scheme val="minor"/>
      </rPr>
      <t>H)</t>
    </r>
  </si>
  <si>
    <r>
      <t>Total Inductance (</t>
    </r>
    <r>
      <rPr>
        <b/>
        <sz val="12"/>
        <color theme="6" tint="-0.499984740745262"/>
        <rFont val="Calibri"/>
        <family val="2"/>
      </rPr>
      <t>µ</t>
    </r>
    <r>
      <rPr>
        <b/>
        <sz val="12"/>
        <color theme="6" tint="-0.499984740745262"/>
        <rFont val="Calibri"/>
        <family val="2"/>
        <scheme val="minor"/>
      </rPr>
      <t>H)</t>
    </r>
  </si>
  <si>
    <r>
      <rPr>
        <sz val="10"/>
        <color theme="1"/>
        <rFont val="Calibri"/>
        <family val="2"/>
      </rPr>
      <t>°</t>
    </r>
    <r>
      <rPr>
        <sz val="10"/>
        <color theme="1"/>
        <rFont val="Calibri"/>
        <family val="2"/>
        <scheme val="minor"/>
      </rPr>
      <t>C</t>
    </r>
  </si>
  <si>
    <r>
      <rPr>
        <sz val="10"/>
        <color theme="1"/>
        <rFont val="Calibri"/>
        <family val="2"/>
      </rPr>
      <t>Ω</t>
    </r>
    <r>
      <rPr>
        <sz val="10"/>
        <color theme="1"/>
        <rFont val="Calibri"/>
        <family val="2"/>
        <scheme val="minor"/>
      </rPr>
      <t>m</t>
    </r>
  </si>
  <si>
    <r>
      <t>%/</t>
    </r>
    <r>
      <rPr>
        <sz val="10"/>
        <color theme="1"/>
        <rFont val="Calibri"/>
        <family val="2"/>
      </rPr>
      <t>°</t>
    </r>
    <r>
      <rPr>
        <sz val="10"/>
        <color theme="1"/>
        <rFont val="Calibri"/>
        <family val="2"/>
        <scheme val="minor"/>
      </rPr>
      <t>C</t>
    </r>
  </si>
  <si>
    <r>
      <rPr>
        <sz val="10"/>
        <color theme="1"/>
        <rFont val="Calibri"/>
        <family val="2"/>
      </rPr>
      <t>µ</t>
    </r>
    <r>
      <rPr>
        <sz val="10"/>
        <color theme="1"/>
        <rFont val="Calibri"/>
        <family val="2"/>
        <scheme val="minor"/>
      </rPr>
      <t>H</t>
    </r>
  </si>
  <si>
    <t>Inner diameter of the spiral inductor (mm or mil)</t>
  </si>
  <si>
    <t>Space between traces (mm or mil)</t>
  </si>
  <si>
    <t>Width of the trace  (mm or mil)</t>
  </si>
  <si>
    <t>Space between layer 1 and 2  (mm or mil)</t>
  </si>
  <si>
    <t>Space between layer 2 and 3  (mm or mil)</t>
  </si>
  <si>
    <t>Space between layer 3 and 4 (mm or mil)</t>
  </si>
  <si>
    <t>Space between layer 4 and 5  (mm or mil)</t>
  </si>
  <si>
    <t>Space between layer 5 and 6  (mm or mil)</t>
  </si>
  <si>
    <t>Space between layer 6 and 7  (mm or mil)</t>
  </si>
  <si>
    <t>Space between layer 7 and 8  (mm or mil)</t>
  </si>
  <si>
    <t>Copper layer thickness  (mm,Oz-Cu, or mil)</t>
  </si>
  <si>
    <t>Copper resistivity at operating temperature</t>
  </si>
  <si>
    <r>
      <rPr>
        <sz val="9"/>
        <color theme="1"/>
        <rFont val="Calibri"/>
        <family val="2"/>
      </rPr>
      <t>Ω</t>
    </r>
    <r>
      <rPr>
        <sz val="9"/>
        <color theme="1"/>
        <rFont val="Calibri"/>
        <family val="2"/>
        <scheme val="minor"/>
      </rPr>
      <t>m</t>
    </r>
  </si>
  <si>
    <t>oz-Cu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</si>
</sst>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000000E+00"/>
    <numFmt numFmtId="165" formatCode="0.000"/>
    <numFmt numFmtId="166" formatCode="0.0"/>
    <numFmt numFmtId="167" formatCode="0.000E+00"/>
    <numFmt numFmtId="168" formatCode="0.000000"/>
    <numFmt numFmtId="169" formatCode="0.000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A7D00"/>
      <name val="Calibri"/>
      <family val="2"/>
    </font>
    <font>
      <b/>
      <sz val="12"/>
      <color theme="6" tint="-0.499984740745262"/>
      <name val="Calibri"/>
      <family val="2"/>
      <scheme val="minor"/>
    </font>
    <font>
      <b/>
      <sz val="12"/>
      <color theme="6" tint="-0.499984740745262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rgb="FF005426"/>
      <name val="Calibri"/>
      <family val="2"/>
      <scheme val="minor"/>
    </font>
    <font>
      <sz val="9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7F7F7F"/>
      </left>
      <right style="medium">
        <color rgb="FF7F7F7F"/>
      </right>
      <top style="double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double">
        <color rgb="FF7F7F7F"/>
      </top>
      <bottom style="medium">
        <color rgb="FF7F7F7F"/>
      </bottom>
      <diagonal/>
    </border>
    <border>
      <left style="medium">
        <color rgb="FF7F7F7F"/>
      </left>
      <right style="double">
        <color rgb="FF7F7F7F"/>
      </right>
      <top style="double">
        <color rgb="FF7F7F7F"/>
      </top>
      <bottom style="medium">
        <color rgb="FF7F7F7F"/>
      </bottom>
      <diagonal/>
    </border>
    <border>
      <left style="double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double">
        <color rgb="FF7F7F7F"/>
      </right>
      <top style="medium">
        <color rgb="FF7F7F7F"/>
      </top>
      <bottom style="medium">
        <color rgb="FF7F7F7F"/>
      </bottom>
      <diagonal/>
    </border>
    <border>
      <left style="double">
        <color rgb="FF7F7F7F"/>
      </left>
      <right style="medium">
        <color rgb="FF7F7F7F"/>
      </right>
      <top style="medium">
        <color rgb="FF7F7F7F"/>
      </top>
      <bottom style="double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double">
        <color rgb="FF7F7F7F"/>
      </bottom>
      <diagonal/>
    </border>
    <border>
      <left style="medium">
        <color rgb="FF7F7F7F"/>
      </left>
      <right style="double">
        <color rgb="FF7F7F7F"/>
      </right>
      <top style="medium">
        <color rgb="FF7F7F7F"/>
      </top>
      <bottom style="double">
        <color rgb="FF7F7F7F"/>
      </bottom>
      <diagonal/>
    </border>
    <border>
      <left style="double">
        <color rgb="FF7F7F7F"/>
      </left>
      <right style="medium">
        <color rgb="FF7F7F7F"/>
      </right>
      <top style="double">
        <color rgb="FF7F7F7F"/>
      </top>
      <bottom style="double">
        <color rgb="FF7F7F7F"/>
      </bottom>
      <diagonal/>
    </border>
    <border>
      <left style="medium">
        <color rgb="FF7F7F7F"/>
      </left>
      <right style="medium">
        <color rgb="FF7F7F7F"/>
      </right>
      <top style="double">
        <color rgb="FF7F7F7F"/>
      </top>
      <bottom style="double">
        <color rgb="FF7F7F7F"/>
      </bottom>
      <diagonal/>
    </border>
    <border>
      <left style="medium">
        <color rgb="FF7F7F7F"/>
      </left>
      <right style="double">
        <color rgb="FF7F7F7F"/>
      </right>
      <top style="double">
        <color rgb="FF7F7F7F"/>
      </top>
      <bottom style="double">
        <color rgb="FF7F7F7F"/>
      </bottom>
      <diagonal/>
    </border>
    <border>
      <left style="double">
        <color rgb="FFB2B2B2"/>
      </left>
      <right style="thin">
        <color rgb="FFB2B2B2"/>
      </right>
      <top style="double">
        <color rgb="FFB2B2B2"/>
      </top>
      <bottom style="double">
        <color rgb="FF7F7F7F"/>
      </bottom>
      <diagonal/>
    </border>
    <border>
      <left style="thin">
        <color rgb="FFB2B2B2"/>
      </left>
      <right style="thin">
        <color rgb="FFB2B2B2"/>
      </right>
      <top style="double">
        <color rgb="FFB2B2B2"/>
      </top>
      <bottom style="double">
        <color rgb="FF7F7F7F"/>
      </bottom>
      <diagonal/>
    </border>
    <border>
      <left style="thin">
        <color rgb="FFB2B2B2"/>
      </left>
      <right style="double">
        <color rgb="FFB2B2B2"/>
      </right>
      <top style="double">
        <color rgb="FFB2B2B2"/>
      </top>
      <bottom style="double">
        <color rgb="FF7F7F7F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5" borderId="2" applyNumberFormat="0" applyAlignment="0" applyProtection="0"/>
    <xf numFmtId="0" fontId="5" fillId="6" borderId="2" applyNumberFormat="0" applyAlignment="0" applyProtection="0"/>
    <xf numFmtId="0" fontId="3" fillId="7" borderId="3" applyNumberFormat="0" applyFont="0" applyAlignment="0" applyProtection="0"/>
  </cellStyleXfs>
  <cellXfs count="96">
    <xf numFmtId="0" fontId="0" fillId="0" borderId="0" xfId="0"/>
    <xf numFmtId="11" fontId="0" fillId="0" borderId="0" xfId="0" applyNumberFormat="1"/>
    <xf numFmtId="0" fontId="0" fillId="2" borderId="0" xfId="0" applyFill="1"/>
    <xf numFmtId="0" fontId="2" fillId="3" borderId="0" xfId="0" applyFont="1" applyFill="1"/>
    <xf numFmtId="0" fontId="1" fillId="3" borderId="0" xfId="0" applyFont="1" applyFill="1"/>
    <xf numFmtId="1" fontId="0" fillId="0" borderId="0" xfId="0" applyNumberFormat="1" applyFill="1"/>
    <xf numFmtId="2" fontId="0" fillId="0" borderId="0" xfId="0" applyNumberFormat="1"/>
    <xf numFmtId="1" fontId="0" fillId="2" borderId="0" xfId="0" applyNumberFormat="1" applyFill="1"/>
    <xf numFmtId="164" fontId="0" fillId="0" borderId="0" xfId="0" applyNumberFormat="1"/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4" fillId="5" borderId="8" xfId="1" applyBorder="1"/>
    <xf numFmtId="0" fontId="0" fillId="0" borderId="8" xfId="0" applyBorder="1"/>
    <xf numFmtId="0" fontId="5" fillId="6" borderId="9" xfId="2" applyBorder="1"/>
    <xf numFmtId="0" fontId="4" fillId="5" borderId="11" xfId="1" applyBorder="1"/>
    <xf numFmtId="0" fontId="0" fillId="0" borderId="11" xfId="0" applyBorder="1"/>
    <xf numFmtId="0" fontId="5" fillId="6" borderId="12" xfId="2" applyBorder="1"/>
    <xf numFmtId="165" fontId="0" fillId="4" borderId="1" xfId="0" applyNumberFormat="1" applyFill="1" applyBorder="1" applyAlignment="1">
      <alignment horizontal="right"/>
    </xf>
    <xf numFmtId="166" fontId="0" fillId="4" borderId="1" xfId="0" applyNumberFormat="1" applyFill="1" applyBorder="1" applyAlignment="1">
      <alignment horizontal="right"/>
    </xf>
    <xf numFmtId="0" fontId="0" fillId="0" borderId="0" xfId="0" applyAlignment="1"/>
    <xf numFmtId="0" fontId="7" fillId="0" borderId="0" xfId="0" applyFont="1"/>
    <xf numFmtId="0" fontId="0" fillId="0" borderId="19" xfId="0" applyFill="1" applyBorder="1"/>
    <xf numFmtId="0" fontId="0" fillId="0" borderId="1" xfId="0" applyFill="1" applyBorder="1"/>
    <xf numFmtId="0" fontId="0" fillId="0" borderId="24" xfId="0" applyFill="1" applyBorder="1" applyAlignment="1">
      <alignment horizontal="left"/>
    </xf>
    <xf numFmtId="0" fontId="0" fillId="0" borderId="20" xfId="0" applyFill="1" applyBorder="1" applyAlignment="1"/>
    <xf numFmtId="0" fontId="0" fillId="0" borderId="25" xfId="0" applyFill="1" applyBorder="1" applyAlignment="1">
      <alignment horizontal="left"/>
    </xf>
    <xf numFmtId="0" fontId="0" fillId="0" borderId="23" xfId="0" applyFill="1" applyBorder="1" applyAlignment="1"/>
    <xf numFmtId="0" fontId="0" fillId="0" borderId="21" xfId="0" applyFill="1" applyBorder="1"/>
    <xf numFmtId="0" fontId="0" fillId="0" borderId="22" xfId="0" applyFill="1" applyBorder="1"/>
    <xf numFmtId="2" fontId="0" fillId="4" borderId="1" xfId="0" applyNumberFormat="1" applyFill="1" applyBorder="1" applyAlignment="1">
      <alignment horizontal="right"/>
    </xf>
    <xf numFmtId="165" fontId="0" fillId="4" borderId="22" xfId="0" applyNumberFormat="1" applyFill="1" applyBorder="1" applyAlignment="1">
      <alignment horizontal="right"/>
    </xf>
    <xf numFmtId="0" fontId="0" fillId="0" borderId="26" xfId="0" applyFill="1" applyBorder="1"/>
    <xf numFmtId="0" fontId="0" fillId="0" borderId="27" xfId="0" applyFill="1" applyBorder="1"/>
    <xf numFmtId="0" fontId="0" fillId="0" borderId="29" xfId="0" applyFill="1" applyBorder="1" applyAlignment="1"/>
    <xf numFmtId="2" fontId="0" fillId="4" borderId="27" xfId="0" applyNumberFormat="1" applyFill="1" applyBorder="1" applyAlignment="1">
      <alignment horizontal="right"/>
    </xf>
    <xf numFmtId="0" fontId="9" fillId="0" borderId="0" xfId="0" applyFont="1"/>
    <xf numFmtId="0" fontId="10" fillId="0" borderId="0" xfId="0" applyFont="1" applyAlignment="1"/>
    <xf numFmtId="0" fontId="0" fillId="0" borderId="34" xfId="0" applyBorder="1" applyAlignment="1">
      <alignment horizontal="left"/>
    </xf>
    <xf numFmtId="0" fontId="0" fillId="8" borderId="34" xfId="0" applyFill="1" applyBorder="1" applyAlignment="1">
      <alignment horizontal="right"/>
    </xf>
    <xf numFmtId="0" fontId="0" fillId="0" borderId="34" xfId="0" applyBorder="1" applyAlignment="1"/>
    <xf numFmtId="1" fontId="0" fillId="8" borderId="34" xfId="0" applyNumberFormat="1" applyFill="1" applyBorder="1" applyAlignment="1">
      <alignment horizontal="right"/>
    </xf>
    <xf numFmtId="0" fontId="0" fillId="0" borderId="34" xfId="0" applyBorder="1"/>
    <xf numFmtId="0" fontId="9" fillId="0" borderId="34" xfId="0" applyFont="1" applyBorder="1" applyAlignment="1">
      <alignment horizontal="left"/>
    </xf>
    <xf numFmtId="168" fontId="9" fillId="0" borderId="34" xfId="0" applyNumberFormat="1" applyFont="1" applyBorder="1" applyAlignment="1">
      <alignment horizontal="left"/>
    </xf>
    <xf numFmtId="0" fontId="0" fillId="9" borderId="34" xfId="3" applyFont="1" applyFill="1" applyBorder="1"/>
    <xf numFmtId="11" fontId="0" fillId="9" borderId="34" xfId="3" applyNumberFormat="1" applyFont="1" applyFill="1" applyBorder="1" applyAlignment="1">
      <alignment horizontal="right"/>
    </xf>
    <xf numFmtId="0" fontId="0" fillId="9" borderId="34" xfId="3" applyFont="1" applyFill="1" applyBorder="1" applyAlignment="1">
      <alignment horizontal="left"/>
    </xf>
    <xf numFmtId="0" fontId="0" fillId="9" borderId="34" xfId="3" applyFont="1" applyFill="1" applyBorder="1" applyAlignment="1"/>
    <xf numFmtId="165" fontId="0" fillId="9" borderId="34" xfId="3" applyNumberFormat="1" applyFont="1" applyFill="1" applyBorder="1" applyAlignment="1">
      <alignment horizontal="right"/>
    </xf>
    <xf numFmtId="1" fontId="0" fillId="9" borderId="34" xfId="3" applyNumberFormat="1" applyFont="1" applyFill="1" applyBorder="1" applyAlignment="1">
      <alignment horizontal="right"/>
    </xf>
    <xf numFmtId="0" fontId="0" fillId="0" borderId="34" xfId="0" applyFill="1" applyBorder="1" applyAlignment="1">
      <alignment horizontal="left"/>
    </xf>
    <xf numFmtId="0" fontId="0" fillId="0" borderId="34" xfId="0" applyFill="1" applyBorder="1" applyAlignment="1"/>
    <xf numFmtId="0" fontId="12" fillId="6" borderId="15" xfId="2" applyFont="1" applyBorder="1"/>
    <xf numFmtId="0" fontId="14" fillId="0" borderId="34" xfId="0" applyFont="1" applyBorder="1" applyAlignment="1">
      <alignment horizontal="left"/>
    </xf>
    <xf numFmtId="0" fontId="14" fillId="9" borderId="34" xfId="3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left"/>
    </xf>
    <xf numFmtId="0" fontId="6" fillId="0" borderId="20" xfId="0" applyFont="1" applyFill="1" applyBorder="1" applyAlignment="1"/>
    <xf numFmtId="166" fontId="0" fillId="8" borderId="34" xfId="0" applyNumberFormat="1" applyFill="1" applyBorder="1" applyAlignment="1">
      <alignment horizontal="right"/>
    </xf>
    <xf numFmtId="169" fontId="0" fillId="8" borderId="34" xfId="0" applyNumberFormat="1" applyFill="1" applyBorder="1" applyAlignment="1">
      <alignment horizontal="right"/>
    </xf>
    <xf numFmtId="169" fontId="0" fillId="0" borderId="34" xfId="0" applyNumberFormat="1" applyBorder="1" applyAlignment="1">
      <alignment horizontal="right"/>
    </xf>
    <xf numFmtId="166" fontId="0" fillId="9" borderId="34" xfId="3" applyNumberFormat="1" applyFont="1" applyFill="1" applyBorder="1" applyAlignment="1">
      <alignment horizontal="right"/>
    </xf>
    <xf numFmtId="0" fontId="9" fillId="0" borderId="28" xfId="0" applyFont="1" applyFill="1" applyBorder="1" applyAlignment="1">
      <alignment horizontal="left"/>
    </xf>
    <xf numFmtId="0" fontId="16" fillId="0" borderId="19" xfId="0" applyFont="1" applyFill="1" applyBorder="1"/>
    <xf numFmtId="0" fontId="16" fillId="0" borderId="1" xfId="0" applyFont="1" applyFill="1" applyBorder="1"/>
    <xf numFmtId="2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left"/>
    </xf>
    <xf numFmtId="169" fontId="16" fillId="0" borderId="1" xfId="0" applyNumberFormat="1" applyFont="1" applyFill="1" applyBorder="1" applyAlignment="1">
      <alignment horizontal="right"/>
    </xf>
    <xf numFmtId="0" fontId="17" fillId="8" borderId="27" xfId="0" applyFont="1" applyFill="1" applyBorder="1" applyAlignment="1">
      <alignment horizontal="center"/>
    </xf>
    <xf numFmtId="0" fontId="17" fillId="8" borderId="34" xfId="0" applyFont="1" applyFill="1" applyBorder="1" applyAlignment="1">
      <alignment horizontal="center"/>
    </xf>
    <xf numFmtId="0" fontId="16" fillId="0" borderId="34" xfId="0" applyFont="1" applyFill="1" applyBorder="1"/>
    <xf numFmtId="167" fontId="16" fillId="0" borderId="34" xfId="0" applyNumberFormat="1" applyFont="1" applyFill="1" applyBorder="1" applyAlignment="1">
      <alignment horizontal="right" vertical="center"/>
    </xf>
    <xf numFmtId="0" fontId="16" fillId="0" borderId="34" xfId="0" applyFont="1" applyFill="1" applyBorder="1" applyAlignment="1">
      <alignment horizontal="left" vertical="center"/>
    </xf>
    <xf numFmtId="0" fontId="5" fillId="6" borderId="6" xfId="2" applyBorder="1" applyAlignment="1">
      <alignment horizontal="center" wrapText="1"/>
    </xf>
    <xf numFmtId="0" fontId="5" fillId="6" borderId="9" xfId="2" applyBorder="1" applyAlignment="1">
      <alignment horizontal="center" wrapText="1"/>
    </xf>
    <xf numFmtId="0" fontId="2" fillId="7" borderId="16" xfId="3" applyFont="1" applyBorder="1" applyAlignment="1">
      <alignment horizontal="center"/>
    </xf>
    <xf numFmtId="0" fontId="2" fillId="7" borderId="17" xfId="3" applyFont="1" applyBorder="1" applyAlignment="1">
      <alignment horizontal="center"/>
    </xf>
    <xf numFmtId="0" fontId="2" fillId="7" borderId="18" xfId="3" applyFont="1" applyBorder="1" applyAlignment="1">
      <alignment horizontal="center"/>
    </xf>
    <xf numFmtId="0" fontId="12" fillId="6" borderId="13" xfId="2" applyFont="1" applyBorder="1" applyAlignment="1">
      <alignment horizontal="center"/>
    </xf>
    <xf numFmtId="0" fontId="12" fillId="6" borderId="14" xfId="2" applyFont="1" applyBorder="1" applyAlignment="1">
      <alignment horizontal="center"/>
    </xf>
    <xf numFmtId="0" fontId="0" fillId="7" borderId="4" xfId="3" applyFont="1" applyBorder="1" applyAlignment="1">
      <alignment horizontal="center"/>
    </xf>
    <xf numFmtId="0" fontId="0" fillId="7" borderId="5" xfId="3" applyFont="1" applyBorder="1" applyAlignment="1">
      <alignment horizontal="center"/>
    </xf>
    <xf numFmtId="0" fontId="0" fillId="7" borderId="7" xfId="3" applyFont="1" applyBorder="1" applyAlignment="1">
      <alignment horizontal="center"/>
    </xf>
    <xf numFmtId="0" fontId="0" fillId="7" borderId="8" xfId="3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4" fillId="5" borderId="5" xfId="1" applyBorder="1" applyAlignment="1">
      <alignment horizontal="center"/>
    </xf>
    <xf numFmtId="0" fontId="4" fillId="5" borderId="7" xfId="1" applyBorder="1" applyAlignment="1">
      <alignment horizontal="center" textRotation="90"/>
    </xf>
    <xf numFmtId="0" fontId="4" fillId="5" borderId="10" xfId="1" applyBorder="1" applyAlignment="1">
      <alignment horizontal="center" textRotation="90"/>
    </xf>
  </cellXfs>
  <cellStyles count="4">
    <cellStyle name="Calculation" xfId="2" builtinId="22"/>
    <cellStyle name="Input" xfId="1" builtinId="20"/>
    <cellStyle name="Normal" xfId="0" builtinId="0"/>
    <cellStyle name="Note" xfId="3" builtinId="10"/>
  </cellStyles>
  <dxfs count="20">
    <dxf>
      <font>
        <color rgb="FFC00000"/>
      </font>
    </dxf>
    <dxf>
      <font>
        <color rgb="FFC00000"/>
      </font>
    </dxf>
    <dxf>
      <font>
        <strike val="0"/>
        <color rgb="FFC00000"/>
      </font>
    </dxf>
    <dxf>
      <font>
        <b/>
        <i val="0"/>
        <color rgb="FFC00000"/>
      </font>
    </dxf>
    <dxf>
      <font>
        <b/>
        <i val="0"/>
        <strike val="0"/>
        <color rgb="FFC00000"/>
      </font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CC"/>
      <color rgb="FF005426"/>
      <color rgb="FFCCECFF"/>
      <color rgb="FF50A05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Sheet3!$C$1</c:f>
              <c:strCache>
                <c:ptCount val="1"/>
                <c:pt idx="0">
                  <c:v>Resitivity 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#,##0.00" sourceLinked="0"/>
            </c:trendlineLbl>
          </c:trendline>
          <c:xVal>
            <c:numRef>
              <c:f>Sheet3!$B$2:$B$6</c:f>
              <c:numCache>
                <c:formatCode>General</c:formatCode>
                <c:ptCount val="5"/>
                <c:pt idx="0">
                  <c:v>273.14999999999998</c:v>
                </c:pt>
                <c:pt idx="1">
                  <c:v>300</c:v>
                </c:pt>
                <c:pt idx="2">
                  <c:v>350</c:v>
                </c:pt>
                <c:pt idx="3">
                  <c:v>400</c:v>
                </c:pt>
                <c:pt idx="4">
                  <c:v>500</c:v>
                </c:pt>
              </c:numCache>
            </c:numRef>
          </c:xVal>
          <c:yVal>
            <c:numRef>
              <c:f>Sheet3!$C$2:$C$6</c:f>
              <c:numCache>
                <c:formatCode>0.00E+00</c:formatCode>
                <c:ptCount val="5"/>
                <c:pt idx="0">
                  <c:v>1.543E-8</c:v>
                </c:pt>
                <c:pt idx="1">
                  <c:v>1.7249999999999999E-8</c:v>
                </c:pt>
                <c:pt idx="2">
                  <c:v>2.063E-8</c:v>
                </c:pt>
                <c:pt idx="3">
                  <c:v>2.4019999999999999E-8</c:v>
                </c:pt>
                <c:pt idx="4">
                  <c:v>3.0899999999999999E-8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32192"/>
        <c:axId val="173033728"/>
      </c:scatterChart>
      <c:valAx>
        <c:axId val="17303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033728"/>
        <c:crosses val="autoZero"/>
        <c:crossBetween val="midCat"/>
      </c:valAx>
      <c:valAx>
        <c:axId val="173033728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73032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3</xdr:row>
      <xdr:rowOff>28575</xdr:rowOff>
    </xdr:from>
    <xdr:to>
      <xdr:col>1</xdr:col>
      <xdr:colOff>1914525</xdr:colOff>
      <xdr:row>11</xdr:row>
      <xdr:rowOff>180280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1" y="962025"/>
          <a:ext cx="1885949" cy="16757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1943100</xdr:colOff>
      <xdr:row>3</xdr:row>
      <xdr:rowOff>23310</xdr:rowOff>
    </xdr:from>
    <xdr:to>
      <xdr:col>3</xdr:col>
      <xdr:colOff>476200</xdr:colOff>
      <xdr:row>11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90775" y="213810"/>
          <a:ext cx="1952575" cy="1634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</xdr:row>
      <xdr:rowOff>66675</xdr:rowOff>
    </xdr:from>
    <xdr:to>
      <xdr:col>8</xdr:col>
      <xdr:colOff>334475</xdr:colOff>
      <xdr:row>16</xdr:row>
      <xdr:rowOff>85725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857250"/>
          <a:ext cx="3934925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7</xdr:col>
      <xdr:colOff>469231</xdr:colOff>
      <xdr:row>11</xdr:row>
      <xdr:rowOff>33838</xdr:rowOff>
    </xdr:to>
    <xdr:grpSp>
      <xdr:nvGrpSpPr>
        <xdr:cNvPr id="2" name="Group 1"/>
        <xdr:cNvGrpSpPr/>
      </xdr:nvGrpSpPr>
      <xdr:grpSpPr>
        <a:xfrm>
          <a:off x="2751667" y="381000"/>
          <a:ext cx="2310731" cy="1748338"/>
          <a:chOff x="5991728" y="697845"/>
          <a:chExt cx="2298031" cy="1367338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273218" y="1255558"/>
            <a:ext cx="1819275" cy="809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Box 6"/>
          <xdr:cNvSpPr txBox="1"/>
        </xdr:nvSpPr>
        <xdr:spPr>
          <a:xfrm>
            <a:off x="6027822" y="866286"/>
            <a:ext cx="224933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Resonant frequency</a:t>
            </a:r>
          </a:p>
        </xdr:txBody>
      </xdr:sp>
      <xdr:sp macro="" textlink="">
        <xdr:nvSpPr>
          <xdr:cNvPr id="5" name="Rectangle 4"/>
          <xdr:cNvSpPr/>
        </xdr:nvSpPr>
        <xdr:spPr>
          <a:xfrm>
            <a:off x="5991728" y="697845"/>
            <a:ext cx="2298031" cy="1347537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0</xdr:colOff>
      <xdr:row>11</xdr:row>
      <xdr:rowOff>9525</xdr:rowOff>
    </xdr:from>
    <xdr:to>
      <xdr:col>9</xdr:col>
      <xdr:colOff>328362</xdr:colOff>
      <xdr:row>15</xdr:row>
      <xdr:rowOff>76200</xdr:rowOff>
    </xdr:to>
    <xdr:grpSp>
      <xdr:nvGrpSpPr>
        <xdr:cNvPr id="6" name="Group 5"/>
        <xdr:cNvGrpSpPr/>
      </xdr:nvGrpSpPr>
      <xdr:grpSpPr>
        <a:xfrm>
          <a:off x="2751667" y="2105025"/>
          <a:ext cx="3397528" cy="828675"/>
          <a:chOff x="5005137" y="2219576"/>
          <a:chExt cx="3395412" cy="638175"/>
        </a:xfrm>
      </xdr:grpSpPr>
      <xdr:sp macro="" textlink="">
        <xdr:nvSpPr>
          <xdr:cNvPr id="7" name="TextBox 7"/>
          <xdr:cNvSpPr txBox="1"/>
        </xdr:nvSpPr>
        <xdr:spPr>
          <a:xfrm>
            <a:off x="5005137" y="2370221"/>
            <a:ext cx="24416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At resonant frequency</a:t>
            </a:r>
          </a:p>
        </xdr:txBody>
      </xdr:sp>
      <xdr:pic>
        <xdr:nvPicPr>
          <xdr:cNvPr id="8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7505199" y="2219576"/>
            <a:ext cx="895350" cy="6381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9" name="Rectangle 8"/>
          <xdr:cNvSpPr/>
        </xdr:nvSpPr>
        <xdr:spPr>
          <a:xfrm>
            <a:off x="5037221" y="2310064"/>
            <a:ext cx="3312695" cy="53741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0</xdr:colOff>
      <xdr:row>16</xdr:row>
      <xdr:rowOff>161925</xdr:rowOff>
    </xdr:from>
    <xdr:to>
      <xdr:col>10</xdr:col>
      <xdr:colOff>139868</xdr:colOff>
      <xdr:row>21</xdr:row>
      <xdr:rowOff>27574</xdr:rowOff>
    </xdr:to>
    <xdr:grpSp>
      <xdr:nvGrpSpPr>
        <xdr:cNvPr id="11" name="Group 10"/>
        <xdr:cNvGrpSpPr/>
      </xdr:nvGrpSpPr>
      <xdr:grpSpPr>
        <a:xfrm>
          <a:off x="2751667" y="3209925"/>
          <a:ext cx="3822868" cy="818149"/>
          <a:chOff x="4547936" y="3124199"/>
          <a:chExt cx="3826043" cy="818149"/>
        </a:xfrm>
      </xdr:grpSpPr>
      <xdr:pic>
        <xdr:nvPicPr>
          <xdr:cNvPr id="12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6018046" y="3180348"/>
            <a:ext cx="2257425" cy="76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3" name="TextBox 13"/>
          <xdr:cNvSpPr txBox="1"/>
        </xdr:nvSpPr>
        <xdr:spPr>
          <a:xfrm>
            <a:off x="4547936" y="3392905"/>
            <a:ext cx="126188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Bandwidth</a:t>
            </a:r>
          </a:p>
        </xdr:txBody>
      </xdr:sp>
      <xdr:sp macro="" textlink="">
        <xdr:nvSpPr>
          <xdr:cNvPr id="14" name="Rectangle 13"/>
          <xdr:cNvSpPr/>
        </xdr:nvSpPr>
        <xdr:spPr>
          <a:xfrm>
            <a:off x="4567990" y="3124199"/>
            <a:ext cx="3805989" cy="774033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>
    <xdr:from>
      <xdr:col>4</xdr:col>
      <xdr:colOff>0</xdr:colOff>
      <xdr:row>21</xdr:row>
      <xdr:rowOff>133350</xdr:rowOff>
    </xdr:from>
    <xdr:to>
      <xdr:col>11</xdr:col>
      <xdr:colOff>89234</xdr:colOff>
      <xdr:row>25</xdr:row>
      <xdr:rowOff>145383</xdr:rowOff>
    </xdr:to>
    <xdr:grpSp>
      <xdr:nvGrpSpPr>
        <xdr:cNvPr id="15" name="Group 14"/>
        <xdr:cNvGrpSpPr/>
      </xdr:nvGrpSpPr>
      <xdr:grpSpPr>
        <a:xfrm>
          <a:off x="2751667" y="4133850"/>
          <a:ext cx="4386067" cy="774033"/>
          <a:chOff x="4006517" y="4034588"/>
          <a:chExt cx="4375484" cy="774033"/>
        </a:xfrm>
      </xdr:grpSpPr>
      <xdr:sp macro="" textlink="">
        <xdr:nvSpPr>
          <xdr:cNvPr id="16" name="TextBox 20"/>
          <xdr:cNvSpPr txBox="1"/>
        </xdr:nvSpPr>
        <xdr:spPr>
          <a:xfrm>
            <a:off x="4752503" y="4283234"/>
            <a:ext cx="3211135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/>
              <a:t>Energy= 0.5 *L*I</a:t>
            </a:r>
            <a:r>
              <a:rPr lang="en-US" baseline="30000"/>
              <a:t>2</a:t>
            </a:r>
            <a:r>
              <a:rPr lang="en-US"/>
              <a:t> = 0.5*C*V</a:t>
            </a:r>
            <a:r>
              <a:rPr lang="en-US" baseline="30000"/>
              <a:t>2</a:t>
            </a:r>
          </a:p>
        </xdr:txBody>
      </xdr:sp>
      <xdr:sp macro="" textlink="">
        <xdr:nvSpPr>
          <xdr:cNvPr id="17" name="Rectangle 16"/>
          <xdr:cNvSpPr/>
        </xdr:nvSpPr>
        <xdr:spPr>
          <a:xfrm>
            <a:off x="4006517" y="4034588"/>
            <a:ext cx="4375484" cy="774033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</xdr:grpSp>
    <xdr:clientData/>
  </xdr:twoCellAnchor>
  <xdr:twoCellAnchor editAs="oneCell">
    <xdr:from>
      <xdr:col>15</xdr:col>
      <xdr:colOff>92744</xdr:colOff>
      <xdr:row>27</xdr:row>
      <xdr:rowOff>0</xdr:rowOff>
    </xdr:from>
    <xdr:to>
      <xdr:col>16</xdr:col>
      <xdr:colOff>492793</xdr:colOff>
      <xdr:row>30</xdr:row>
      <xdr:rowOff>142875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675144" y="4572000"/>
          <a:ext cx="10096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498058</xdr:colOff>
      <xdr:row>27</xdr:row>
      <xdr:rowOff>52387</xdr:rowOff>
    </xdr:from>
    <xdr:to>
      <xdr:col>15</xdr:col>
      <xdr:colOff>31334</xdr:colOff>
      <xdr:row>30</xdr:row>
      <xdr:rowOff>90487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84458" y="4624387"/>
          <a:ext cx="5629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168442</xdr:colOff>
      <xdr:row>27</xdr:row>
      <xdr:rowOff>176714</xdr:rowOff>
    </xdr:from>
    <xdr:to>
      <xdr:col>5</xdr:col>
      <xdr:colOff>564245</xdr:colOff>
      <xdr:row>29</xdr:row>
      <xdr:rowOff>165046</xdr:rowOff>
    </xdr:to>
    <xdr:sp macro="" textlink="">
      <xdr:nvSpPr>
        <xdr:cNvPr id="20" name="TextBox 16"/>
        <xdr:cNvSpPr txBox="1"/>
      </xdr:nvSpPr>
      <xdr:spPr>
        <a:xfrm>
          <a:off x="5045242" y="4748714"/>
          <a:ext cx="1005403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/>
            <a:t>Q factor</a:t>
          </a:r>
        </a:p>
      </xdr:txBody>
    </xdr:sp>
    <xdr:clientData/>
  </xdr:twoCellAnchor>
  <xdr:twoCellAnchor>
    <xdr:from>
      <xdr:col>4</xdr:col>
      <xdr:colOff>0</xdr:colOff>
      <xdr:row>27</xdr:row>
      <xdr:rowOff>4261</xdr:rowOff>
    </xdr:from>
    <xdr:to>
      <xdr:col>17</xdr:col>
      <xdr:colOff>52137</xdr:colOff>
      <xdr:row>30</xdr:row>
      <xdr:rowOff>146634</xdr:rowOff>
    </xdr:to>
    <xdr:sp macro="" textlink="">
      <xdr:nvSpPr>
        <xdr:cNvPr id="21" name="Rectangle 20"/>
        <xdr:cNvSpPr/>
      </xdr:nvSpPr>
      <xdr:spPr>
        <a:xfrm>
          <a:off x="4876800" y="4576261"/>
          <a:ext cx="7976937" cy="71387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209550</xdr:colOff>
          <xdr:row>1</xdr:row>
          <xdr:rowOff>152400</xdr:rowOff>
        </xdr:from>
        <xdr:to>
          <xdr:col>14</xdr:col>
          <xdr:colOff>542925</xdr:colOff>
          <xdr:row>18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3</xdr:row>
      <xdr:rowOff>28575</xdr:rowOff>
    </xdr:from>
    <xdr:to>
      <xdr:col>15</xdr:col>
      <xdr:colOff>9525</xdr:colOff>
      <xdr:row>17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N21" totalsRowShown="0">
  <tableColumns count="14">
    <tableColumn id="1" name="F(kHz)"/>
    <tableColumn id="2" name="1">
      <calculatedColumnFormula>1/(4*3.14*3.14*$A2*0.000001*B$1*1000*B$1*1000)</calculatedColumnFormula>
    </tableColumn>
    <tableColumn id="3" name="2">
      <calculatedColumnFormula>1/(4*3.14*3.14*$A2*0.000001*C$1*1000*C$1*1000)</calculatedColumnFormula>
    </tableColumn>
    <tableColumn id="4" name="5">
      <calculatedColumnFormula>1/(4*3.14*3.14*$A2*0.000001*D$1*1000*D$1*1000)</calculatedColumnFormula>
    </tableColumn>
    <tableColumn id="5" name="10">
      <calculatedColumnFormula>1/(4*3.14*3.14*$A2*0.000001*E$1*1000*E$1*1000)</calculatedColumnFormula>
    </tableColumn>
    <tableColumn id="6" name="20">
      <calculatedColumnFormula>1/(4*3.14*3.14*$A2*0.000001*F$1*1000*F$1*1000)</calculatedColumnFormula>
    </tableColumn>
    <tableColumn id="7" name="50">
      <calculatedColumnFormula>1/(4*3.14*3.14*$A2*0.000001*G$1*1000*G$1*1000)</calculatedColumnFormula>
    </tableColumn>
    <tableColumn id="8" name="100">
      <calculatedColumnFormula>1/(4*3.14*3.14*$A2*0.000001*H$1*1000*H$1*1000)</calculatedColumnFormula>
    </tableColumn>
    <tableColumn id="9" name="200">
      <calculatedColumnFormula>1/(4*3.14*3.14*$A2*0.000001*I$1*1000*I$1*1000)</calculatedColumnFormula>
    </tableColumn>
    <tableColumn id="10" name="500">
      <calculatedColumnFormula>1/(4*3.14*3.14*$A2*0.000001*J$1*1000*J$1*1000)</calculatedColumnFormula>
    </tableColumn>
    <tableColumn id="11" name="1000">
      <calculatedColumnFormula>1/(4*3.14*3.14*$A2*0.000001*K$1*1000*K$1*1000)</calculatedColumnFormula>
    </tableColumn>
    <tableColumn id="12" name="2000">
      <calculatedColumnFormula>1/(4*3.14*3.14*$A2*0.000001*L$1*1000*L$1*1000)</calculatedColumnFormula>
    </tableColumn>
    <tableColumn id="13" name="5000">
      <calculatedColumnFormula>1/(4*3.14*3.14*$A2*0.000001*M$1*1000*M$1*1000)</calculatedColumnFormula>
    </tableColumn>
    <tableColumn id="14" name="10000">
      <calculatedColumnFormula>1/(4*3.14*3.14*$A2*0.000001*N$1*1000*N$1*1000)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28:N48" totalsRowShown="0">
  <tableColumns count="14">
    <tableColumn id="1" name="F(kHz)"/>
    <tableColumn id="2" name="1">
      <calculatedColumnFormula>1/(4*3.14*3.14*$A29*0.000001*B$1*1000*B$1*1000)</calculatedColumnFormula>
    </tableColumn>
    <tableColumn id="3" name="2">
      <calculatedColumnFormula>1/(4*3.14*3.14*$A29*0.000001*C$1*1000*C$1*1000)</calculatedColumnFormula>
    </tableColumn>
    <tableColumn id="4" name="5">
      <calculatedColumnFormula>1/(4*3.14*3.14*$A29*0.000001*D$1*1000*D$1*1000)</calculatedColumnFormula>
    </tableColumn>
    <tableColumn id="5" name="10">
      <calculatedColumnFormula>1/(4*3.14*3.14*$A29*0.000001*E$1*1000*E$1*1000)</calculatedColumnFormula>
    </tableColumn>
    <tableColumn id="6" name="20">
      <calculatedColumnFormula>1/(4*3.14*3.14*$A29*0.000001*F$1*1000*F$1*1000)</calculatedColumnFormula>
    </tableColumn>
    <tableColumn id="7" name="50">
      <calculatedColumnFormula>1/(4*3.14*3.14*$A29*0.000001*G$1*1000*G$1*1000)</calculatedColumnFormula>
    </tableColumn>
    <tableColumn id="8" name="100">
      <calculatedColumnFormula>1/(4*3.14*3.14*$A29*0.000001*H$1*1000*H$1*1000)</calculatedColumnFormula>
    </tableColumn>
    <tableColumn id="9" name="200">
      <calculatedColumnFormula>1/(4*3.14*3.14*$A29*0.000001*I$1*1000*I$1*1000)</calculatedColumnFormula>
    </tableColumn>
    <tableColumn id="10" name="500">
      <calculatedColumnFormula>1/(4*3.14*3.14*$A29*0.000001*J$1*1000*J$1*1000)</calculatedColumnFormula>
    </tableColumn>
    <tableColumn id="11" name="1000">
      <calculatedColumnFormula>1/(4*3.14*3.14*$A29*0.000001*K$1*1000*K$1*1000)</calculatedColumnFormula>
    </tableColumn>
    <tableColumn id="12" name="2000">
      <calculatedColumnFormula>1/(4*3.14*3.14*$A29*0.000001*L$1*1000*L$1*1000)</calculatedColumnFormula>
    </tableColumn>
    <tableColumn id="13" name="5000">
      <calculatedColumnFormula>1/(4*3.14*3.14*$A29*0.000001*M$1*1000*M$1*1000)</calculatedColumnFormula>
    </tableColumn>
    <tableColumn id="14" name="10000">
      <calculatedColumnFormula>1/(4*3.14*3.14*$A29*0.000001*N$1*1000*N$1*1000)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2"/>
  <sheetViews>
    <sheetView tabSelected="1" topLeftCell="A29" zoomScaleNormal="100" workbookViewId="0">
      <selection activeCell="D43" sqref="D43"/>
    </sheetView>
  </sheetViews>
  <sheetFormatPr defaultRowHeight="15" x14ac:dyDescent="0.25"/>
  <cols>
    <col min="1" max="1" width="6.7109375" customWidth="1"/>
    <col min="2" max="2" width="42.140625" customWidth="1"/>
    <col min="4" max="4" width="12.5703125" style="12" customWidth="1"/>
    <col min="5" max="5" width="8.5703125" style="12" customWidth="1"/>
    <col min="6" max="6" width="21.140625" style="12" hidden="1" customWidth="1"/>
    <col min="7" max="7" width="44.85546875" style="23" customWidth="1"/>
    <col min="10" max="10" width="3.140625" customWidth="1"/>
    <col min="11" max="11" width="3.85546875" customWidth="1"/>
    <col min="12" max="12" width="8.5703125" customWidth="1"/>
    <col min="13" max="13" width="8.85546875" customWidth="1"/>
    <col min="14" max="14" width="7.42578125" customWidth="1"/>
    <col min="15" max="15" width="8.28515625" customWidth="1"/>
    <col min="16" max="16" width="8" customWidth="1"/>
    <col min="17" max="17" width="8.140625" customWidth="1"/>
    <col min="18" max="18" width="9" customWidth="1"/>
    <col min="19" max="19" width="9.140625" customWidth="1"/>
    <col min="20" max="20" width="8.5703125" customWidth="1"/>
    <col min="21" max="21" width="11.42578125" customWidth="1"/>
  </cols>
  <sheetData>
    <row r="1" spans="2:7" ht="28.5" x14ac:dyDescent="0.45">
      <c r="B1" s="24" t="s">
        <v>156</v>
      </c>
    </row>
    <row r="3" spans="2:7" ht="18.75" x14ac:dyDescent="0.3">
      <c r="G3" s="40" t="s">
        <v>148</v>
      </c>
    </row>
    <row r="16" spans="2:7" x14ac:dyDescent="0.25">
      <c r="B16">
        <v>10</v>
      </c>
    </row>
    <row r="17" spans="2:21" ht="15.75" thickBot="1" x14ac:dyDescent="0.3"/>
    <row r="18" spans="2:21" ht="15.75" thickTop="1" x14ac:dyDescent="0.25">
      <c r="B18" s="89" t="s">
        <v>109</v>
      </c>
      <c r="C18" s="90"/>
      <c r="D18" s="90"/>
      <c r="E18" s="90"/>
      <c r="F18" s="91"/>
      <c r="G18" s="92"/>
    </row>
    <row r="19" spans="2:21" x14ac:dyDescent="0.25">
      <c r="B19" s="41" t="s">
        <v>110</v>
      </c>
      <c r="C19" s="41" t="s">
        <v>111</v>
      </c>
      <c r="D19" s="42">
        <v>25</v>
      </c>
      <c r="E19" s="57" t="s">
        <v>162</v>
      </c>
      <c r="F19" s="41"/>
      <c r="G19" s="43" t="s">
        <v>145</v>
      </c>
    </row>
    <row r="20" spans="2:21" x14ac:dyDescent="0.25">
      <c r="B20" s="41" t="s">
        <v>105</v>
      </c>
      <c r="C20" s="41" t="s">
        <v>1</v>
      </c>
      <c r="D20" s="63">
        <v>100</v>
      </c>
      <c r="E20" s="57" t="s">
        <v>67</v>
      </c>
      <c r="F20" s="41"/>
      <c r="G20" s="43" t="s">
        <v>146</v>
      </c>
      <c r="I20" s="39"/>
    </row>
    <row r="21" spans="2:21" x14ac:dyDescent="0.25">
      <c r="B21" s="45" t="s">
        <v>91</v>
      </c>
      <c r="C21" s="45" t="s">
        <v>92</v>
      </c>
      <c r="D21" s="44">
        <v>2</v>
      </c>
      <c r="E21" s="57" t="s">
        <v>91</v>
      </c>
      <c r="F21" s="41"/>
      <c r="G21" s="43" t="s">
        <v>155</v>
      </c>
    </row>
    <row r="22" spans="2:21" x14ac:dyDescent="0.25">
      <c r="B22" s="45" t="s">
        <v>84</v>
      </c>
      <c r="C22" s="45" t="s">
        <v>70</v>
      </c>
      <c r="D22" s="42">
        <v>13</v>
      </c>
      <c r="E22" s="57" t="s">
        <v>84</v>
      </c>
      <c r="F22" s="41"/>
      <c r="G22" s="43" t="s">
        <v>147</v>
      </c>
    </row>
    <row r="23" spans="2:21" x14ac:dyDescent="0.25">
      <c r="B23" s="45" t="s">
        <v>142</v>
      </c>
      <c r="C23" s="45" t="s">
        <v>71</v>
      </c>
      <c r="D23" s="64">
        <v>6.7</v>
      </c>
      <c r="E23" s="74" t="s">
        <v>72</v>
      </c>
      <c r="F23" s="46">
        <f>IF(E23="mm",D23,D23*0.0254)</f>
        <v>6.7</v>
      </c>
      <c r="G23" s="43" t="s">
        <v>166</v>
      </c>
    </row>
    <row r="24" spans="2:21" x14ac:dyDescent="0.25">
      <c r="B24" s="45" t="s">
        <v>115</v>
      </c>
      <c r="C24" s="45" t="s">
        <v>73</v>
      </c>
      <c r="D24" s="64">
        <v>5</v>
      </c>
      <c r="E24" s="74" t="s">
        <v>149</v>
      </c>
      <c r="F24" s="46">
        <f t="shared" ref="F24:F32" si="0">IF(E24="mm",D24,D24*0.0254)</f>
        <v>0.127</v>
      </c>
      <c r="G24" s="43" t="s">
        <v>167</v>
      </c>
    </row>
    <row r="25" spans="2:21" x14ac:dyDescent="0.25">
      <c r="B25" s="45" t="s">
        <v>116</v>
      </c>
      <c r="C25" s="45" t="s">
        <v>74</v>
      </c>
      <c r="D25" s="64">
        <v>5</v>
      </c>
      <c r="E25" s="74" t="s">
        <v>149</v>
      </c>
      <c r="F25" s="46">
        <f t="shared" si="0"/>
        <v>0.127</v>
      </c>
      <c r="G25" s="43" t="s">
        <v>168</v>
      </c>
    </row>
    <row r="26" spans="2:21" x14ac:dyDescent="0.25">
      <c r="B26" s="45" t="s">
        <v>117</v>
      </c>
      <c r="C26" s="45" t="s">
        <v>124</v>
      </c>
      <c r="D26" s="65">
        <v>0.15</v>
      </c>
      <c r="E26" s="74" t="s">
        <v>72</v>
      </c>
      <c r="F26" s="46">
        <f t="shared" si="0"/>
        <v>0.15</v>
      </c>
      <c r="G26" s="43" t="s">
        <v>169</v>
      </c>
    </row>
    <row r="27" spans="2:21" x14ac:dyDescent="0.25">
      <c r="B27" s="45" t="s">
        <v>118</v>
      </c>
      <c r="C27" s="45" t="s">
        <v>125</v>
      </c>
      <c r="D27" s="64">
        <v>40</v>
      </c>
      <c r="E27" s="74" t="s">
        <v>149</v>
      </c>
      <c r="F27" s="46">
        <f t="shared" si="0"/>
        <v>1.016</v>
      </c>
      <c r="G27" s="43" t="s">
        <v>170</v>
      </c>
    </row>
    <row r="28" spans="2:21" x14ac:dyDescent="0.25">
      <c r="B28" s="45" t="s">
        <v>119</v>
      </c>
      <c r="C28" s="45" t="s">
        <v>126</v>
      </c>
      <c r="D28" s="64">
        <v>10</v>
      </c>
      <c r="E28" s="74" t="s">
        <v>149</v>
      </c>
      <c r="F28" s="46">
        <f t="shared" si="0"/>
        <v>0.254</v>
      </c>
      <c r="G28" s="43" t="s">
        <v>171</v>
      </c>
    </row>
    <row r="29" spans="2:21" ht="15.75" thickBot="1" x14ac:dyDescent="0.3">
      <c r="B29" s="45" t="s">
        <v>120</v>
      </c>
      <c r="C29" s="45" t="s">
        <v>127</v>
      </c>
      <c r="D29" s="64">
        <f t="shared" ref="D29:D32" si="1">62*0.0254</f>
        <v>1.5748</v>
      </c>
      <c r="E29" s="74" t="s">
        <v>72</v>
      </c>
      <c r="F29" s="46">
        <f t="shared" si="0"/>
        <v>1.5748</v>
      </c>
      <c r="G29" s="43" t="s">
        <v>172</v>
      </c>
    </row>
    <row r="30" spans="2:21" ht="16.5" thickTop="1" thickBot="1" x14ac:dyDescent="0.3">
      <c r="B30" s="45" t="s">
        <v>121</v>
      </c>
      <c r="C30" s="45" t="s">
        <v>128</v>
      </c>
      <c r="D30" s="64">
        <f t="shared" si="1"/>
        <v>1.5748</v>
      </c>
      <c r="E30" s="74" t="s">
        <v>72</v>
      </c>
      <c r="F30" s="46">
        <f t="shared" si="0"/>
        <v>1.5748</v>
      </c>
      <c r="G30" s="43" t="s">
        <v>173</v>
      </c>
      <c r="J30" s="80" t="s">
        <v>144</v>
      </c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2"/>
    </row>
    <row r="31" spans="2:21" ht="16.5" thickTop="1" thickBot="1" x14ac:dyDescent="0.3">
      <c r="B31" s="45" t="s">
        <v>122</v>
      </c>
      <c r="C31" s="45" t="s">
        <v>129</v>
      </c>
      <c r="D31" s="64">
        <f t="shared" si="1"/>
        <v>1.5748</v>
      </c>
      <c r="E31" s="74" t="s">
        <v>72</v>
      </c>
      <c r="F31" s="46">
        <f t="shared" si="0"/>
        <v>1.5748</v>
      </c>
      <c r="G31" s="43" t="s">
        <v>174</v>
      </c>
      <c r="J31" s="85" t="s">
        <v>141</v>
      </c>
      <c r="K31" s="86"/>
      <c r="L31" s="86"/>
      <c r="M31" s="93" t="s">
        <v>139</v>
      </c>
      <c r="N31" s="93"/>
      <c r="O31" s="93"/>
      <c r="P31" s="93"/>
      <c r="Q31" s="93"/>
      <c r="R31" s="93"/>
      <c r="S31" s="93"/>
      <c r="T31" s="93"/>
      <c r="U31" s="78" t="s">
        <v>160</v>
      </c>
    </row>
    <row r="32" spans="2:21" ht="15.75" thickBot="1" x14ac:dyDescent="0.3">
      <c r="B32" s="45" t="s">
        <v>123</v>
      </c>
      <c r="C32" s="45" t="s">
        <v>130</v>
      </c>
      <c r="D32" s="64">
        <f t="shared" si="1"/>
        <v>1.5748</v>
      </c>
      <c r="E32" s="74" t="s">
        <v>72</v>
      </c>
      <c r="F32" s="46">
        <f t="shared" si="0"/>
        <v>1.5748</v>
      </c>
      <c r="G32" s="43" t="s">
        <v>175</v>
      </c>
      <c r="J32" s="87"/>
      <c r="K32" s="88"/>
      <c r="L32" s="88"/>
      <c r="M32" s="15" t="s">
        <v>131</v>
      </c>
      <c r="N32" s="15" t="s">
        <v>132</v>
      </c>
      <c r="O32" s="15" t="s">
        <v>133</v>
      </c>
      <c r="P32" s="15" t="s">
        <v>134</v>
      </c>
      <c r="Q32" s="15" t="s">
        <v>135</v>
      </c>
      <c r="R32" s="15" t="s">
        <v>136</v>
      </c>
      <c r="S32" s="15" t="s">
        <v>137</v>
      </c>
      <c r="T32" s="15" t="s">
        <v>138</v>
      </c>
      <c r="U32" s="79"/>
    </row>
    <row r="33" spans="2:21" ht="15.75" thickBot="1" x14ac:dyDescent="0.3">
      <c r="B33" s="45" t="s">
        <v>85</v>
      </c>
      <c r="C33" s="45" t="s">
        <v>86</v>
      </c>
      <c r="D33" s="64">
        <v>0.5</v>
      </c>
      <c r="E33" s="74" t="s">
        <v>179</v>
      </c>
      <c r="F33" s="47">
        <f>IF(E33="mm",D33, IF(E33="mil",D33*0.0254,D33*0.0347))</f>
        <v>1.7350000000000001E-2</v>
      </c>
      <c r="G33" s="43" t="s">
        <v>176</v>
      </c>
      <c r="J33" s="87"/>
      <c r="K33" s="88"/>
      <c r="L33" s="88"/>
      <c r="M33" s="15">
        <v>0</v>
      </c>
      <c r="N33" s="15">
        <f>M33+F26</f>
        <v>0.15</v>
      </c>
      <c r="O33" s="15">
        <f>N33+F27</f>
        <v>1.1659999999999999</v>
      </c>
      <c r="P33" s="15">
        <f>O33+F28</f>
        <v>1.42</v>
      </c>
      <c r="Q33" s="15">
        <f>P33+F29</f>
        <v>2.9947999999999997</v>
      </c>
      <c r="R33" s="15">
        <f>Q33+F30</f>
        <v>4.5695999999999994</v>
      </c>
      <c r="S33" s="15">
        <f>R33+F31</f>
        <v>6.1443999999999992</v>
      </c>
      <c r="T33" s="15">
        <f>S33+F32</f>
        <v>7.719199999999999</v>
      </c>
      <c r="U33" s="79"/>
    </row>
    <row r="34" spans="2:21" ht="15.75" thickBot="1" x14ac:dyDescent="0.3">
      <c r="B34" s="48" t="s">
        <v>157</v>
      </c>
      <c r="C34" s="48" t="s">
        <v>89</v>
      </c>
      <c r="D34" s="49">
        <v>1.6800000000000002E-8</v>
      </c>
      <c r="E34" s="58" t="s">
        <v>163</v>
      </c>
      <c r="F34" s="50"/>
      <c r="G34" s="51" t="s">
        <v>152</v>
      </c>
      <c r="J34" s="94" t="s">
        <v>140</v>
      </c>
      <c r="K34" s="15" t="s">
        <v>131</v>
      </c>
      <c r="L34" s="15">
        <f>M33</f>
        <v>0</v>
      </c>
      <c r="M34" s="16">
        <f>IF($D$21&gt;0,1,0)</f>
        <v>1</v>
      </c>
      <c r="N34" s="16">
        <f>IF($D$21&gt;1,1.5625*$D$22^2/((0.184*ABS(N$33-$L34)^3-0.525*(N$33-$L34)^2+1.038*ABS(N$33-$L34)+1.001)*(1.67*$D$22^2-5.84*$D$22+65)),0)</f>
        <v>0.84965499152023538</v>
      </c>
      <c r="O34" s="16">
        <f>IF($D$21&gt;2,1.5625*$D$22^2/((0.184*ABS(O$33-$L34)^3-0.525*(O$33-$L34)^2+1.038*ABS(O$33-$L34)+1.001)*(1.67*$D$22^2-5.84*$D$22+65)),0)</f>
        <v>0</v>
      </c>
      <c r="P34" s="16">
        <f>IF($D$21&gt;3,1.5625*$D$22^2/((0.184*ABS(P$33-$L34)^3-0.525*(P$33-$L34)^2+1.038*ABS(P$33-$L34)+1.001)*(1.67*$D$22^2-5.84*$D$22+65)),0)</f>
        <v>0</v>
      </c>
      <c r="Q34" s="16">
        <f>IF($D$21&gt;4,1.5625*$D$22^2/((0.184*ABS(Q$33-$L34)^3-0.525*(Q$33-$L34)^2+1.038*ABS(Q$33-$L34)+1.001)*(1.67*$D$22^2-5.84*$D$22+65)),0)</f>
        <v>0</v>
      </c>
      <c r="R34" s="16">
        <f>IF($D$21&gt;5,1.5625*$D$22^2/((0.184*ABS(R$33-$L34)^3-0.525*(R$33-$L34)^2+1.038*ABS(R$33-$L34)+1.001)*(1.67*$D$22^2-5.84*$D$22+65)),0)</f>
        <v>0</v>
      </c>
      <c r="S34" s="16">
        <f t="shared" ref="S34:S39" si="2">IF($D$21&gt;6,1.5625*$D$22^2/((0.184*ABS(S$33-$L34)^3-0.525*(S$33-$L34)^2+1.038*ABS(S$33-$L34)+1.001)*(1.67*$D$22^2-5.84*$D$22+65)),0)</f>
        <v>0</v>
      </c>
      <c r="T34" s="16">
        <f t="shared" ref="T34:T40" si="3">IF($D$21&gt;7,1.5625*$D$22^2/((0.184*ABS(T$33-$L34)^3-0.525*(T$33-$L34)^2+1.038*ABS(T$33-$L34)+1.001)*(1.67*$D$22^2-5.84*$D$22+65)),0)</f>
        <v>0</v>
      </c>
      <c r="U34" s="17">
        <f>SUM(M34:T34)*$D$42</f>
        <v>4.6862366317255413</v>
      </c>
    </row>
    <row r="35" spans="2:21" ht="15.75" thickBot="1" x14ac:dyDescent="0.3">
      <c r="B35" s="48" t="s">
        <v>158</v>
      </c>
      <c r="C35" s="48" t="s">
        <v>112</v>
      </c>
      <c r="D35" s="52">
        <v>0.39300000000000002</v>
      </c>
      <c r="E35" s="58" t="s">
        <v>164</v>
      </c>
      <c r="F35" s="50"/>
      <c r="G35" s="51" t="s">
        <v>153</v>
      </c>
      <c r="J35" s="94"/>
      <c r="K35" s="15" t="s">
        <v>132</v>
      </c>
      <c r="L35" s="15">
        <f>N33</f>
        <v>0.15</v>
      </c>
      <c r="M35" s="16">
        <f t="shared" ref="M35" si="4">IF($D$21&gt;1,1.5625*$D$22^2/((0.184*ABS(M$33-$L35)^3-0.525*(M$33-$L35)^2+1.038*ABS(M$33-$L35)+1.001)*(1.67*$D$22^2-5.84*$D$22+65)),0)</f>
        <v>0.84965499152023538</v>
      </c>
      <c r="N35" s="16">
        <f>IF($D$21&gt;1,1,0)</f>
        <v>1</v>
      </c>
      <c r="O35" s="16">
        <f>IF($D$21&gt;2,1.5625*$D$22^2/((0.184*ABS(O$33-$L35)^3-0.525*(O$33-$L35)^2+1.038*ABS(O$33-$L35)+1.001)*(1.67*$D$22^2-5.84*$D$22+65)),0)</f>
        <v>0</v>
      </c>
      <c r="P35" s="16">
        <f>IF($D$21&gt;3,1.5625*$D$22^2/((0.184*ABS(P$33-$L35)^3-0.525*(P$33-$L35)^2+1.038*ABS(P$33-$L35)+1.001)*(1.67*$D$22^2-5.84*$D$22+65)),0)</f>
        <v>0</v>
      </c>
      <c r="Q35" s="16">
        <f>IF($D$21&gt;4,1.5625*$D$22^2/((0.184*ABS(Q$33-$L35)^3-0.525*(Q$33-$L35)^2+1.038*ABS(Q$33-$L35)+1.001)*(1.67*$D$22^2-5.84*$D$22+65)),0)</f>
        <v>0</v>
      </c>
      <c r="R35" s="16">
        <f>IF($D$21&gt;5,1.5625*$D$22^2/((0.184*ABS(R$33-$L35)^3-0.525*(R$33-$L35)^2+1.038*ABS(R$33-$L35)+1.001)*(1.67*$D$22^2-5.84*$D$22+65)),0)</f>
        <v>0</v>
      </c>
      <c r="S35" s="16">
        <f t="shared" si="2"/>
        <v>0</v>
      </c>
      <c r="T35" s="16">
        <f t="shared" si="3"/>
        <v>0</v>
      </c>
      <c r="U35" s="17">
        <f t="shared" ref="U35:U41" si="5">SUM(M35:T35)*$D$42</f>
        <v>4.6862366317255413</v>
      </c>
    </row>
    <row r="36" spans="2:21" ht="15.75" thickBot="1" x14ac:dyDescent="0.3">
      <c r="B36" s="48" t="s">
        <v>159</v>
      </c>
      <c r="C36" s="48" t="s">
        <v>95</v>
      </c>
      <c r="D36" s="53">
        <v>1</v>
      </c>
      <c r="E36" s="58"/>
      <c r="F36" s="50"/>
      <c r="G36" s="51" t="s">
        <v>154</v>
      </c>
      <c r="J36" s="94"/>
      <c r="K36" s="15" t="s">
        <v>133</v>
      </c>
      <c r="L36" s="15">
        <f>O33</f>
        <v>1.1659999999999999</v>
      </c>
      <c r="M36" s="16">
        <f>IF($D$21&gt;2,1.5625*$D$22^2/((0.184*ABS(M$33-$L36)^3-0.525*(M$33-$L36)^2+1.038*ABS(M$33-$L36)+1.001)*(1.67*$D$22^2-5.84*$D$22+65)),0)</f>
        <v>0</v>
      </c>
      <c r="N36" s="16">
        <f>IF($D$21&gt;2,1.5625*$D$22^2/((0.184*ABS(N$33-$L36)^3-0.525*(N$33-$L36)^2+1.038*ABS(N$33-$L36)+1.001)*(1.67*$D$22^2-5.84*$D$22+65)),0)</f>
        <v>0</v>
      </c>
      <c r="O36" s="16">
        <f>IF($D$21&gt;2,1,0)</f>
        <v>0</v>
      </c>
      <c r="P36" s="16">
        <f>IF($D$21&gt;3,1.5625*$D$22^2/((0.184*ABS(P$33-$L36)^3-0.525*(P$33-$L36)^2+1.038*ABS(P$33-$L36)+1.001)*(1.67*$D$22^2-5.84*$D$22+65)),0)</f>
        <v>0</v>
      </c>
      <c r="Q36" s="16">
        <f>IF($D$21&gt;4,1.5625*$D$22^2/((0.184*ABS(Q$33-$L36)^3-0.525*(Q$33-$L36)^2+1.038*ABS(Q$33-$L36)+1.001)*(1.67*$D$22^2-5.84*$D$22+65)),0)</f>
        <v>0</v>
      </c>
      <c r="R36" s="16">
        <f>IF($D$21&gt;5,1.5625*$D$22^2/((0.184*ABS(R$33-$L36)^3-0.525*(R$33-$L36)^2+1.038*ABS(R$33-$L36)+1.001)*(1.67*$D$22^2-5.84*$D$22+65)),0)</f>
        <v>0</v>
      </c>
      <c r="S36" s="16">
        <f t="shared" si="2"/>
        <v>0</v>
      </c>
      <c r="T36" s="16">
        <f t="shared" si="3"/>
        <v>0</v>
      </c>
      <c r="U36" s="17">
        <f t="shared" si="5"/>
        <v>0</v>
      </c>
    </row>
    <row r="37" spans="2:21" ht="15.75" thickBot="1" x14ac:dyDescent="0.3">
      <c r="B37" s="48" t="s">
        <v>150</v>
      </c>
      <c r="C37" s="48" t="s">
        <v>79</v>
      </c>
      <c r="D37" s="66">
        <v>3</v>
      </c>
      <c r="E37" s="58" t="s">
        <v>67</v>
      </c>
      <c r="F37" s="50"/>
      <c r="G37" s="51" t="s">
        <v>114</v>
      </c>
      <c r="J37" s="94"/>
      <c r="K37" s="15" t="s">
        <v>134</v>
      </c>
      <c r="L37" s="15">
        <f>P33</f>
        <v>1.42</v>
      </c>
      <c r="M37" s="16">
        <f>IF($D$21&gt;3,1.5625*$D$22^2/((0.184*ABS(M$33-$L37)^3-0.525*(M$33-$L37)^2+1.038*ABS(M$33-$L37)+1.001)*(1.67*$D$22^2-5.84*$D$22+65)),0)</f>
        <v>0</v>
      </c>
      <c r="N37" s="16">
        <f>IF($D$21&gt;3,1.5625*$D$22^2/((0.184*ABS(N$33-$L37)^3-0.525*(N$33-$L37)^2+1.038*ABS(N$33-$L37)+1.001)*(1.67*$D$22^2-5.84*$D$22+65)),0)</f>
        <v>0</v>
      </c>
      <c r="O37" s="16">
        <f>IF($D$21&gt;3,1.5625*$D$22^2/((0.184*ABS(O$33-$L37)^3-0.525*(O$33-$L37)^2+1.038*ABS(O$33-$L37)+1.001)*(1.67*$D$22^2-5.84*$D$22+65)),0)</f>
        <v>0</v>
      </c>
      <c r="P37" s="16">
        <f>IF($D$21&gt;3,1,0)</f>
        <v>0</v>
      </c>
      <c r="Q37" s="16">
        <f>IF($D$21&gt;4,1.5625*$D$22^2/((0.184*ABS(Q$33-$L37)^3-0.525*(Q$33-$L37)^2+1.038*ABS(Q$33-$L37)+1.001)*(1.67*$D$22^2-5.84*$D$22+65)),0)</f>
        <v>0</v>
      </c>
      <c r="R37" s="16">
        <f>IF($D$21&gt;5,1.5625*$D$22^2/((0.184*ABS(R$33-$L37)^3-0.525*(R$33-$L37)^2+1.038*ABS(R$33-$L37)+1.001)*(1.67*$D$22^2-5.84*$D$22+65)),0)</f>
        <v>0</v>
      </c>
      <c r="S37" s="16">
        <f t="shared" si="2"/>
        <v>0</v>
      </c>
      <c r="T37" s="16">
        <f t="shared" si="3"/>
        <v>0</v>
      </c>
      <c r="U37" s="17">
        <f t="shared" si="5"/>
        <v>0</v>
      </c>
    </row>
    <row r="38" spans="2:21" ht="15.75" thickBot="1" x14ac:dyDescent="0.3">
      <c r="B38" s="75" t="s">
        <v>177</v>
      </c>
      <c r="C38" s="75" t="s">
        <v>113</v>
      </c>
      <c r="D38" s="76">
        <f>D34*(1+(D35/100)*(D19-20))</f>
        <v>1.713012E-8</v>
      </c>
      <c r="E38" s="77" t="s">
        <v>178</v>
      </c>
      <c r="F38" s="54"/>
      <c r="G38" s="55"/>
      <c r="J38" s="94"/>
      <c r="K38" s="15" t="s">
        <v>135</v>
      </c>
      <c r="L38" s="15">
        <f>Q33</f>
        <v>2.9947999999999997</v>
      </c>
      <c r="M38" s="16">
        <f>IF($D$21&gt;4,1.5625*$D$22^2/((0.184*ABS(M$33-$L38)^3-0.525*(M$33-$L38)^2+1.038*ABS(M$33-$L38)+1.001)*(1.67*$D$22^2-5.84*$D$22+65)),0)</f>
        <v>0</v>
      </c>
      <c r="N38" s="16">
        <f>IF($D$21&gt;4,1.5625*$D$22^2/((0.184*ABS(N$33-$L38)^3-0.525*(N$33-$L38)^2+1.038*ABS(N$33-$L38)+1.001)*(1.67*$D$22^2-5.84*$D$22+65)),0)</f>
        <v>0</v>
      </c>
      <c r="O38" s="16">
        <f>IF($D$21&gt;4,1.5625*$D$22^2/((0.184*ABS(O$33-$L38)^3-0.525*(O$33-$L38)^2+1.038*ABS(O$33-$L38)+1.001)*(1.67*$D$22^2-5.84*$D$22+65)),0)</f>
        <v>0</v>
      </c>
      <c r="P38" s="16">
        <f>IF($D$21&gt;4,1.5625*$D$22^2/((0.184*ABS(P$33-$L38)^3-0.525*(P$33-$L38)^2+1.038*ABS(P$33-$L38)+1.001)*(1.67*$D$22^2-5.84*$D$22+65)),0)</f>
        <v>0</v>
      </c>
      <c r="Q38" s="16">
        <f>IF($D$21&gt;4,1,0)</f>
        <v>0</v>
      </c>
      <c r="R38" s="16">
        <f>IF($D$21&gt;5,1.5625*$D$22^2/((0.184*ABS(R$33-$L38)^3-0.525*(R$33-$L38)^2+1.038*ABS(R$33-$L38)+1.001)*(1.67*$D$22^2-5.84*$D$22+65)),0)</f>
        <v>0</v>
      </c>
      <c r="S38" s="16">
        <f t="shared" si="2"/>
        <v>0</v>
      </c>
      <c r="T38" s="16">
        <f t="shared" si="3"/>
        <v>0</v>
      </c>
      <c r="U38" s="17">
        <f t="shared" si="5"/>
        <v>0</v>
      </c>
    </row>
    <row r="39" spans="2:21" ht="15.75" thickBot="1" x14ac:dyDescent="0.3">
      <c r="B39" s="35" t="s">
        <v>143</v>
      </c>
      <c r="C39" s="36" t="s">
        <v>75</v>
      </c>
      <c r="D39" s="38">
        <f>IF(E39="mm",F39,F39/0.0254)</f>
        <v>523.77952755905517</v>
      </c>
      <c r="E39" s="73" t="s">
        <v>149</v>
      </c>
      <c r="F39" s="67">
        <f>F23+2*F25+(F24+F25)*(2*D22-1)</f>
        <v>13.304</v>
      </c>
      <c r="G39" s="37"/>
      <c r="J39" s="94"/>
      <c r="K39" s="15" t="s">
        <v>136</v>
      </c>
      <c r="L39" s="15">
        <f>R33</f>
        <v>4.5695999999999994</v>
      </c>
      <c r="M39" s="16">
        <f>IF($D$21&gt;5,1.5625*$D$22^2/((0.184*ABS(M$33-$L39)^3-0.525*(M$33-$L39)^2+1.038*ABS(M$33-$L39)+1.001)*(1.67*$D$22^2-5.84*$D$22+65)),0)</f>
        <v>0</v>
      </c>
      <c r="N39" s="16">
        <f>IF($D$21&gt;5,1.5625*$D$22^2/((0.184*ABS(N$33-$L39)^3-0.525*(N$33-$L39)^2+1.038*ABS(N$33-$L39)+1.001)*(1.67*$D$22^2-5.84*$D$22+65)),0)</f>
        <v>0</v>
      </c>
      <c r="O39" s="16">
        <f>IF($D$21&gt;5,1.5625*$D$22^2/((0.184*ABS(O$33-$L39)^3-0.525*(O$33-$L39)^2+1.038*ABS(O$33-$L39)+1.001)*(1.67*$D$22^2-5.84*$D$22+65)),0)</f>
        <v>0</v>
      </c>
      <c r="P39" s="16">
        <f>IF($D$21&gt;5,1.5625*$D$22^2/((0.184*ABS(P$33-$L39)^3-0.525*(P$33-$L39)^2+1.038*ABS(P$33-$L39)+1.001)*(1.67*$D$22^2-5.84*$D$22+65)),0)</f>
        <v>0</v>
      </c>
      <c r="Q39" s="16">
        <f>IF($D$21&gt;5,1.5625*$D$22^2/((0.184*ABS(Q$33-$L39)^3-0.525*(Q$33-$L39)^2+1.038*ABS(Q$33-$L39)+1.001)*(1.67*$D$22^2-5.84*$D$22+65)),0)</f>
        <v>0</v>
      </c>
      <c r="R39" s="16">
        <f>IF($D$21&gt;5,1,0)</f>
        <v>0</v>
      </c>
      <c r="S39" s="16">
        <f t="shared" si="2"/>
        <v>0</v>
      </c>
      <c r="T39" s="16">
        <f t="shared" si="3"/>
        <v>0</v>
      </c>
      <c r="U39" s="17">
        <f t="shared" si="5"/>
        <v>0</v>
      </c>
    </row>
    <row r="40" spans="2:21" ht="15.75" thickBot="1" x14ac:dyDescent="0.3">
      <c r="B40" s="68" t="s">
        <v>99</v>
      </c>
      <c r="C40" s="69" t="s">
        <v>76</v>
      </c>
      <c r="D40" s="70">
        <f>(F23+F39)/2</f>
        <v>10.002000000000001</v>
      </c>
      <c r="E40" s="71" t="s">
        <v>72</v>
      </c>
      <c r="F40" s="27"/>
      <c r="G40" s="28"/>
      <c r="J40" s="94"/>
      <c r="K40" s="15" t="s">
        <v>137</v>
      </c>
      <c r="L40" s="15">
        <f>S33</f>
        <v>6.1443999999999992</v>
      </c>
      <c r="M40" s="16">
        <f t="shared" ref="M40:R40" si="6">IF($D$21&gt;6,1.5625*$D$22^2/((0.184*ABS(M$33-$L40)^3-0.525*(M$33-$L40)^2+1.038*ABS(M$33-$L40)+1.001)*(1.67*$D$22^2-5.84*$D$22+65)),0)</f>
        <v>0</v>
      </c>
      <c r="N40" s="16">
        <f t="shared" si="6"/>
        <v>0</v>
      </c>
      <c r="O40" s="16">
        <f t="shared" si="6"/>
        <v>0</v>
      </c>
      <c r="P40" s="16">
        <f t="shared" si="6"/>
        <v>0</v>
      </c>
      <c r="Q40" s="16">
        <f t="shared" si="6"/>
        <v>0</v>
      </c>
      <c r="R40" s="16">
        <f t="shared" si="6"/>
        <v>0</v>
      </c>
      <c r="S40" s="16">
        <f>IF($D$21&gt;6,1,0)</f>
        <v>0</v>
      </c>
      <c r="T40" s="16">
        <f t="shared" si="3"/>
        <v>0</v>
      </c>
      <c r="U40" s="17">
        <f t="shared" si="5"/>
        <v>0</v>
      </c>
    </row>
    <row r="41" spans="2:21" ht="15.75" thickBot="1" x14ac:dyDescent="0.3">
      <c r="B41" s="68" t="s">
        <v>103</v>
      </c>
      <c r="C41" s="69" t="s">
        <v>77</v>
      </c>
      <c r="D41" s="72">
        <f>(F39-F23)/(F39+F23)</f>
        <v>0.33013397320535892</v>
      </c>
      <c r="E41" s="71"/>
      <c r="F41" s="27"/>
      <c r="G41" s="28"/>
      <c r="J41" s="95"/>
      <c r="K41" s="18" t="s">
        <v>138</v>
      </c>
      <c r="L41" s="18">
        <f>T33</f>
        <v>7.719199999999999</v>
      </c>
      <c r="M41" s="19">
        <f t="shared" ref="M41:S41" si="7">IF($D$21&gt;7,1.5625*$D$22^2/((0.184*ABS(M$33-$L41)^3-0.525*(M$33-$L41)^2+1.038*ABS(M$33-$L41)+1.001)*(1.67*$D$22^2-5.84*$D$22+65)),0)</f>
        <v>0</v>
      </c>
      <c r="N41" s="19">
        <f t="shared" si="7"/>
        <v>0</v>
      </c>
      <c r="O41" s="19">
        <f t="shared" si="7"/>
        <v>0</v>
      </c>
      <c r="P41" s="19">
        <f t="shared" si="7"/>
        <v>0</v>
      </c>
      <c r="Q41" s="19">
        <f t="shared" si="7"/>
        <v>0</v>
      </c>
      <c r="R41" s="19">
        <f t="shared" si="7"/>
        <v>0</v>
      </c>
      <c r="S41" s="19">
        <f t="shared" si="7"/>
        <v>0</v>
      </c>
      <c r="T41" s="19">
        <f>IF($D$21&gt;7,1,0)</f>
        <v>0</v>
      </c>
      <c r="U41" s="20">
        <f t="shared" si="5"/>
        <v>0</v>
      </c>
    </row>
    <row r="42" spans="2:21" ht="17.25" thickTop="1" thickBot="1" x14ac:dyDescent="0.3">
      <c r="B42" s="25" t="s">
        <v>100</v>
      </c>
      <c r="C42" s="26" t="s">
        <v>0</v>
      </c>
      <c r="D42" s="21">
        <f>0.5*4.7*PI()*0.0001*D22*D22*D40*(LN(2.46/D41)+0.2*D41*D41)</f>
        <v>2.5335733708230168</v>
      </c>
      <c r="E42" s="59" t="s">
        <v>165</v>
      </c>
      <c r="F42" s="27"/>
      <c r="G42" s="28"/>
      <c r="J42" s="14"/>
      <c r="K42" s="14"/>
      <c r="L42" s="14"/>
      <c r="R42" s="83" t="s">
        <v>161</v>
      </c>
      <c r="S42" s="84"/>
      <c r="T42" s="84"/>
      <c r="U42" s="56">
        <f>SUM(U34:U41)</f>
        <v>9.3724732634510826</v>
      </c>
    </row>
    <row r="43" spans="2:21" ht="15.75" thickBot="1" x14ac:dyDescent="0.3">
      <c r="B43" s="25" t="s">
        <v>101</v>
      </c>
      <c r="C43" s="26" t="s">
        <v>78</v>
      </c>
      <c r="D43" s="21">
        <f>U42</f>
        <v>9.3724732634510826</v>
      </c>
      <c r="E43" s="59" t="s">
        <v>165</v>
      </c>
      <c r="F43" s="27"/>
      <c r="G43" s="28"/>
    </row>
    <row r="44" spans="2:21" ht="15.75" thickBot="1" x14ac:dyDescent="0.3">
      <c r="B44" s="25" t="s">
        <v>106</v>
      </c>
      <c r="C44" s="26" t="s">
        <v>107</v>
      </c>
      <c r="D44" s="21">
        <f>0.001/(2*PI()*SQRT(D43*0.000001*(D20+D37)*0.000000000001))</f>
        <v>5122.4109145819129</v>
      </c>
      <c r="E44" s="59" t="s">
        <v>13</v>
      </c>
      <c r="F44" s="27"/>
      <c r="G44" s="62" t="str">
        <f>IF(D44&gt;(D51*1000),"Sensor Frequency is too high, reduce C","")</f>
        <v/>
      </c>
    </row>
    <row r="45" spans="2:21" ht="15.75" thickBot="1" x14ac:dyDescent="0.3">
      <c r="B45" s="68" t="s">
        <v>88</v>
      </c>
      <c r="C45" s="69" t="s">
        <v>87</v>
      </c>
      <c r="D45" s="70">
        <f>PI()*D22*(F39+F23)/2</f>
        <v>408.48872637566649</v>
      </c>
      <c r="E45" s="71" t="s">
        <v>72</v>
      </c>
      <c r="F45" s="27"/>
      <c r="G45" s="28"/>
    </row>
    <row r="46" spans="2:21" ht="15.75" thickBot="1" x14ac:dyDescent="0.3">
      <c r="B46" s="25" t="s">
        <v>93</v>
      </c>
      <c r="C46" s="26" t="s">
        <v>90</v>
      </c>
      <c r="D46" s="21">
        <f>D38*D45*0.001*D21/(F25*0.001*F33*0.001)</f>
        <v>6.3513679924321691</v>
      </c>
      <c r="E46" s="60" t="s">
        <v>151</v>
      </c>
      <c r="F46" s="27"/>
      <c r="G46" s="28"/>
    </row>
    <row r="47" spans="2:21" ht="15.75" thickBot="1" x14ac:dyDescent="0.3">
      <c r="B47" s="25" t="s">
        <v>96</v>
      </c>
      <c r="C47" s="26" t="s">
        <v>97</v>
      </c>
      <c r="D47" s="21">
        <f>SQRT(D34/(3.14*4*3.14*0.0000001*D36*D44*1000))*1000</f>
        <v>2.8837512118237579E-2</v>
      </c>
      <c r="E47" s="59" t="s">
        <v>72</v>
      </c>
      <c r="F47" s="27"/>
      <c r="G47" s="28"/>
    </row>
    <row r="48" spans="2:21" ht="15.75" thickBot="1" x14ac:dyDescent="0.3">
      <c r="B48" s="25" t="s">
        <v>94</v>
      </c>
      <c r="C48" s="26" t="s">
        <v>98</v>
      </c>
      <c r="D48" s="21">
        <f>D46*F33/(D47*(1-EXP(-F33/D47)))</f>
        <v>8.4524509589755699</v>
      </c>
      <c r="E48" s="60" t="s">
        <v>151</v>
      </c>
      <c r="F48" s="27"/>
      <c r="G48" s="28"/>
    </row>
    <row r="49" spans="2:7" ht="15.75" thickBot="1" x14ac:dyDescent="0.3">
      <c r="B49" s="25" t="s">
        <v>104</v>
      </c>
      <c r="C49" s="26" t="s">
        <v>8</v>
      </c>
      <c r="D49" s="22">
        <f>(1/D48)*(D43*0.000001/(D20*0.000000000001))</f>
        <v>11088.468077414338</v>
      </c>
      <c r="E49" s="60" t="s">
        <v>151</v>
      </c>
      <c r="F49" s="27"/>
      <c r="G49" s="28"/>
    </row>
    <row r="50" spans="2:7" ht="15.75" thickBot="1" x14ac:dyDescent="0.3">
      <c r="B50" s="25" t="s">
        <v>108</v>
      </c>
      <c r="C50" s="26" t="s">
        <v>7</v>
      </c>
      <c r="D50" s="33">
        <f>(1/D48)*SQRT(D42*0.000001/((D20+D37)*0.000000000001))</f>
        <v>18.555192780303226</v>
      </c>
      <c r="E50" s="59"/>
      <c r="F50" s="27"/>
      <c r="G50" s="28"/>
    </row>
    <row r="51" spans="2:7" ht="15.75" thickBot="1" x14ac:dyDescent="0.3">
      <c r="B51" s="31" t="s">
        <v>102</v>
      </c>
      <c r="C51" s="32" t="s">
        <v>68</v>
      </c>
      <c r="D51" s="34">
        <f>1/(2*PI()*SQRT(D43*0.000001*D37*0.000000000001))/1000000</f>
        <v>30.014588888940182</v>
      </c>
      <c r="E51" s="61" t="s">
        <v>69</v>
      </c>
      <c r="F51" s="29"/>
      <c r="G51" s="30"/>
    </row>
    <row r="52" spans="2:7" ht="15.75" thickTop="1" x14ac:dyDescent="0.25">
      <c r="B52" s="9"/>
      <c r="C52" s="9"/>
      <c r="D52" s="13"/>
      <c r="E52" s="13"/>
      <c r="F52" s="13"/>
      <c r="G52" s="14"/>
    </row>
  </sheetData>
  <mergeCells count="7">
    <mergeCell ref="U31:U33"/>
    <mergeCell ref="J30:U30"/>
    <mergeCell ref="R42:T42"/>
    <mergeCell ref="J31:L33"/>
    <mergeCell ref="B18:G18"/>
    <mergeCell ref="M31:T31"/>
    <mergeCell ref="J34:J41"/>
  </mergeCells>
  <conditionalFormatting sqref="D26">
    <cfRule type="expression" dxfId="19" priority="31">
      <formula>$D$21&gt;1</formula>
    </cfRule>
  </conditionalFormatting>
  <conditionalFormatting sqref="D27 M36:O36">
    <cfRule type="expression" dxfId="18" priority="30">
      <formula>$D$21&gt;2</formula>
    </cfRule>
  </conditionalFormatting>
  <conditionalFormatting sqref="D28 M37:P37">
    <cfRule type="expression" dxfId="17" priority="29">
      <formula>$D$21&gt;3</formula>
    </cfRule>
  </conditionalFormatting>
  <conditionalFormatting sqref="D29 M38:Q38">
    <cfRule type="expression" dxfId="16" priority="28">
      <formula>$D$21&gt;4</formula>
    </cfRule>
  </conditionalFormatting>
  <conditionalFormatting sqref="D30 M39:R39">
    <cfRule type="expression" dxfId="15" priority="27">
      <formula>$D$21&gt;5</formula>
    </cfRule>
  </conditionalFormatting>
  <conditionalFormatting sqref="D31 M40:S40">
    <cfRule type="expression" dxfId="14" priority="26">
      <formula>$D$21&gt;6</formula>
    </cfRule>
  </conditionalFormatting>
  <conditionalFormatting sqref="D32 M41:T41">
    <cfRule type="expression" dxfId="13" priority="25">
      <formula>$D$21&gt;7</formula>
    </cfRule>
  </conditionalFormatting>
  <conditionalFormatting sqref="M34">
    <cfRule type="expression" dxfId="12" priority="8">
      <formula>$D$21&gt;0</formula>
    </cfRule>
  </conditionalFormatting>
  <conditionalFormatting sqref="N34 M35:N35">
    <cfRule type="expression" dxfId="11" priority="7">
      <formula>$D$21&gt;1</formula>
    </cfRule>
  </conditionalFormatting>
  <conditionalFormatting sqref="O34:O35">
    <cfRule type="expression" dxfId="10" priority="6">
      <formula>$D$21&gt;2</formula>
    </cfRule>
  </conditionalFormatting>
  <conditionalFormatting sqref="P34:P36">
    <cfRule type="expression" dxfId="9" priority="5">
      <formula>$D$21&gt;3</formula>
    </cfRule>
  </conditionalFormatting>
  <conditionalFormatting sqref="Q34:Q37">
    <cfRule type="expression" dxfId="8" priority="4">
      <formula>$D$21&gt;4</formula>
    </cfRule>
  </conditionalFormatting>
  <conditionalFormatting sqref="R34:R38">
    <cfRule type="expression" dxfId="7" priority="3">
      <formula>$D$21&gt;5</formula>
    </cfRule>
  </conditionalFormatting>
  <conditionalFormatting sqref="S34:S39">
    <cfRule type="expression" dxfId="6" priority="2">
      <formula>$D$21&gt;6</formula>
    </cfRule>
  </conditionalFormatting>
  <conditionalFormatting sqref="T34:T40">
    <cfRule type="expression" dxfId="5" priority="1">
      <formula>$D$21&gt;7</formula>
    </cfRule>
  </conditionalFormatting>
  <dataValidations count="4">
    <dataValidation type="list" showInputMessage="1" showErrorMessage="1" sqref="E23:E32 E39">
      <formula1>"mm,mil"</formula1>
    </dataValidation>
    <dataValidation type="list" showInputMessage="1" showErrorMessage="1" sqref="E33">
      <formula1>"mm,mil,oz-Cu"</formula1>
    </dataValidation>
    <dataValidation type="whole" allowBlank="1" showInputMessage="1" showErrorMessage="1" sqref="D21">
      <formula1>1</formula1>
      <formula2>8</formula2>
    </dataValidation>
    <dataValidation showInputMessage="1" showErrorMessage="1" sqref="E40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"/>
  <sheetViews>
    <sheetView zoomScale="90" zoomScaleNormal="90" workbookViewId="0">
      <selection activeCell="C23" sqref="C23"/>
    </sheetView>
  </sheetViews>
  <sheetFormatPr defaultRowHeight="15" x14ac:dyDescent="0.25"/>
  <cols>
    <col min="2" max="2" width="9.140625" customWidth="1"/>
    <col min="3" max="3" width="13.5703125" customWidth="1"/>
  </cols>
  <sheetData>
    <row r="1" spans="1:20" x14ac:dyDescent="0.25">
      <c r="A1" t="s">
        <v>3</v>
      </c>
      <c r="B1">
        <v>4</v>
      </c>
      <c r="C1" t="s">
        <v>15</v>
      </c>
    </row>
    <row r="2" spans="1:20" x14ac:dyDescent="0.25">
      <c r="A2" t="s">
        <v>7</v>
      </c>
      <c r="B2">
        <v>8</v>
      </c>
    </row>
    <row r="3" spans="1:20" x14ac:dyDescent="0.25">
      <c r="A3" t="s">
        <v>0</v>
      </c>
      <c r="B3">
        <v>17</v>
      </c>
      <c r="C3" t="s">
        <v>11</v>
      </c>
    </row>
    <row r="4" spans="1:20" x14ac:dyDescent="0.25">
      <c r="A4" t="s">
        <v>66</v>
      </c>
      <c r="B4">
        <v>3</v>
      </c>
      <c r="C4" t="s">
        <v>67</v>
      </c>
    </row>
    <row r="5" spans="1:20" x14ac:dyDescent="0.25">
      <c r="A5" t="s">
        <v>1</v>
      </c>
      <c r="B5">
        <v>0.47</v>
      </c>
      <c r="C5" t="s">
        <v>12</v>
      </c>
    </row>
    <row r="6" spans="1:20" x14ac:dyDescent="0.25">
      <c r="A6" t="s">
        <v>68</v>
      </c>
      <c r="B6">
        <f>1/(2*PI()*SQRT(B3*0.000001*B4*0.000000000001))/1000000</f>
        <v>22.286149708619234</v>
      </c>
      <c r="C6" t="s">
        <v>69</v>
      </c>
    </row>
    <row r="7" spans="1:20" x14ac:dyDescent="0.25">
      <c r="A7" t="s">
        <v>2</v>
      </c>
      <c r="B7">
        <f>1/(2*3.14*SQRT(B3*0.000001*B5*0.000000001))/1000</f>
        <v>1781.4226365828738</v>
      </c>
      <c r="C7" t="s">
        <v>13</v>
      </c>
    </row>
    <row r="8" spans="1:20" x14ac:dyDescent="0.25">
      <c r="A8" t="s">
        <v>4</v>
      </c>
      <c r="B8">
        <f>0.5*B5*0.000000001*B1*B1</f>
        <v>3.7600000000000003E-9</v>
      </c>
      <c r="C8" t="s">
        <v>6</v>
      </c>
    </row>
    <row r="9" spans="1:20" x14ac:dyDescent="0.25">
      <c r="A9" t="s">
        <v>5</v>
      </c>
      <c r="B9">
        <f>SQRT(2*B8/(B3*0.000001))</f>
        <v>2.1032188216552044E-2</v>
      </c>
      <c r="C9" t="s">
        <v>14</v>
      </c>
      <c r="S9" t="s">
        <v>2</v>
      </c>
      <c r="T9" s="1">
        <v>1000000</v>
      </c>
    </row>
    <row r="10" spans="1:20" x14ac:dyDescent="0.25">
      <c r="A10" t="s">
        <v>8</v>
      </c>
      <c r="B10">
        <f>B2*SQRT(B3*0.000001/(B5*0.000000001))</f>
        <v>1521.477445452701</v>
      </c>
      <c r="C10" t="s">
        <v>9</v>
      </c>
      <c r="S10" t="s">
        <v>52</v>
      </c>
      <c r="T10">
        <v>1024</v>
      </c>
    </row>
    <row r="11" spans="1:20" x14ac:dyDescent="0.25">
      <c r="A11" t="s">
        <v>10</v>
      </c>
      <c r="B11">
        <f>(B3*0.000001/(B5*0.000000001))/B10</f>
        <v>23.773085085198453</v>
      </c>
      <c r="C11" t="s">
        <v>9</v>
      </c>
      <c r="S11" t="s">
        <v>53</v>
      </c>
      <c r="T11">
        <f>T9/(3*T10)</f>
        <v>325.52083333333331</v>
      </c>
    </row>
    <row r="12" spans="1:20" x14ac:dyDescent="0.25">
      <c r="A12" t="s">
        <v>16</v>
      </c>
      <c r="B12">
        <f>B9/B2</f>
        <v>2.6290235270690055E-3</v>
      </c>
      <c r="C12" t="s">
        <v>14</v>
      </c>
      <c r="S12" t="s">
        <v>54</v>
      </c>
      <c r="T12">
        <f>1/T11</f>
        <v>3.0720000000000001E-3</v>
      </c>
    </row>
    <row r="13" spans="1:20" x14ac:dyDescent="0.25">
      <c r="A13" t="s">
        <v>17</v>
      </c>
      <c r="B13">
        <f>1/(2*3.14*B10*B5*0.000000001)/1000</f>
        <v>222.67782957285925</v>
      </c>
      <c r="C13" t="s">
        <v>13</v>
      </c>
      <c r="S13" t="s">
        <v>55</v>
      </c>
      <c r="T13" s="1">
        <f>100/T9</f>
        <v>1E-4</v>
      </c>
    </row>
    <row r="14" spans="1:20" x14ac:dyDescent="0.25">
      <c r="A14" t="s">
        <v>51</v>
      </c>
      <c r="B14">
        <f>2*3.14*B7*1000*B3*0.000001/(B11)</f>
        <v>7.9999999999999991</v>
      </c>
      <c r="S14" t="s">
        <v>56</v>
      </c>
      <c r="T14" s="1">
        <f>T12+T13</f>
        <v>3.1719999999999999E-3</v>
      </c>
    </row>
    <row r="15" spans="1:20" x14ac:dyDescent="0.25">
      <c r="A15" t="s">
        <v>18</v>
      </c>
      <c r="B15">
        <v>0.39300000000000002</v>
      </c>
      <c r="C15" t="s">
        <v>19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11</xdr:col>
                <xdr:colOff>209550</xdr:colOff>
                <xdr:row>1</xdr:row>
                <xdr:rowOff>152400</xdr:rowOff>
              </from>
              <to>
                <xdr:col>14</xdr:col>
                <xdr:colOff>542925</xdr:colOff>
                <xdr:row>18</xdr:row>
                <xdr:rowOff>76200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B3" sqref="B3:N21"/>
    </sheetView>
  </sheetViews>
  <sheetFormatPr defaultRowHeight="15" x14ac:dyDescent="0.25"/>
  <cols>
    <col min="2" max="11" width="9.28515625" bestFit="1" customWidth="1"/>
    <col min="12" max="14" width="10" bestFit="1" customWidth="1"/>
  </cols>
  <sheetData>
    <row r="1" spans="1:14" x14ac:dyDescent="0.25">
      <c r="A1" s="3" t="s">
        <v>21</v>
      </c>
      <c r="B1" s="3" t="s">
        <v>37</v>
      </c>
      <c r="C1" s="3" t="s">
        <v>38</v>
      </c>
      <c r="D1" s="3" t="s">
        <v>39</v>
      </c>
      <c r="E1" s="3" t="s">
        <v>40</v>
      </c>
      <c r="F1" s="3" t="s">
        <v>41</v>
      </c>
      <c r="G1" s="3" t="s">
        <v>42</v>
      </c>
      <c r="H1" s="3" t="s">
        <v>43</v>
      </c>
      <c r="I1" s="3" t="s">
        <v>44</v>
      </c>
      <c r="J1" s="3" t="s">
        <v>45</v>
      </c>
      <c r="K1" s="3" t="s">
        <v>46</v>
      </c>
      <c r="L1" s="3" t="s">
        <v>47</v>
      </c>
      <c r="M1" s="3" t="s">
        <v>48</v>
      </c>
      <c r="N1" s="3" t="s">
        <v>49</v>
      </c>
    </row>
    <row r="2" spans="1:14" x14ac:dyDescent="0.25">
      <c r="A2" s="4" t="s">
        <v>20</v>
      </c>
      <c r="B2" s="4" t="s">
        <v>24</v>
      </c>
      <c r="C2" s="4" t="s">
        <v>25</v>
      </c>
      <c r="D2" s="4" t="s">
        <v>26</v>
      </c>
      <c r="E2" s="4" t="s">
        <v>27</v>
      </c>
      <c r="F2" s="4" t="s">
        <v>28</v>
      </c>
      <c r="G2" s="4" t="s">
        <v>29</v>
      </c>
      <c r="H2" s="4" t="s">
        <v>30</v>
      </c>
      <c r="I2" s="4" t="s">
        <v>31</v>
      </c>
      <c r="J2" s="4" t="s">
        <v>32</v>
      </c>
      <c r="K2" s="4" t="s">
        <v>33</v>
      </c>
      <c r="L2" s="4" t="s">
        <v>34</v>
      </c>
      <c r="M2" s="4" t="s">
        <v>35</v>
      </c>
      <c r="N2" s="4" t="s">
        <v>36</v>
      </c>
    </row>
    <row r="3" spans="1:14" x14ac:dyDescent="0.25">
      <c r="A3" s="2">
        <v>0.1</v>
      </c>
      <c r="B3" s="2">
        <f t="shared" ref="B3:N3" si="0">1/(4*3.14*3.14*$A3*0.000001*B$1*1000*B$1*1000)</f>
        <v>0.25355998214937725</v>
      </c>
      <c r="C3" s="2">
        <f t="shared" si="0"/>
        <v>6.3389995537344312E-2</v>
      </c>
      <c r="D3" s="2">
        <f t="shared" si="0"/>
        <v>1.0142399285975091E-2</v>
      </c>
      <c r="E3" s="2">
        <f t="shared" si="0"/>
        <v>2.5355998214937727E-3</v>
      </c>
      <c r="F3" s="2">
        <f t="shared" si="0"/>
        <v>6.3389995537344317E-4</v>
      </c>
      <c r="G3" s="2">
        <f t="shared" si="0"/>
        <v>1.0142399285975091E-4</v>
      </c>
      <c r="H3" s="2">
        <f t="shared" si="0"/>
        <v>2.5355998214937728E-5</v>
      </c>
      <c r="I3" s="2">
        <f t="shared" si="0"/>
        <v>6.338999553734432E-6</v>
      </c>
      <c r="J3" s="2">
        <f t="shared" si="0"/>
        <v>1.0142399285975091E-6</v>
      </c>
      <c r="K3" s="2">
        <f t="shared" si="0"/>
        <v>2.5355998214937727E-7</v>
      </c>
      <c r="L3" s="2">
        <f t="shared" si="0"/>
        <v>6.3389995537344317E-8</v>
      </c>
      <c r="M3" s="2">
        <f t="shared" si="0"/>
        <v>1.0142399285975091E-8</v>
      </c>
      <c r="N3" s="2">
        <f t="shared" si="0"/>
        <v>2.5355998214937726E-9</v>
      </c>
    </row>
    <row r="4" spans="1:14" x14ac:dyDescent="0.25">
      <c r="A4" s="2">
        <v>0.2</v>
      </c>
      <c r="B4" s="2">
        <f t="shared" ref="B4:N21" si="1">1/(4*3.14*3.14*$A4*0.000001*B$1*1000*B$1*1000)</f>
        <v>0.12677999107468862</v>
      </c>
      <c r="C4" s="2">
        <f t="shared" si="1"/>
        <v>3.1694997768672156E-2</v>
      </c>
      <c r="D4" s="2">
        <f t="shared" si="1"/>
        <v>5.0711996429875453E-3</v>
      </c>
      <c r="E4" s="2">
        <f t="shared" si="1"/>
        <v>1.2677999107468863E-3</v>
      </c>
      <c r="F4" s="2">
        <f t="shared" si="1"/>
        <v>3.1694997768672158E-4</v>
      </c>
      <c r="G4" s="2">
        <f t="shared" si="1"/>
        <v>5.0711996429875456E-5</v>
      </c>
      <c r="H4" s="2">
        <f t="shared" si="1"/>
        <v>1.2677999107468864E-5</v>
      </c>
      <c r="I4" s="2">
        <f t="shared" si="1"/>
        <v>3.169499776867216E-6</v>
      </c>
      <c r="J4" s="2">
        <f t="shared" si="1"/>
        <v>5.0711996429875453E-7</v>
      </c>
      <c r="K4" s="2">
        <f t="shared" si="1"/>
        <v>1.2677999107468863E-7</v>
      </c>
      <c r="L4" s="2">
        <f t="shared" si="1"/>
        <v>3.1694997768672158E-8</v>
      </c>
      <c r="M4" s="2">
        <f t="shared" si="1"/>
        <v>5.0711996429875453E-9</v>
      </c>
      <c r="N4" s="2">
        <f t="shared" si="1"/>
        <v>1.2677999107468863E-9</v>
      </c>
    </row>
    <row r="5" spans="1:14" x14ac:dyDescent="0.25">
      <c r="A5" s="2">
        <v>0.5</v>
      </c>
      <c r="B5" s="2">
        <f t="shared" si="1"/>
        <v>5.071199642987545E-2</v>
      </c>
      <c r="C5" s="2">
        <f t="shared" si="1"/>
        <v>1.2677999107468862E-2</v>
      </c>
      <c r="D5" s="2">
        <f t="shared" si="1"/>
        <v>2.0284798571950178E-3</v>
      </c>
      <c r="E5" s="2">
        <f t="shared" si="1"/>
        <v>5.0711996429875445E-4</v>
      </c>
      <c r="F5" s="2">
        <f t="shared" si="1"/>
        <v>1.2677999107468861E-4</v>
      </c>
      <c r="G5" s="2">
        <f t="shared" si="1"/>
        <v>2.0284798571950182E-5</v>
      </c>
      <c r="H5" s="2">
        <f t="shared" si="1"/>
        <v>5.0711996429875456E-6</v>
      </c>
      <c r="I5" s="2">
        <f t="shared" si="1"/>
        <v>1.2677999107468864E-6</v>
      </c>
      <c r="J5" s="2">
        <f t="shared" si="1"/>
        <v>2.028479857195018E-7</v>
      </c>
      <c r="K5" s="2">
        <f t="shared" si="1"/>
        <v>5.0711996429875451E-8</v>
      </c>
      <c r="L5" s="2">
        <f t="shared" si="1"/>
        <v>1.2677999107468863E-8</v>
      </c>
      <c r="M5" s="2">
        <f t="shared" si="1"/>
        <v>2.0284798571950183E-9</v>
      </c>
      <c r="N5" s="2">
        <f t="shared" si="1"/>
        <v>5.0711996429875459E-10</v>
      </c>
    </row>
    <row r="6" spans="1:14" x14ac:dyDescent="0.25">
      <c r="A6" s="2">
        <v>1</v>
      </c>
      <c r="B6" s="2">
        <f t="shared" si="1"/>
        <v>2.5355998214937725E-2</v>
      </c>
      <c r="C6" s="2">
        <f t="shared" si="1"/>
        <v>6.3389995537344312E-3</v>
      </c>
      <c r="D6" s="2">
        <f t="shared" si="1"/>
        <v>1.0142399285975089E-3</v>
      </c>
      <c r="E6" s="2">
        <f t="shared" si="1"/>
        <v>2.5355998214937722E-4</v>
      </c>
      <c r="F6" s="2">
        <f t="shared" si="1"/>
        <v>6.3389995537344306E-5</v>
      </c>
      <c r="G6" s="2">
        <f t="shared" si="1"/>
        <v>1.0142399285975091E-5</v>
      </c>
      <c r="H6" s="2">
        <f t="shared" si="1"/>
        <v>2.5355998214937728E-6</v>
      </c>
      <c r="I6" s="2">
        <f t="shared" si="1"/>
        <v>6.338999553734432E-7</v>
      </c>
      <c r="J6" s="2">
        <f t="shared" si="1"/>
        <v>1.014239928597509E-7</v>
      </c>
      <c r="K6" s="2">
        <f t="shared" si="1"/>
        <v>2.5355998214937725E-8</v>
      </c>
      <c r="L6" s="2">
        <f t="shared" si="1"/>
        <v>6.3389995537344314E-9</v>
      </c>
      <c r="M6" s="2">
        <f t="shared" si="1"/>
        <v>1.0142399285975092E-9</v>
      </c>
      <c r="N6" s="2">
        <f t="shared" si="1"/>
        <v>2.5355998214937729E-10</v>
      </c>
    </row>
    <row r="7" spans="1:14" x14ac:dyDescent="0.25">
      <c r="A7" s="2">
        <v>2</v>
      </c>
      <c r="B7" s="2">
        <f t="shared" si="1"/>
        <v>1.2677999107468862E-2</v>
      </c>
      <c r="C7" s="2">
        <f t="shared" si="1"/>
        <v>3.1694997768672156E-3</v>
      </c>
      <c r="D7" s="2">
        <f t="shared" si="1"/>
        <v>5.0711996429875445E-4</v>
      </c>
      <c r="E7" s="2">
        <f t="shared" si="1"/>
        <v>1.2677999107468861E-4</v>
      </c>
      <c r="F7" s="2">
        <f t="shared" si="1"/>
        <v>3.1694997768672153E-5</v>
      </c>
      <c r="G7" s="2">
        <f t="shared" si="1"/>
        <v>5.0711996429875456E-6</v>
      </c>
      <c r="H7" s="2">
        <f t="shared" si="1"/>
        <v>1.2677999107468864E-6</v>
      </c>
      <c r="I7" s="2">
        <f t="shared" si="1"/>
        <v>3.169499776867216E-7</v>
      </c>
      <c r="J7" s="2">
        <f t="shared" si="1"/>
        <v>5.0711996429875451E-8</v>
      </c>
      <c r="K7" s="2">
        <f t="shared" si="1"/>
        <v>1.2677999107468863E-8</v>
      </c>
      <c r="L7" s="2">
        <f t="shared" si="1"/>
        <v>3.1694997768672157E-9</v>
      </c>
      <c r="M7" s="2">
        <f t="shared" si="1"/>
        <v>5.0711996429875459E-10</v>
      </c>
      <c r="N7" s="2">
        <f t="shared" si="1"/>
        <v>1.2677999107468865E-10</v>
      </c>
    </row>
    <row r="8" spans="1:14" x14ac:dyDescent="0.25">
      <c r="A8" s="2">
        <v>5</v>
      </c>
      <c r="B8" s="2">
        <f t="shared" si="1"/>
        <v>5.0711996429875453E-3</v>
      </c>
      <c r="C8" s="2">
        <f t="shared" si="1"/>
        <v>1.2677999107468863E-3</v>
      </c>
      <c r="D8" s="2">
        <f t="shared" si="1"/>
        <v>2.0284798571950177E-4</v>
      </c>
      <c r="E8" s="2">
        <f t="shared" si="1"/>
        <v>5.0711996429875442E-5</v>
      </c>
      <c r="F8" s="2">
        <f t="shared" si="1"/>
        <v>1.2677999107468861E-5</v>
      </c>
      <c r="G8" s="2">
        <f t="shared" si="1"/>
        <v>2.0284798571950181E-6</v>
      </c>
      <c r="H8" s="2">
        <f t="shared" si="1"/>
        <v>5.0711996429875453E-7</v>
      </c>
      <c r="I8" s="2">
        <f t="shared" si="1"/>
        <v>1.2677999107468863E-7</v>
      </c>
      <c r="J8" s="2">
        <f t="shared" si="1"/>
        <v>2.0284798571950181E-8</v>
      </c>
      <c r="K8" s="2">
        <f t="shared" si="1"/>
        <v>5.0711996429875453E-9</v>
      </c>
      <c r="L8" s="2">
        <f t="shared" si="1"/>
        <v>1.2677999107468863E-9</v>
      </c>
      <c r="M8" s="2">
        <f t="shared" si="1"/>
        <v>2.028479857195018E-10</v>
      </c>
      <c r="N8" s="2">
        <f t="shared" si="1"/>
        <v>5.0711996429875451E-11</v>
      </c>
    </row>
    <row r="9" spans="1:14" x14ac:dyDescent="0.25">
      <c r="A9" s="2">
        <v>10</v>
      </c>
      <c r="B9" s="2">
        <f t="shared" si="1"/>
        <v>2.5355998214937727E-3</v>
      </c>
      <c r="C9" s="2">
        <f t="shared" si="1"/>
        <v>6.3389995537344317E-4</v>
      </c>
      <c r="D9" s="2">
        <f t="shared" si="1"/>
        <v>1.0142399285975088E-4</v>
      </c>
      <c r="E9" s="2">
        <f t="shared" si="1"/>
        <v>2.5355998214937721E-5</v>
      </c>
      <c r="F9" s="2">
        <f t="shared" si="1"/>
        <v>6.3389995537344303E-6</v>
      </c>
      <c r="G9" s="2">
        <f t="shared" si="1"/>
        <v>1.0142399285975091E-6</v>
      </c>
      <c r="H9" s="2">
        <f t="shared" si="1"/>
        <v>2.5355998214937727E-7</v>
      </c>
      <c r="I9" s="2">
        <f t="shared" si="1"/>
        <v>6.3389995537344317E-8</v>
      </c>
      <c r="J9" s="2">
        <f t="shared" si="1"/>
        <v>1.0142399285975091E-8</v>
      </c>
      <c r="K9" s="2">
        <f t="shared" si="1"/>
        <v>2.5355998214937726E-9</v>
      </c>
      <c r="L9" s="2">
        <f t="shared" si="1"/>
        <v>6.3389995537344316E-10</v>
      </c>
      <c r="M9" s="2">
        <f t="shared" si="1"/>
        <v>1.014239928597509E-10</v>
      </c>
      <c r="N9" s="2">
        <f t="shared" si="1"/>
        <v>2.5355998214937725E-11</v>
      </c>
    </row>
    <row r="10" spans="1:14" x14ac:dyDescent="0.25">
      <c r="A10" s="2">
        <v>20</v>
      </c>
      <c r="B10" s="2">
        <f t="shared" si="1"/>
        <v>1.2677999107468863E-3</v>
      </c>
      <c r="C10" s="2">
        <f t="shared" si="1"/>
        <v>3.1694997768672158E-4</v>
      </c>
      <c r="D10" s="2">
        <f t="shared" si="1"/>
        <v>5.0711996429875442E-5</v>
      </c>
      <c r="E10" s="2">
        <f t="shared" si="1"/>
        <v>1.2677999107468861E-5</v>
      </c>
      <c r="F10" s="2">
        <f t="shared" si="1"/>
        <v>3.1694997768672151E-6</v>
      </c>
      <c r="G10" s="2">
        <f t="shared" si="1"/>
        <v>5.0711996429875453E-7</v>
      </c>
      <c r="H10" s="2">
        <f t="shared" si="1"/>
        <v>1.2677999107468863E-7</v>
      </c>
      <c r="I10" s="2">
        <f t="shared" si="1"/>
        <v>3.1694997768672158E-8</v>
      </c>
      <c r="J10" s="2">
        <f t="shared" si="1"/>
        <v>5.0711996429875453E-9</v>
      </c>
      <c r="K10" s="2">
        <f t="shared" si="1"/>
        <v>1.2677999107468863E-9</v>
      </c>
      <c r="L10" s="2">
        <f t="shared" si="1"/>
        <v>3.1694997768672158E-10</v>
      </c>
      <c r="M10" s="2">
        <f t="shared" si="1"/>
        <v>5.0711996429875451E-11</v>
      </c>
      <c r="N10" s="2">
        <f t="shared" si="1"/>
        <v>1.2677999107468863E-11</v>
      </c>
    </row>
    <row r="11" spans="1:14" x14ac:dyDescent="0.25">
      <c r="A11" s="2">
        <v>50</v>
      </c>
      <c r="B11" s="2">
        <f t="shared" si="1"/>
        <v>5.0711996429875456E-4</v>
      </c>
      <c r="C11" s="2">
        <f t="shared" si="1"/>
        <v>1.2677999107468864E-4</v>
      </c>
      <c r="D11" s="2">
        <f t="shared" si="1"/>
        <v>2.0284798571950179E-5</v>
      </c>
      <c r="E11" s="2">
        <f t="shared" si="1"/>
        <v>5.0711996429875447E-6</v>
      </c>
      <c r="F11" s="2">
        <f t="shared" si="1"/>
        <v>1.2677999107468862E-6</v>
      </c>
      <c r="G11" s="2">
        <f t="shared" si="1"/>
        <v>2.0284798571950186E-7</v>
      </c>
      <c r="H11" s="2">
        <f t="shared" si="1"/>
        <v>5.0711996429875464E-8</v>
      </c>
      <c r="I11" s="2">
        <f t="shared" si="1"/>
        <v>1.2677999107468866E-8</v>
      </c>
      <c r="J11" s="2">
        <f t="shared" si="1"/>
        <v>2.0284798571950183E-9</v>
      </c>
      <c r="K11" s="2">
        <f t="shared" si="1"/>
        <v>5.0711996429875459E-10</v>
      </c>
      <c r="L11" s="2">
        <f t="shared" si="1"/>
        <v>1.2677999107468865E-10</v>
      </c>
      <c r="M11" s="2">
        <f t="shared" si="1"/>
        <v>2.0284798571950184E-11</v>
      </c>
      <c r="N11" s="2">
        <f t="shared" si="1"/>
        <v>5.0711996429875459E-12</v>
      </c>
    </row>
    <row r="12" spans="1:14" x14ac:dyDescent="0.25">
      <c r="A12">
        <v>100</v>
      </c>
      <c r="B12">
        <f t="shared" si="1"/>
        <v>2.5355998214937728E-4</v>
      </c>
      <c r="C12">
        <f t="shared" si="1"/>
        <v>6.338999553734432E-5</v>
      </c>
      <c r="D12">
        <f t="shared" si="1"/>
        <v>1.0142399285975089E-5</v>
      </c>
      <c r="E12">
        <f t="shared" si="1"/>
        <v>2.5355998214937724E-6</v>
      </c>
      <c r="F12">
        <f t="shared" si="1"/>
        <v>6.3389995537344309E-7</v>
      </c>
      <c r="G12">
        <f t="shared" si="1"/>
        <v>1.0142399285975093E-7</v>
      </c>
      <c r="H12">
        <f t="shared" si="1"/>
        <v>2.5355998214937732E-8</v>
      </c>
      <c r="I12">
        <f t="shared" si="1"/>
        <v>6.338999553734433E-9</v>
      </c>
      <c r="J12">
        <f t="shared" si="1"/>
        <v>1.0142399285975092E-9</v>
      </c>
      <c r="K12">
        <f t="shared" si="1"/>
        <v>2.5355998214937729E-10</v>
      </c>
      <c r="L12">
        <f t="shared" si="1"/>
        <v>6.3389995537344323E-11</v>
      </c>
      <c r="M12">
        <f t="shared" si="1"/>
        <v>1.0142399285975092E-11</v>
      </c>
      <c r="N12">
        <f t="shared" si="1"/>
        <v>2.535599821493773E-12</v>
      </c>
    </row>
    <row r="13" spans="1:14" x14ac:dyDescent="0.25">
      <c r="A13">
        <v>200</v>
      </c>
      <c r="B13">
        <f t="shared" si="1"/>
        <v>1.2677999107468864E-4</v>
      </c>
      <c r="C13">
        <f t="shared" si="1"/>
        <v>3.169499776867216E-5</v>
      </c>
      <c r="D13">
        <f t="shared" si="1"/>
        <v>5.0711996429875447E-6</v>
      </c>
      <c r="E13">
        <f t="shared" si="1"/>
        <v>1.2677999107468862E-6</v>
      </c>
      <c r="F13">
        <f t="shared" si="1"/>
        <v>3.1694997768672154E-7</v>
      </c>
      <c r="G13">
        <f t="shared" si="1"/>
        <v>5.0711996429875464E-8</v>
      </c>
      <c r="H13">
        <f t="shared" si="1"/>
        <v>1.2677999107468866E-8</v>
      </c>
      <c r="I13">
        <f t="shared" si="1"/>
        <v>3.1694997768672165E-9</v>
      </c>
      <c r="J13">
        <f t="shared" si="1"/>
        <v>5.0711996429875459E-10</v>
      </c>
      <c r="K13">
        <f t="shared" si="1"/>
        <v>1.2677999107468865E-10</v>
      </c>
      <c r="L13">
        <f t="shared" si="1"/>
        <v>3.1694997768672162E-11</v>
      </c>
      <c r="M13">
        <f t="shared" si="1"/>
        <v>5.0711996429875459E-12</v>
      </c>
      <c r="N13">
        <f t="shared" si="1"/>
        <v>1.2677999107468865E-12</v>
      </c>
    </row>
    <row r="14" spans="1:14" x14ac:dyDescent="0.25">
      <c r="A14">
        <v>500</v>
      </c>
      <c r="B14">
        <f t="shared" si="1"/>
        <v>5.0711996429875449E-5</v>
      </c>
      <c r="C14">
        <f t="shared" si="1"/>
        <v>1.2677999107468862E-5</v>
      </c>
      <c r="D14">
        <f t="shared" si="1"/>
        <v>2.0284798571950181E-6</v>
      </c>
      <c r="E14">
        <f t="shared" si="1"/>
        <v>5.0711996429875453E-7</v>
      </c>
      <c r="F14">
        <f t="shared" si="1"/>
        <v>1.2677999107468863E-7</v>
      </c>
      <c r="G14">
        <f t="shared" si="1"/>
        <v>2.0284798571950184E-8</v>
      </c>
      <c r="H14">
        <f t="shared" si="1"/>
        <v>5.0711996429875461E-9</v>
      </c>
      <c r="I14">
        <f t="shared" si="1"/>
        <v>1.2677999107468865E-9</v>
      </c>
      <c r="J14">
        <f t="shared" si="1"/>
        <v>2.028479857195018E-10</v>
      </c>
      <c r="K14">
        <f t="shared" si="1"/>
        <v>5.0711996429875451E-11</v>
      </c>
      <c r="L14">
        <f t="shared" si="1"/>
        <v>1.2677999107468863E-11</v>
      </c>
      <c r="M14">
        <f t="shared" si="1"/>
        <v>2.0284798571950183E-12</v>
      </c>
      <c r="N14">
        <f t="shared" si="1"/>
        <v>5.0711996429875457E-13</v>
      </c>
    </row>
    <row r="15" spans="1:14" x14ac:dyDescent="0.25">
      <c r="A15">
        <v>1000</v>
      </c>
      <c r="B15">
        <f t="shared" si="1"/>
        <v>2.5355998214937724E-5</v>
      </c>
      <c r="C15">
        <f t="shared" si="1"/>
        <v>6.3389995537344311E-6</v>
      </c>
      <c r="D15">
        <f t="shared" si="1"/>
        <v>1.0142399285975091E-6</v>
      </c>
      <c r="E15">
        <f t="shared" si="1"/>
        <v>2.5355998214937727E-7</v>
      </c>
      <c r="F15">
        <f t="shared" si="1"/>
        <v>6.3389995537344317E-8</v>
      </c>
      <c r="G15">
        <f t="shared" si="1"/>
        <v>1.0142399285975092E-8</v>
      </c>
      <c r="H15">
        <f t="shared" si="1"/>
        <v>2.535599821493773E-9</v>
      </c>
      <c r="I15">
        <f t="shared" si="1"/>
        <v>6.3389995537344326E-10</v>
      </c>
      <c r="J15">
        <f t="shared" si="1"/>
        <v>1.014239928597509E-10</v>
      </c>
      <c r="K15">
        <f t="shared" si="1"/>
        <v>2.5355998214937725E-11</v>
      </c>
      <c r="L15">
        <f t="shared" si="1"/>
        <v>6.3389995537344314E-12</v>
      </c>
      <c r="M15">
        <f t="shared" si="1"/>
        <v>1.0142399285975091E-12</v>
      </c>
      <c r="N15">
        <f t="shared" si="1"/>
        <v>2.5355998214937729E-13</v>
      </c>
    </row>
    <row r="16" spans="1:14" x14ac:dyDescent="0.25">
      <c r="A16">
        <v>2000</v>
      </c>
      <c r="B16">
        <f t="shared" si="1"/>
        <v>1.2677999107468862E-5</v>
      </c>
      <c r="C16">
        <f t="shared" si="1"/>
        <v>3.1694997768672156E-6</v>
      </c>
      <c r="D16">
        <f t="shared" si="1"/>
        <v>5.0711996429875453E-7</v>
      </c>
      <c r="E16">
        <f t="shared" si="1"/>
        <v>1.2677999107468863E-7</v>
      </c>
      <c r="F16">
        <f t="shared" si="1"/>
        <v>3.1694997768672158E-8</v>
      </c>
      <c r="G16">
        <f t="shared" si="1"/>
        <v>5.0711996429875461E-9</v>
      </c>
      <c r="H16">
        <f t="shared" si="1"/>
        <v>1.2677999107468865E-9</v>
      </c>
      <c r="I16">
        <f t="shared" si="1"/>
        <v>3.1694997768672163E-10</v>
      </c>
      <c r="J16">
        <f t="shared" si="1"/>
        <v>5.0711996429875451E-11</v>
      </c>
      <c r="K16">
        <f t="shared" si="1"/>
        <v>1.2677999107468863E-11</v>
      </c>
      <c r="L16">
        <f t="shared" si="1"/>
        <v>3.1694997768672157E-12</v>
      </c>
      <c r="M16">
        <f t="shared" si="1"/>
        <v>5.0711996429875457E-13</v>
      </c>
      <c r="N16">
        <f t="shared" si="1"/>
        <v>1.2677999107468864E-13</v>
      </c>
    </row>
    <row r="17" spans="1:14" x14ac:dyDescent="0.25">
      <c r="A17">
        <v>5000</v>
      </c>
      <c r="B17">
        <f t="shared" si="1"/>
        <v>5.0711996429875456E-6</v>
      </c>
      <c r="C17">
        <f t="shared" si="1"/>
        <v>1.2677999107468864E-6</v>
      </c>
      <c r="D17">
        <f t="shared" si="1"/>
        <v>2.0284798571950186E-7</v>
      </c>
      <c r="E17">
        <f t="shared" si="1"/>
        <v>5.0711996429875464E-8</v>
      </c>
      <c r="F17">
        <f t="shared" si="1"/>
        <v>1.2677999107468866E-8</v>
      </c>
      <c r="G17">
        <f t="shared" si="1"/>
        <v>2.0284798571950183E-9</v>
      </c>
      <c r="H17">
        <f t="shared" si="1"/>
        <v>5.0711996429875459E-10</v>
      </c>
      <c r="I17">
        <f t="shared" si="1"/>
        <v>1.2677999107468865E-10</v>
      </c>
      <c r="J17">
        <f t="shared" si="1"/>
        <v>2.0284798571950184E-11</v>
      </c>
      <c r="K17">
        <f t="shared" si="1"/>
        <v>5.0711996429875459E-12</v>
      </c>
      <c r="L17">
        <f t="shared" si="1"/>
        <v>1.2677999107468865E-12</v>
      </c>
      <c r="M17">
        <f t="shared" si="1"/>
        <v>2.0284798571950185E-13</v>
      </c>
      <c r="N17">
        <f t="shared" si="1"/>
        <v>5.0711996429875462E-14</v>
      </c>
    </row>
    <row r="18" spans="1:14" x14ac:dyDescent="0.25">
      <c r="A18">
        <v>10000</v>
      </c>
      <c r="B18">
        <f t="shared" si="1"/>
        <v>2.5355998214937728E-6</v>
      </c>
      <c r="C18">
        <f t="shared" si="1"/>
        <v>6.338999553734432E-7</v>
      </c>
      <c r="D18">
        <f t="shared" si="1"/>
        <v>1.0142399285975093E-7</v>
      </c>
      <c r="E18">
        <f t="shared" si="1"/>
        <v>2.5355998214937732E-8</v>
      </c>
      <c r="F18">
        <f t="shared" si="1"/>
        <v>6.338999553734433E-9</v>
      </c>
      <c r="G18">
        <f t="shared" si="1"/>
        <v>1.0142399285975092E-9</v>
      </c>
      <c r="H18">
        <f t="shared" si="1"/>
        <v>2.5355998214937729E-10</v>
      </c>
      <c r="I18">
        <f t="shared" si="1"/>
        <v>6.3389995537344323E-11</v>
      </c>
      <c r="J18">
        <f t="shared" si="1"/>
        <v>1.0142399285975092E-11</v>
      </c>
      <c r="K18">
        <f t="shared" si="1"/>
        <v>2.535599821493773E-12</v>
      </c>
      <c r="L18">
        <f t="shared" si="1"/>
        <v>6.3389995537344324E-13</v>
      </c>
      <c r="M18">
        <f t="shared" si="1"/>
        <v>1.0142399285975092E-13</v>
      </c>
      <c r="N18">
        <f t="shared" si="1"/>
        <v>2.5355998214937731E-14</v>
      </c>
    </row>
    <row r="19" spans="1:14" x14ac:dyDescent="0.25">
      <c r="A19">
        <v>20000</v>
      </c>
      <c r="B19">
        <f t="shared" si="1"/>
        <v>1.2677999107468864E-6</v>
      </c>
      <c r="C19">
        <f t="shared" si="1"/>
        <v>3.169499776867216E-7</v>
      </c>
      <c r="D19">
        <f t="shared" si="1"/>
        <v>5.0711996429875464E-8</v>
      </c>
      <c r="E19">
        <f t="shared" si="1"/>
        <v>1.2677999107468866E-8</v>
      </c>
      <c r="F19">
        <f t="shared" si="1"/>
        <v>3.1694997768672165E-9</v>
      </c>
      <c r="G19">
        <f t="shared" si="1"/>
        <v>5.0711996429875459E-10</v>
      </c>
      <c r="H19">
        <f t="shared" si="1"/>
        <v>1.2677999107468865E-10</v>
      </c>
      <c r="I19">
        <f t="shared" si="1"/>
        <v>3.1694997768672162E-11</v>
      </c>
      <c r="J19">
        <f t="shared" si="1"/>
        <v>5.0711996429875459E-12</v>
      </c>
      <c r="K19">
        <f t="shared" si="1"/>
        <v>1.2677999107468865E-12</v>
      </c>
      <c r="L19">
        <f t="shared" si="1"/>
        <v>3.1694997768672162E-13</v>
      </c>
      <c r="M19">
        <f t="shared" si="1"/>
        <v>5.0711996429875462E-14</v>
      </c>
      <c r="N19">
        <f t="shared" si="1"/>
        <v>1.2677999107468866E-14</v>
      </c>
    </row>
    <row r="20" spans="1:14" x14ac:dyDescent="0.25">
      <c r="A20">
        <v>50000</v>
      </c>
      <c r="B20">
        <f t="shared" si="1"/>
        <v>5.0711996429875453E-7</v>
      </c>
      <c r="C20">
        <f t="shared" si="1"/>
        <v>1.2677999107468863E-7</v>
      </c>
      <c r="D20">
        <f t="shared" si="1"/>
        <v>2.0284798571950181E-8</v>
      </c>
      <c r="E20">
        <f t="shared" si="1"/>
        <v>5.0711996429875453E-9</v>
      </c>
      <c r="F20">
        <f t="shared" si="1"/>
        <v>1.2677999107468863E-9</v>
      </c>
      <c r="G20">
        <f t="shared" si="1"/>
        <v>2.0284798571950186E-10</v>
      </c>
      <c r="H20">
        <f t="shared" si="1"/>
        <v>5.0711996429875464E-11</v>
      </c>
      <c r="I20">
        <f t="shared" si="1"/>
        <v>1.2677999107468866E-11</v>
      </c>
      <c r="J20">
        <f t="shared" si="1"/>
        <v>2.0284798571950183E-12</v>
      </c>
      <c r="K20">
        <f t="shared" si="1"/>
        <v>5.0711996429875457E-13</v>
      </c>
      <c r="L20">
        <f t="shared" si="1"/>
        <v>1.2677999107468864E-13</v>
      </c>
      <c r="M20">
        <f t="shared" si="1"/>
        <v>2.028479857195018E-14</v>
      </c>
      <c r="N20">
        <f t="shared" si="1"/>
        <v>5.0711996429875449E-15</v>
      </c>
    </row>
    <row r="21" spans="1:14" x14ac:dyDescent="0.25">
      <c r="A21">
        <v>100000</v>
      </c>
      <c r="B21">
        <f t="shared" si="1"/>
        <v>2.5355998214937727E-7</v>
      </c>
      <c r="C21">
        <f t="shared" si="1"/>
        <v>6.3389995537344317E-8</v>
      </c>
      <c r="D21">
        <f t="shared" si="1"/>
        <v>1.0142399285975091E-8</v>
      </c>
      <c r="E21">
        <f t="shared" si="1"/>
        <v>2.5355998214937726E-9</v>
      </c>
      <c r="F21">
        <f t="shared" si="1"/>
        <v>6.3389995537344316E-10</v>
      </c>
      <c r="G21">
        <f t="shared" si="1"/>
        <v>1.0142399285975093E-10</v>
      </c>
      <c r="H21">
        <f t="shared" si="1"/>
        <v>2.5355998214937732E-11</v>
      </c>
      <c r="I21">
        <f t="shared" si="1"/>
        <v>6.338999553734433E-12</v>
      </c>
      <c r="J21">
        <f t="shared" si="1"/>
        <v>1.0142399285975091E-12</v>
      </c>
      <c r="K21">
        <f t="shared" si="1"/>
        <v>2.5355998214937729E-13</v>
      </c>
      <c r="L21">
        <f t="shared" si="1"/>
        <v>6.3389995537344321E-14</v>
      </c>
      <c r="M21">
        <f t="shared" si="1"/>
        <v>1.014239928597509E-14</v>
      </c>
      <c r="N21">
        <f t="shared" si="1"/>
        <v>2.5355998214937725E-15</v>
      </c>
    </row>
    <row r="23" spans="1:14" x14ac:dyDescent="0.25">
      <c r="A23" t="s">
        <v>22</v>
      </c>
      <c r="B23" s="1">
        <v>2E-12</v>
      </c>
      <c r="C23" t="s">
        <v>2</v>
      </c>
    </row>
    <row r="24" spans="1:14" x14ac:dyDescent="0.25">
      <c r="A24" t="s">
        <v>23</v>
      </c>
      <c r="B24" s="1">
        <v>9.9999999999999995E-8</v>
      </c>
      <c r="C24" t="s">
        <v>2</v>
      </c>
    </row>
    <row r="25" spans="1:14" x14ac:dyDescent="0.25">
      <c r="A25" t="s">
        <v>7</v>
      </c>
      <c r="B25" s="6">
        <v>100</v>
      </c>
    </row>
    <row r="26" spans="1:14" x14ac:dyDescent="0.25">
      <c r="A26" t="s">
        <v>50</v>
      </c>
      <c r="B26" s="1">
        <v>10000</v>
      </c>
      <c r="C26" t="s">
        <v>9</v>
      </c>
    </row>
    <row r="28" spans="1:14" x14ac:dyDescent="0.25">
      <c r="A28" s="3" t="s">
        <v>21</v>
      </c>
      <c r="B28" s="3" t="s">
        <v>37</v>
      </c>
      <c r="C28" s="3" t="s">
        <v>38</v>
      </c>
      <c r="D28" s="3" t="s">
        <v>39</v>
      </c>
      <c r="E28" s="3" t="s">
        <v>40</v>
      </c>
      <c r="F28" s="3" t="s">
        <v>41</v>
      </c>
      <c r="G28" s="3" t="s">
        <v>42</v>
      </c>
      <c r="H28" s="3" t="s">
        <v>43</v>
      </c>
      <c r="I28" s="3" t="s">
        <v>44</v>
      </c>
      <c r="J28" s="3" t="s">
        <v>45</v>
      </c>
      <c r="K28" s="3" t="s">
        <v>46</v>
      </c>
      <c r="L28" s="3" t="s">
        <v>47</v>
      </c>
      <c r="M28" s="3" t="s">
        <v>48</v>
      </c>
      <c r="N28" s="3" t="s">
        <v>49</v>
      </c>
    </row>
    <row r="29" spans="1:14" x14ac:dyDescent="0.25">
      <c r="A29" s="4" t="s">
        <v>20</v>
      </c>
      <c r="B29" s="4" t="s">
        <v>24</v>
      </c>
      <c r="C29" s="4" t="s">
        <v>25</v>
      </c>
      <c r="D29" s="4" t="s">
        <v>26</v>
      </c>
      <c r="E29" s="4" t="s">
        <v>27</v>
      </c>
      <c r="F29" s="4" t="s">
        <v>28</v>
      </c>
      <c r="G29" s="4" t="s">
        <v>29</v>
      </c>
      <c r="H29" s="4" t="s">
        <v>30</v>
      </c>
      <c r="I29" s="4" t="s">
        <v>31</v>
      </c>
      <c r="J29" s="4" t="s">
        <v>32</v>
      </c>
      <c r="K29" s="4" t="s">
        <v>33</v>
      </c>
      <c r="L29" s="4" t="s">
        <v>34</v>
      </c>
      <c r="M29" s="4" t="s">
        <v>35</v>
      </c>
      <c r="N29" s="4" t="s">
        <v>36</v>
      </c>
    </row>
    <row r="30" spans="1:14" x14ac:dyDescent="0.25">
      <c r="A30" s="2">
        <v>0.1</v>
      </c>
      <c r="B30" s="7">
        <f>$B$25*SQRT(0.000001*$A30/B3)</f>
        <v>6.2799999999999995E-2</v>
      </c>
      <c r="C30" s="7">
        <f t="shared" ref="C30:N30" si="2">$B$25*SQRT(0.000001*$A30/C3)</f>
        <v>0.12559999999999999</v>
      </c>
      <c r="D30" s="7">
        <f t="shared" si="2"/>
        <v>0.314</v>
      </c>
      <c r="E30" s="7">
        <f t="shared" si="2"/>
        <v>0.628</v>
      </c>
      <c r="F30" s="7">
        <f t="shared" si="2"/>
        <v>1.256</v>
      </c>
      <c r="G30" s="7">
        <f t="shared" si="2"/>
        <v>3.1399999999999997</v>
      </c>
      <c r="H30" s="7">
        <f t="shared" si="2"/>
        <v>6.2799999999999994</v>
      </c>
      <c r="I30" s="7">
        <f t="shared" si="2"/>
        <v>12.559999999999999</v>
      </c>
      <c r="J30" s="7">
        <f t="shared" si="2"/>
        <v>31.4</v>
      </c>
      <c r="K30" s="7">
        <f t="shared" si="2"/>
        <v>62.8</v>
      </c>
      <c r="L30" s="7">
        <f t="shared" si="2"/>
        <v>125.6</v>
      </c>
      <c r="M30" s="7">
        <f t="shared" si="2"/>
        <v>313.99999999999994</v>
      </c>
      <c r="N30" s="7">
        <f t="shared" si="2"/>
        <v>627.99999999999989</v>
      </c>
    </row>
    <row r="31" spans="1:14" x14ac:dyDescent="0.25">
      <c r="A31" s="2">
        <v>0.2</v>
      </c>
      <c r="B31" s="7">
        <f>$B$25*SQRT(0.000001*$A31/B4)</f>
        <v>0.12559999999999999</v>
      </c>
      <c r="C31" s="7">
        <f t="shared" ref="C31:N31" si="3">$B$25*SQRT(0.000001*$A31/C4)</f>
        <v>0.25119999999999998</v>
      </c>
      <c r="D31" s="7">
        <f t="shared" si="3"/>
        <v>0.628</v>
      </c>
      <c r="E31" s="7">
        <f t="shared" si="3"/>
        <v>1.256</v>
      </c>
      <c r="F31" s="7">
        <f t="shared" si="3"/>
        <v>2.512</v>
      </c>
      <c r="G31" s="7">
        <f t="shared" si="3"/>
        <v>6.2799999999999994</v>
      </c>
      <c r="H31" s="7">
        <f t="shared" si="3"/>
        <v>12.559999999999999</v>
      </c>
      <c r="I31" s="7">
        <f t="shared" si="3"/>
        <v>25.119999999999997</v>
      </c>
      <c r="J31" s="7">
        <f t="shared" si="3"/>
        <v>62.8</v>
      </c>
      <c r="K31" s="7">
        <f t="shared" si="3"/>
        <v>125.6</v>
      </c>
      <c r="L31" s="7">
        <f t="shared" si="3"/>
        <v>251.2</v>
      </c>
      <c r="M31" s="7">
        <f t="shared" si="3"/>
        <v>627.99999999999989</v>
      </c>
      <c r="N31" s="7">
        <f t="shared" si="3"/>
        <v>1255.9999999999998</v>
      </c>
    </row>
    <row r="32" spans="1:14" x14ac:dyDescent="0.25">
      <c r="A32" s="2">
        <v>0.5</v>
      </c>
      <c r="B32" s="7">
        <f t="shared" ref="B32:N32" si="4">$B$25*SQRT(0.000001*$A32/B5)</f>
        <v>0.314</v>
      </c>
      <c r="C32" s="7">
        <f t="shared" si="4"/>
        <v>0.628</v>
      </c>
      <c r="D32" s="7">
        <f t="shared" si="4"/>
        <v>1.5700000000000003</v>
      </c>
      <c r="E32" s="7">
        <f t="shared" si="4"/>
        <v>3.1400000000000006</v>
      </c>
      <c r="F32" s="7">
        <f t="shared" si="4"/>
        <v>6.2800000000000011</v>
      </c>
      <c r="G32" s="7">
        <f t="shared" si="4"/>
        <v>15.7</v>
      </c>
      <c r="H32" s="7">
        <f t="shared" si="4"/>
        <v>31.4</v>
      </c>
      <c r="I32" s="7">
        <f t="shared" si="4"/>
        <v>62.8</v>
      </c>
      <c r="J32" s="7">
        <f t="shared" si="4"/>
        <v>157</v>
      </c>
      <c r="K32" s="7">
        <f t="shared" si="4"/>
        <v>314</v>
      </c>
      <c r="L32" s="7">
        <f t="shared" si="4"/>
        <v>628</v>
      </c>
      <c r="M32" s="7">
        <f t="shared" si="4"/>
        <v>1570</v>
      </c>
      <c r="N32" s="7">
        <f t="shared" si="4"/>
        <v>3140</v>
      </c>
    </row>
    <row r="33" spans="1:14" x14ac:dyDescent="0.25">
      <c r="A33" s="2">
        <v>1</v>
      </c>
      <c r="B33" s="7">
        <f t="shared" ref="B33:N33" si="5">$B$25*SQRT(0.000001*$A33/B6)</f>
        <v>0.628</v>
      </c>
      <c r="C33" s="7">
        <f t="shared" si="5"/>
        <v>1.256</v>
      </c>
      <c r="D33" s="7">
        <f t="shared" si="5"/>
        <v>3.1400000000000006</v>
      </c>
      <c r="E33" s="7">
        <f t="shared" si="5"/>
        <v>6.2800000000000011</v>
      </c>
      <c r="F33" s="7">
        <f t="shared" si="5"/>
        <v>12.560000000000002</v>
      </c>
      <c r="G33" s="7">
        <f t="shared" si="5"/>
        <v>31.4</v>
      </c>
      <c r="H33" s="7">
        <f t="shared" si="5"/>
        <v>62.8</v>
      </c>
      <c r="I33" s="7">
        <f t="shared" si="5"/>
        <v>125.6</v>
      </c>
      <c r="J33" s="7">
        <f t="shared" si="5"/>
        <v>314</v>
      </c>
      <c r="K33" s="7">
        <f t="shared" si="5"/>
        <v>628</v>
      </c>
      <c r="L33" s="7">
        <f t="shared" si="5"/>
        <v>1256</v>
      </c>
      <c r="M33" s="7">
        <f t="shared" si="5"/>
        <v>3140</v>
      </c>
      <c r="N33" s="7">
        <f t="shared" si="5"/>
        <v>6280</v>
      </c>
    </row>
    <row r="34" spans="1:14" x14ac:dyDescent="0.25">
      <c r="A34" s="2">
        <v>2</v>
      </c>
      <c r="B34" s="7">
        <f t="shared" ref="B34:N34" si="6">$B$25*SQRT(0.000001*$A34/B7)</f>
        <v>1.256</v>
      </c>
      <c r="C34" s="7">
        <f t="shared" si="6"/>
        <v>2.512</v>
      </c>
      <c r="D34" s="7">
        <f t="shared" si="6"/>
        <v>6.2800000000000011</v>
      </c>
      <c r="E34" s="7">
        <f t="shared" si="6"/>
        <v>12.560000000000002</v>
      </c>
      <c r="F34" s="7">
        <f t="shared" si="6"/>
        <v>25.120000000000005</v>
      </c>
      <c r="G34" s="7">
        <f t="shared" si="6"/>
        <v>62.8</v>
      </c>
      <c r="H34" s="7">
        <f t="shared" si="6"/>
        <v>125.6</v>
      </c>
      <c r="I34" s="7">
        <f t="shared" si="6"/>
        <v>251.2</v>
      </c>
      <c r="J34" s="7">
        <f t="shared" si="6"/>
        <v>628</v>
      </c>
      <c r="K34" s="7">
        <f t="shared" si="6"/>
        <v>1256</v>
      </c>
      <c r="L34" s="7">
        <f t="shared" si="6"/>
        <v>2512</v>
      </c>
      <c r="M34" s="7">
        <f t="shared" si="6"/>
        <v>6280</v>
      </c>
      <c r="N34" s="7">
        <f t="shared" si="6"/>
        <v>12560</v>
      </c>
    </row>
    <row r="35" spans="1:14" x14ac:dyDescent="0.25">
      <c r="A35" s="2">
        <v>5</v>
      </c>
      <c r="B35" s="7">
        <f t="shared" ref="B35:N35" si="7">$B$25*SQRT(0.000001*$A35/B8)</f>
        <v>3.1399999999999997</v>
      </c>
      <c r="C35" s="7">
        <f t="shared" si="7"/>
        <v>6.2799999999999994</v>
      </c>
      <c r="D35" s="7">
        <f t="shared" si="7"/>
        <v>15.7</v>
      </c>
      <c r="E35" s="7">
        <f t="shared" si="7"/>
        <v>31.4</v>
      </c>
      <c r="F35" s="7">
        <f t="shared" si="7"/>
        <v>62.8</v>
      </c>
      <c r="G35" s="7">
        <f t="shared" si="7"/>
        <v>156.99999999999997</v>
      </c>
      <c r="H35" s="7">
        <f t="shared" si="7"/>
        <v>313.99999999999994</v>
      </c>
      <c r="I35" s="7">
        <f t="shared" si="7"/>
        <v>627.99999999999989</v>
      </c>
      <c r="J35" s="7">
        <f t="shared" si="7"/>
        <v>1570</v>
      </c>
      <c r="K35" s="7">
        <f t="shared" si="7"/>
        <v>3140</v>
      </c>
      <c r="L35" s="7">
        <f t="shared" si="7"/>
        <v>6280</v>
      </c>
      <c r="M35" s="7">
        <f t="shared" si="7"/>
        <v>15700</v>
      </c>
      <c r="N35" s="7">
        <f t="shared" si="7"/>
        <v>31400</v>
      </c>
    </row>
    <row r="36" spans="1:14" x14ac:dyDescent="0.25">
      <c r="A36" s="2">
        <v>10</v>
      </c>
      <c r="B36" s="7">
        <f t="shared" ref="B36:N36" si="8">$B$25*SQRT(0.000001*$A36/B9)</f>
        <v>6.2799999999999994</v>
      </c>
      <c r="C36" s="7">
        <f t="shared" si="8"/>
        <v>12.559999999999999</v>
      </c>
      <c r="D36" s="7">
        <f t="shared" si="8"/>
        <v>31.4</v>
      </c>
      <c r="E36" s="7">
        <f t="shared" si="8"/>
        <v>62.8</v>
      </c>
      <c r="F36" s="7">
        <f t="shared" si="8"/>
        <v>125.6</v>
      </c>
      <c r="G36" s="7">
        <f t="shared" si="8"/>
        <v>313.99999999999994</v>
      </c>
      <c r="H36" s="7">
        <f t="shared" si="8"/>
        <v>627.99999999999989</v>
      </c>
      <c r="I36" s="7">
        <f t="shared" si="8"/>
        <v>1255.9999999999998</v>
      </c>
      <c r="J36" s="7">
        <f t="shared" si="8"/>
        <v>3140</v>
      </c>
      <c r="K36" s="7">
        <f t="shared" si="8"/>
        <v>6280</v>
      </c>
      <c r="L36" s="7">
        <f t="shared" si="8"/>
        <v>12560</v>
      </c>
      <c r="M36" s="7">
        <f t="shared" si="8"/>
        <v>31400</v>
      </c>
      <c r="N36" s="7">
        <f t="shared" si="8"/>
        <v>62800</v>
      </c>
    </row>
    <row r="37" spans="1:14" x14ac:dyDescent="0.25">
      <c r="A37" s="2">
        <v>20</v>
      </c>
      <c r="B37" s="7">
        <f t="shared" ref="B37:N37" si="9">$B$25*SQRT(0.000001*$A37/B10)</f>
        <v>12.559999999999999</v>
      </c>
      <c r="C37" s="7">
        <f t="shared" si="9"/>
        <v>25.119999999999997</v>
      </c>
      <c r="D37" s="7">
        <f t="shared" si="9"/>
        <v>62.8</v>
      </c>
      <c r="E37" s="7">
        <f t="shared" si="9"/>
        <v>125.6</v>
      </c>
      <c r="F37" s="7">
        <f t="shared" si="9"/>
        <v>251.2</v>
      </c>
      <c r="G37" s="7">
        <f t="shared" si="9"/>
        <v>627.99999999999989</v>
      </c>
      <c r="H37" s="7">
        <f t="shared" si="9"/>
        <v>1255.9999999999998</v>
      </c>
      <c r="I37" s="7">
        <f t="shared" si="9"/>
        <v>2511.9999999999995</v>
      </c>
      <c r="J37" s="7">
        <f t="shared" si="9"/>
        <v>6280</v>
      </c>
      <c r="K37" s="7">
        <f t="shared" si="9"/>
        <v>12560</v>
      </c>
      <c r="L37" s="7">
        <f t="shared" si="9"/>
        <v>25120</v>
      </c>
      <c r="M37" s="7">
        <f t="shared" si="9"/>
        <v>62800</v>
      </c>
      <c r="N37" s="7">
        <f t="shared" si="9"/>
        <v>125600</v>
      </c>
    </row>
    <row r="38" spans="1:14" x14ac:dyDescent="0.25">
      <c r="A38" s="2">
        <v>50</v>
      </c>
      <c r="B38" s="7">
        <f t="shared" ref="B38:N38" si="10">$B$25*SQRT(0.000001*$A38/B11)</f>
        <v>31.4</v>
      </c>
      <c r="C38" s="7">
        <f t="shared" si="10"/>
        <v>62.8</v>
      </c>
      <c r="D38" s="7">
        <f t="shared" si="10"/>
        <v>157</v>
      </c>
      <c r="E38" s="7">
        <f t="shared" si="10"/>
        <v>314</v>
      </c>
      <c r="F38" s="7">
        <f t="shared" si="10"/>
        <v>628</v>
      </c>
      <c r="G38" s="7">
        <f t="shared" si="10"/>
        <v>1569.9999999999998</v>
      </c>
      <c r="H38" s="7">
        <f t="shared" si="10"/>
        <v>3139.9999999999995</v>
      </c>
      <c r="I38" s="7">
        <f t="shared" si="10"/>
        <v>6279.9999999999991</v>
      </c>
      <c r="J38" s="7">
        <f t="shared" si="10"/>
        <v>15699.999999999996</v>
      </c>
      <c r="K38" s="7">
        <f t="shared" si="10"/>
        <v>31399.999999999993</v>
      </c>
      <c r="L38" s="7">
        <f t="shared" si="10"/>
        <v>62799.999999999985</v>
      </c>
      <c r="M38" s="7">
        <f t="shared" si="10"/>
        <v>156999.99999999997</v>
      </c>
      <c r="N38" s="7">
        <f t="shared" si="10"/>
        <v>313999.99999999994</v>
      </c>
    </row>
    <row r="39" spans="1:14" x14ac:dyDescent="0.25">
      <c r="A39">
        <v>100</v>
      </c>
      <c r="B39" s="5">
        <f t="shared" ref="B39:N39" si="11">$B$25*SQRT(0.000001*$A39/B12)</f>
        <v>62.8</v>
      </c>
      <c r="C39" s="5">
        <f t="shared" si="11"/>
        <v>125.6</v>
      </c>
      <c r="D39" s="5">
        <f t="shared" si="11"/>
        <v>314</v>
      </c>
      <c r="E39" s="5">
        <f t="shared" si="11"/>
        <v>628</v>
      </c>
      <c r="F39" s="5">
        <f t="shared" si="11"/>
        <v>1256</v>
      </c>
      <c r="G39" s="5">
        <f t="shared" si="11"/>
        <v>3139.9999999999995</v>
      </c>
      <c r="H39" s="5">
        <f t="shared" si="11"/>
        <v>6279.9999999999991</v>
      </c>
      <c r="I39" s="5">
        <f t="shared" si="11"/>
        <v>12559.999999999998</v>
      </c>
      <c r="J39" s="5">
        <f t="shared" si="11"/>
        <v>31399.999999999993</v>
      </c>
      <c r="K39" s="5">
        <f t="shared" si="11"/>
        <v>62799.999999999985</v>
      </c>
      <c r="L39" s="5">
        <f t="shared" si="11"/>
        <v>125599.99999999997</v>
      </c>
      <c r="M39" s="5">
        <f t="shared" si="11"/>
        <v>313999.99999999994</v>
      </c>
      <c r="N39" s="5">
        <f t="shared" si="11"/>
        <v>627999.99999999988</v>
      </c>
    </row>
    <row r="40" spans="1:14" x14ac:dyDescent="0.25">
      <c r="A40">
        <v>200</v>
      </c>
      <c r="B40" s="5">
        <f t="shared" ref="B40:N40" si="12">$B$25*SQRT(0.000001*$A40/B13)</f>
        <v>125.6</v>
      </c>
      <c r="C40" s="5">
        <f t="shared" si="12"/>
        <v>251.2</v>
      </c>
      <c r="D40" s="5">
        <f t="shared" si="12"/>
        <v>628</v>
      </c>
      <c r="E40" s="5">
        <f t="shared" si="12"/>
        <v>1256</v>
      </c>
      <c r="F40" s="5">
        <f t="shared" si="12"/>
        <v>2512</v>
      </c>
      <c r="G40" s="5">
        <f t="shared" si="12"/>
        <v>6279.9999999999991</v>
      </c>
      <c r="H40" s="5">
        <f t="shared" si="12"/>
        <v>12559.999999999998</v>
      </c>
      <c r="I40" s="5">
        <f t="shared" si="12"/>
        <v>25119.999999999996</v>
      </c>
      <c r="J40" s="5">
        <f t="shared" si="12"/>
        <v>62799.999999999985</v>
      </c>
      <c r="K40" s="5">
        <f t="shared" si="12"/>
        <v>125599.99999999997</v>
      </c>
      <c r="L40" s="5">
        <f t="shared" si="12"/>
        <v>251199.99999999994</v>
      </c>
      <c r="M40" s="5">
        <f t="shared" si="12"/>
        <v>627999.99999999988</v>
      </c>
      <c r="N40" s="5">
        <f t="shared" si="12"/>
        <v>1255999.9999999998</v>
      </c>
    </row>
    <row r="41" spans="1:14" x14ac:dyDescent="0.25">
      <c r="A41">
        <v>500</v>
      </c>
      <c r="B41" s="5">
        <f t="shared" ref="B41:N41" si="13">$B$25*SQRT(0.000001*$A41/B14)</f>
        <v>314</v>
      </c>
      <c r="C41" s="5">
        <f t="shared" si="13"/>
        <v>628</v>
      </c>
      <c r="D41" s="5">
        <f t="shared" si="13"/>
        <v>1570</v>
      </c>
      <c r="E41" s="5">
        <f t="shared" si="13"/>
        <v>3140</v>
      </c>
      <c r="F41" s="5">
        <f t="shared" si="13"/>
        <v>6280</v>
      </c>
      <c r="G41" s="5">
        <f t="shared" si="13"/>
        <v>15700</v>
      </c>
      <c r="H41" s="5">
        <f t="shared" si="13"/>
        <v>31400</v>
      </c>
      <c r="I41" s="5">
        <f t="shared" si="13"/>
        <v>62800</v>
      </c>
      <c r="J41" s="5">
        <f t="shared" si="13"/>
        <v>157000</v>
      </c>
      <c r="K41" s="5">
        <f t="shared" si="13"/>
        <v>314000</v>
      </c>
      <c r="L41" s="5">
        <f t="shared" si="13"/>
        <v>628000</v>
      </c>
      <c r="M41" s="5">
        <f t="shared" si="13"/>
        <v>1569999.9999999998</v>
      </c>
      <c r="N41" s="5">
        <f t="shared" si="13"/>
        <v>3139999.9999999995</v>
      </c>
    </row>
    <row r="42" spans="1:14" x14ac:dyDescent="0.25">
      <c r="A42">
        <v>1000</v>
      </c>
      <c r="B42" s="5">
        <f t="shared" ref="B42:N42" si="14">$B$25*SQRT(0.000001*$A42/B15)</f>
        <v>628</v>
      </c>
      <c r="C42" s="5">
        <f t="shared" si="14"/>
        <v>1256</v>
      </c>
      <c r="D42" s="5">
        <f t="shared" si="14"/>
        <v>3140</v>
      </c>
      <c r="E42" s="5">
        <f t="shared" si="14"/>
        <v>6280</v>
      </c>
      <c r="F42" s="5">
        <f t="shared" si="14"/>
        <v>12560</v>
      </c>
      <c r="G42" s="5">
        <f t="shared" si="14"/>
        <v>31400</v>
      </c>
      <c r="H42" s="5">
        <f t="shared" si="14"/>
        <v>62800</v>
      </c>
      <c r="I42" s="5">
        <f t="shared" si="14"/>
        <v>125600</v>
      </c>
      <c r="J42" s="5">
        <f t="shared" si="14"/>
        <v>314000</v>
      </c>
      <c r="K42" s="5">
        <f t="shared" si="14"/>
        <v>628000</v>
      </c>
      <c r="L42" s="5">
        <f t="shared" si="14"/>
        <v>1256000</v>
      </c>
      <c r="M42" s="5">
        <f t="shared" si="14"/>
        <v>3139999.9999999995</v>
      </c>
      <c r="N42" s="5">
        <f t="shared" si="14"/>
        <v>6279999.9999999991</v>
      </c>
    </row>
    <row r="43" spans="1:14" x14ac:dyDescent="0.25">
      <c r="A43">
        <v>2000</v>
      </c>
      <c r="B43" s="5">
        <f t="shared" ref="B43:N43" si="15">$B$25*SQRT(0.000001*$A43/B16)</f>
        <v>1256</v>
      </c>
      <c r="C43" s="5">
        <f t="shared" si="15"/>
        <v>2512</v>
      </c>
      <c r="D43" s="5">
        <f t="shared" si="15"/>
        <v>6280</v>
      </c>
      <c r="E43" s="5">
        <f t="shared" si="15"/>
        <v>12560</v>
      </c>
      <c r="F43" s="5">
        <f t="shared" si="15"/>
        <v>25120</v>
      </c>
      <c r="G43" s="5">
        <f t="shared" si="15"/>
        <v>62800</v>
      </c>
      <c r="H43" s="5">
        <f t="shared" si="15"/>
        <v>125600</v>
      </c>
      <c r="I43" s="5">
        <f t="shared" si="15"/>
        <v>251200</v>
      </c>
      <c r="J43" s="5">
        <f t="shared" si="15"/>
        <v>628000</v>
      </c>
      <c r="K43" s="5">
        <f t="shared" si="15"/>
        <v>1256000</v>
      </c>
      <c r="L43" s="5">
        <f t="shared" si="15"/>
        <v>2512000</v>
      </c>
      <c r="M43" s="5">
        <f t="shared" si="15"/>
        <v>6279999.9999999991</v>
      </c>
      <c r="N43" s="5">
        <f t="shared" si="15"/>
        <v>12559999.999999998</v>
      </c>
    </row>
    <row r="44" spans="1:14" x14ac:dyDescent="0.25">
      <c r="A44">
        <v>5000</v>
      </c>
      <c r="B44" s="5">
        <f t="shared" ref="B44:N44" si="16">$B$25*SQRT(0.000001*$A44/B17)</f>
        <v>3140</v>
      </c>
      <c r="C44" s="5">
        <f t="shared" si="16"/>
        <v>6280</v>
      </c>
      <c r="D44" s="5">
        <f t="shared" si="16"/>
        <v>15699.999999999996</v>
      </c>
      <c r="E44" s="5">
        <f t="shared" si="16"/>
        <v>31399.999999999993</v>
      </c>
      <c r="F44" s="5">
        <f t="shared" si="16"/>
        <v>62799.999999999985</v>
      </c>
      <c r="G44" s="5">
        <f t="shared" si="16"/>
        <v>156999.99999999997</v>
      </c>
      <c r="H44" s="5">
        <f t="shared" si="16"/>
        <v>313999.99999999994</v>
      </c>
      <c r="I44" s="5">
        <f t="shared" si="16"/>
        <v>627999.99999999988</v>
      </c>
      <c r="J44" s="5">
        <f t="shared" si="16"/>
        <v>1569999.9999999998</v>
      </c>
      <c r="K44" s="5">
        <f t="shared" si="16"/>
        <v>3139999.9999999995</v>
      </c>
      <c r="L44" s="5">
        <f t="shared" si="16"/>
        <v>6279999.9999999991</v>
      </c>
      <c r="M44" s="5">
        <f t="shared" si="16"/>
        <v>15700000</v>
      </c>
      <c r="N44" s="5">
        <f t="shared" si="16"/>
        <v>31400000</v>
      </c>
    </row>
    <row r="45" spans="1:14" x14ac:dyDescent="0.25">
      <c r="A45">
        <v>10000</v>
      </c>
      <c r="B45" s="5">
        <f t="shared" ref="B45:N45" si="17">$B$25*SQRT(0.000001*$A45/B18)</f>
        <v>6280</v>
      </c>
      <c r="C45" s="5">
        <f t="shared" si="17"/>
        <v>12560</v>
      </c>
      <c r="D45" s="5">
        <f t="shared" si="17"/>
        <v>31399.999999999993</v>
      </c>
      <c r="E45" s="5">
        <f t="shared" si="17"/>
        <v>62799.999999999985</v>
      </c>
      <c r="F45" s="5">
        <f t="shared" si="17"/>
        <v>125599.99999999997</v>
      </c>
      <c r="G45" s="5">
        <f t="shared" si="17"/>
        <v>313999.99999999994</v>
      </c>
      <c r="H45" s="5">
        <f t="shared" si="17"/>
        <v>627999.99999999988</v>
      </c>
      <c r="I45" s="5">
        <f t="shared" si="17"/>
        <v>1255999.9999999998</v>
      </c>
      <c r="J45" s="5">
        <f t="shared" si="17"/>
        <v>3139999.9999999995</v>
      </c>
      <c r="K45" s="5">
        <f t="shared" si="17"/>
        <v>6279999.9999999991</v>
      </c>
      <c r="L45" s="5">
        <f t="shared" si="17"/>
        <v>12559999.999999998</v>
      </c>
      <c r="M45" s="5">
        <f t="shared" si="17"/>
        <v>31400000</v>
      </c>
      <c r="N45" s="5">
        <f t="shared" si="17"/>
        <v>62800000</v>
      </c>
    </row>
    <row r="46" spans="1:14" x14ac:dyDescent="0.25">
      <c r="A46">
        <v>20000</v>
      </c>
      <c r="B46" s="5">
        <f t="shared" ref="B46:N46" si="18">$B$25*SQRT(0.000001*$A46/B19)</f>
        <v>12560</v>
      </c>
      <c r="C46" s="5">
        <f t="shared" si="18"/>
        <v>25120</v>
      </c>
      <c r="D46" s="5">
        <f t="shared" si="18"/>
        <v>62799.999999999985</v>
      </c>
      <c r="E46" s="5">
        <f t="shared" si="18"/>
        <v>125599.99999999997</v>
      </c>
      <c r="F46" s="5">
        <f t="shared" si="18"/>
        <v>251199.99999999994</v>
      </c>
      <c r="G46" s="5">
        <f t="shared" si="18"/>
        <v>627999.99999999988</v>
      </c>
      <c r="H46" s="5">
        <f t="shared" si="18"/>
        <v>1255999.9999999998</v>
      </c>
      <c r="I46" s="5">
        <f t="shared" si="18"/>
        <v>2511999.9999999995</v>
      </c>
      <c r="J46" s="5">
        <f t="shared" si="18"/>
        <v>6279999.9999999991</v>
      </c>
      <c r="K46" s="5">
        <f t="shared" si="18"/>
        <v>12559999.999999998</v>
      </c>
      <c r="L46" s="5">
        <f t="shared" si="18"/>
        <v>25119999.999999996</v>
      </c>
      <c r="M46" s="5">
        <f t="shared" si="18"/>
        <v>62800000</v>
      </c>
      <c r="N46" s="5">
        <f t="shared" si="18"/>
        <v>125600000</v>
      </c>
    </row>
    <row r="47" spans="1:14" x14ac:dyDescent="0.25">
      <c r="A47">
        <v>50000</v>
      </c>
      <c r="B47" s="5">
        <f t="shared" ref="B47:N47" si="19">$B$25*SQRT(0.000001*$A47/B20)</f>
        <v>31400</v>
      </c>
      <c r="C47" s="5">
        <f t="shared" si="19"/>
        <v>62800</v>
      </c>
      <c r="D47" s="5">
        <f t="shared" si="19"/>
        <v>156999.99999999997</v>
      </c>
      <c r="E47" s="5">
        <f t="shared" si="19"/>
        <v>313999.99999999994</v>
      </c>
      <c r="F47" s="5">
        <f t="shared" si="19"/>
        <v>627999.99999999988</v>
      </c>
      <c r="G47" s="5">
        <f t="shared" si="19"/>
        <v>1569999.9999999995</v>
      </c>
      <c r="H47" s="5">
        <f t="shared" si="19"/>
        <v>3139999.9999999991</v>
      </c>
      <c r="I47" s="5">
        <f t="shared" si="19"/>
        <v>6279999.9999999981</v>
      </c>
      <c r="J47" s="5">
        <f t="shared" si="19"/>
        <v>15700000</v>
      </c>
      <c r="K47" s="5">
        <f t="shared" si="19"/>
        <v>31400000</v>
      </c>
      <c r="L47" s="5">
        <f t="shared" si="19"/>
        <v>62800000</v>
      </c>
      <c r="M47" s="5">
        <f t="shared" si="19"/>
        <v>157000000</v>
      </c>
      <c r="N47" s="5">
        <f t="shared" si="19"/>
        <v>314000000</v>
      </c>
    </row>
    <row r="48" spans="1:14" x14ac:dyDescent="0.25">
      <c r="A48">
        <v>100000</v>
      </c>
      <c r="B48" s="5">
        <f t="shared" ref="B48:N48" si="20">$B$25*SQRT(0.000001*$A48/B21)</f>
        <v>62800</v>
      </c>
      <c r="C48" s="5">
        <f t="shared" si="20"/>
        <v>125600</v>
      </c>
      <c r="D48" s="5">
        <f t="shared" si="20"/>
        <v>313999.99999999994</v>
      </c>
      <c r="E48" s="5">
        <f t="shared" si="20"/>
        <v>627999.99999999988</v>
      </c>
      <c r="F48" s="5">
        <f t="shared" si="20"/>
        <v>1255999.9999999998</v>
      </c>
      <c r="G48" s="5">
        <f t="shared" si="20"/>
        <v>3139999.9999999991</v>
      </c>
      <c r="H48" s="5">
        <f t="shared" si="20"/>
        <v>6279999.9999999981</v>
      </c>
      <c r="I48" s="5">
        <f t="shared" si="20"/>
        <v>12559999.999999996</v>
      </c>
      <c r="J48" s="5">
        <f t="shared" si="20"/>
        <v>31400000</v>
      </c>
      <c r="K48" s="5">
        <f t="shared" si="20"/>
        <v>62800000</v>
      </c>
      <c r="L48" s="5">
        <f t="shared" si="20"/>
        <v>125600000</v>
      </c>
      <c r="M48" s="5">
        <f t="shared" si="20"/>
        <v>314000000</v>
      </c>
      <c r="N48" s="5">
        <f t="shared" si="20"/>
        <v>628000000</v>
      </c>
    </row>
  </sheetData>
  <conditionalFormatting sqref="B3:N21">
    <cfRule type="cellIs" dxfId="4" priority="3" operator="between">
      <formula>$B$23</formula>
      <formula>$B$24</formula>
    </cfRule>
  </conditionalFormatting>
  <conditionalFormatting sqref="B30:N48">
    <cfRule type="cellIs" dxfId="3" priority="1" operator="greaterThan">
      <formula>$B$26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workbookViewId="0">
      <selection activeCell="M12" sqref="M12"/>
    </sheetView>
  </sheetViews>
  <sheetFormatPr defaultRowHeight="15" x14ac:dyDescent="0.25"/>
  <cols>
    <col min="3" max="3" width="11.5703125" bestFit="1" customWidth="1"/>
    <col min="11" max="11" width="10.42578125" customWidth="1"/>
  </cols>
  <sheetData>
    <row r="2" spans="2:11" x14ac:dyDescent="0.25">
      <c r="B2" t="s">
        <v>80</v>
      </c>
      <c r="C2">
        <v>100</v>
      </c>
      <c r="D2">
        <v>200</v>
      </c>
      <c r="E2">
        <v>500</v>
      </c>
      <c r="F2">
        <v>1000</v>
      </c>
      <c r="G2">
        <v>2000</v>
      </c>
      <c r="H2">
        <v>5000</v>
      </c>
      <c r="I2">
        <v>10000</v>
      </c>
      <c r="J2">
        <v>20000</v>
      </c>
      <c r="K2">
        <v>50000</v>
      </c>
    </row>
    <row r="3" spans="2:11" x14ac:dyDescent="0.25">
      <c r="B3" t="s">
        <v>20</v>
      </c>
      <c r="C3" t="s">
        <v>81</v>
      </c>
      <c r="D3" t="s">
        <v>81</v>
      </c>
      <c r="E3" t="s">
        <v>81</v>
      </c>
      <c r="F3" t="s">
        <v>81</v>
      </c>
      <c r="G3" t="s">
        <v>81</v>
      </c>
      <c r="H3" t="s">
        <v>81</v>
      </c>
      <c r="I3" t="s">
        <v>81</v>
      </c>
      <c r="J3" t="s">
        <v>81</v>
      </c>
      <c r="K3" t="s">
        <v>81</v>
      </c>
    </row>
    <row r="4" spans="2:11" x14ac:dyDescent="0.25">
      <c r="B4">
        <v>0.1</v>
      </c>
      <c r="C4" s="10">
        <f>1000000000*1/(4*3.14*3.14*(C$2*1000)^2*$B4*0.000001)</f>
        <v>25355.998214937725</v>
      </c>
      <c r="D4" s="10">
        <f t="shared" ref="D4:K4" si="0">1000000000*1/(4*3.14*3.14*(D$2*1000)^2*$B4*0.000001)</f>
        <v>6338.9995537344312</v>
      </c>
      <c r="E4" s="10">
        <f t="shared" si="0"/>
        <v>1014.239928597509</v>
      </c>
      <c r="F4" s="10">
        <f t="shared" si="0"/>
        <v>253.55998214937725</v>
      </c>
      <c r="G4" s="10">
        <f t="shared" si="0"/>
        <v>63.389995537344312</v>
      </c>
      <c r="H4" s="10">
        <f t="shared" si="0"/>
        <v>10.14239928597509</v>
      </c>
      <c r="I4" s="10">
        <f t="shared" si="0"/>
        <v>2.5355998214937725</v>
      </c>
      <c r="J4" s="10">
        <f t="shared" si="0"/>
        <v>0.63389995537344312</v>
      </c>
      <c r="K4" s="10">
        <f t="shared" si="0"/>
        <v>0.1014239928597509</v>
      </c>
    </row>
    <row r="5" spans="2:11" x14ac:dyDescent="0.25">
      <c r="B5">
        <v>0.2</v>
      </c>
      <c r="C5" s="10">
        <f t="shared" ref="C5:K16" si="1">1000000000*1/(4*3.14*3.14*(C$2*1000)^2*$B5*0.000001)</f>
        <v>12677.999107468862</v>
      </c>
      <c r="D5" s="10">
        <f t="shared" si="1"/>
        <v>3169.4997768672156</v>
      </c>
      <c r="E5" s="10">
        <f t="shared" si="1"/>
        <v>507.1199642987545</v>
      </c>
      <c r="F5" s="10">
        <f t="shared" si="1"/>
        <v>126.77999107468862</v>
      </c>
      <c r="G5" s="10">
        <f t="shared" si="1"/>
        <v>31.694997768672156</v>
      </c>
      <c r="H5" s="10">
        <f t="shared" si="1"/>
        <v>5.071199642987545</v>
      </c>
      <c r="I5" s="10">
        <f t="shared" si="1"/>
        <v>1.2677999107468862</v>
      </c>
      <c r="J5" s="10">
        <f t="shared" si="1"/>
        <v>0.31694997768672156</v>
      </c>
      <c r="K5" s="10">
        <f t="shared" si="1"/>
        <v>5.071199642987545E-2</v>
      </c>
    </row>
    <row r="6" spans="2:11" x14ac:dyDescent="0.25">
      <c r="B6">
        <v>0.5</v>
      </c>
      <c r="C6" s="10">
        <f t="shared" si="1"/>
        <v>5071.1996429875453</v>
      </c>
      <c r="D6" s="10">
        <f t="shared" si="1"/>
        <v>1267.7999107468863</v>
      </c>
      <c r="E6" s="10">
        <f t="shared" si="1"/>
        <v>202.84798571950179</v>
      </c>
      <c r="F6" s="10">
        <f t="shared" si="1"/>
        <v>50.711996429875448</v>
      </c>
      <c r="G6" s="10">
        <f t="shared" si="1"/>
        <v>12.677999107468862</v>
      </c>
      <c r="H6" s="10">
        <f t="shared" si="1"/>
        <v>2.028479857195018</v>
      </c>
      <c r="I6" s="10">
        <f t="shared" si="1"/>
        <v>0.5071199642987545</v>
      </c>
      <c r="J6" s="10">
        <f t="shared" si="1"/>
        <v>0.12677999107468862</v>
      </c>
      <c r="K6" s="10">
        <f t="shared" si="1"/>
        <v>2.0284798571950181E-2</v>
      </c>
    </row>
    <row r="7" spans="2:11" x14ac:dyDescent="0.25">
      <c r="B7">
        <v>1</v>
      </c>
      <c r="C7" s="10">
        <f t="shared" si="1"/>
        <v>2535.5998214937727</v>
      </c>
      <c r="D7" s="10">
        <f t="shared" si="1"/>
        <v>633.89995537344316</v>
      </c>
      <c r="E7" s="10">
        <f t="shared" si="1"/>
        <v>101.4239928597509</v>
      </c>
      <c r="F7" s="10">
        <f t="shared" si="1"/>
        <v>25.355998214937724</v>
      </c>
      <c r="G7" s="10">
        <f t="shared" si="1"/>
        <v>6.338999553734431</v>
      </c>
      <c r="H7" s="10">
        <f t="shared" si="1"/>
        <v>1.014239928597509</v>
      </c>
      <c r="I7" s="10">
        <f t="shared" si="1"/>
        <v>0.25355998214937725</v>
      </c>
      <c r="J7" s="10">
        <f t="shared" si="1"/>
        <v>6.3389995537344312E-2</v>
      </c>
      <c r="K7" s="10">
        <f t="shared" si="1"/>
        <v>1.0142399285975091E-2</v>
      </c>
    </row>
    <row r="8" spans="2:11" x14ac:dyDescent="0.25">
      <c r="B8">
        <v>2</v>
      </c>
      <c r="C8" s="10">
        <f t="shared" si="1"/>
        <v>1267.7999107468863</v>
      </c>
      <c r="D8" s="10">
        <f t="shared" si="1"/>
        <v>316.94997768672158</v>
      </c>
      <c r="E8" s="10">
        <f t="shared" si="1"/>
        <v>50.711996429875448</v>
      </c>
      <c r="F8" s="10">
        <f t="shared" si="1"/>
        <v>12.677999107468862</v>
      </c>
      <c r="G8" s="10">
        <f t="shared" si="1"/>
        <v>3.1694997768672155</v>
      </c>
      <c r="H8" s="10">
        <f t="shared" si="1"/>
        <v>0.5071199642987545</v>
      </c>
      <c r="I8" s="10">
        <f t="shared" si="1"/>
        <v>0.12677999107468862</v>
      </c>
      <c r="J8" s="10">
        <f t="shared" si="1"/>
        <v>3.1694997768672156E-2</v>
      </c>
      <c r="K8" s="10">
        <f t="shared" si="1"/>
        <v>5.0711996429875453E-3</v>
      </c>
    </row>
    <row r="9" spans="2:11" x14ac:dyDescent="0.25">
      <c r="B9">
        <v>5</v>
      </c>
      <c r="C9" s="10">
        <f t="shared" si="1"/>
        <v>507.1199642987545</v>
      </c>
      <c r="D9" s="10">
        <f t="shared" si="1"/>
        <v>126.77999107468862</v>
      </c>
      <c r="E9" s="10">
        <f t="shared" si="1"/>
        <v>20.28479857195018</v>
      </c>
      <c r="F9" s="10">
        <f t="shared" si="1"/>
        <v>5.071199642987545</v>
      </c>
      <c r="G9" s="10">
        <f t="shared" si="1"/>
        <v>1.2677999107468862</v>
      </c>
      <c r="H9" s="10">
        <f t="shared" si="1"/>
        <v>0.2028479857195018</v>
      </c>
      <c r="I9" s="10">
        <f t="shared" si="1"/>
        <v>5.071199642987545E-2</v>
      </c>
      <c r="J9" s="10">
        <f t="shared" si="1"/>
        <v>1.2677999107468862E-2</v>
      </c>
      <c r="K9" s="10">
        <f t="shared" si="1"/>
        <v>2.0284798571950182E-3</v>
      </c>
    </row>
    <row r="10" spans="2:11" x14ac:dyDescent="0.25">
      <c r="B10">
        <v>10</v>
      </c>
      <c r="C10" s="10">
        <f t="shared" si="1"/>
        <v>253.55998214937725</v>
      </c>
      <c r="D10" s="10">
        <f t="shared" si="1"/>
        <v>63.389995537344312</v>
      </c>
      <c r="E10" s="10">
        <f t="shared" si="1"/>
        <v>10.14239928597509</v>
      </c>
      <c r="F10" s="10">
        <f t="shared" si="1"/>
        <v>2.5355998214937725</v>
      </c>
      <c r="G10" s="10">
        <f t="shared" si="1"/>
        <v>0.63389995537344312</v>
      </c>
      <c r="H10" s="10">
        <f t="shared" si="1"/>
        <v>0.1014239928597509</v>
      </c>
      <c r="I10" s="10">
        <f t="shared" si="1"/>
        <v>2.5355998214937725E-2</v>
      </c>
      <c r="J10" s="10">
        <f t="shared" si="1"/>
        <v>6.3389995537344312E-3</v>
      </c>
      <c r="K10" s="10">
        <f t="shared" si="1"/>
        <v>1.0142399285975091E-3</v>
      </c>
    </row>
    <row r="11" spans="2:11" x14ac:dyDescent="0.25">
      <c r="B11">
        <v>20</v>
      </c>
      <c r="C11" s="10">
        <f t="shared" si="1"/>
        <v>126.77999107468862</v>
      </c>
      <c r="D11" s="10">
        <f t="shared" si="1"/>
        <v>31.694997768672156</v>
      </c>
      <c r="E11" s="10">
        <f t="shared" si="1"/>
        <v>5.071199642987545</v>
      </c>
      <c r="F11" s="10">
        <f t="shared" si="1"/>
        <v>1.2677999107468862</v>
      </c>
      <c r="G11" s="10">
        <f t="shared" si="1"/>
        <v>0.31694997768672156</v>
      </c>
      <c r="H11" s="10">
        <f t="shared" si="1"/>
        <v>5.071199642987545E-2</v>
      </c>
      <c r="I11" s="10">
        <f t="shared" si="1"/>
        <v>1.2677999107468862E-2</v>
      </c>
      <c r="J11" s="10">
        <f t="shared" si="1"/>
        <v>3.1694997768672156E-3</v>
      </c>
      <c r="K11" s="10">
        <f t="shared" si="1"/>
        <v>5.0711996429875456E-4</v>
      </c>
    </row>
    <row r="12" spans="2:11" x14ac:dyDescent="0.25">
      <c r="B12">
        <v>50</v>
      </c>
      <c r="C12" s="10">
        <f t="shared" si="1"/>
        <v>50.711996429875448</v>
      </c>
      <c r="D12" s="10">
        <f t="shared" si="1"/>
        <v>12.677999107468862</v>
      </c>
      <c r="E12" s="10">
        <f t="shared" si="1"/>
        <v>2.028479857195018</v>
      </c>
      <c r="F12" s="10">
        <f t="shared" si="1"/>
        <v>0.5071199642987545</v>
      </c>
      <c r="G12" s="10">
        <f t="shared" si="1"/>
        <v>0.12677999107468862</v>
      </c>
      <c r="H12" s="10">
        <f t="shared" si="1"/>
        <v>2.0284798571950181E-2</v>
      </c>
      <c r="I12" s="10">
        <f t="shared" si="1"/>
        <v>5.0711996429875453E-3</v>
      </c>
      <c r="J12" s="10">
        <f t="shared" si="1"/>
        <v>1.2677999107468863E-3</v>
      </c>
      <c r="K12" s="10">
        <f t="shared" si="1"/>
        <v>2.028479857195018E-4</v>
      </c>
    </row>
    <row r="13" spans="2:11" x14ac:dyDescent="0.25">
      <c r="B13">
        <v>100</v>
      </c>
      <c r="C13" s="10">
        <f t="shared" si="1"/>
        <v>25.355998214937724</v>
      </c>
      <c r="D13" s="10">
        <f t="shared" si="1"/>
        <v>6.338999553734431</v>
      </c>
      <c r="E13" s="10">
        <f t="shared" si="1"/>
        <v>1.014239928597509</v>
      </c>
      <c r="F13" s="10">
        <f t="shared" si="1"/>
        <v>0.25355998214937725</v>
      </c>
      <c r="G13" s="10">
        <f t="shared" si="1"/>
        <v>6.3389995537344312E-2</v>
      </c>
      <c r="H13" s="10">
        <f t="shared" si="1"/>
        <v>1.0142399285975091E-2</v>
      </c>
      <c r="I13" s="10">
        <f t="shared" si="1"/>
        <v>2.5355998214937727E-3</v>
      </c>
      <c r="J13" s="10">
        <f t="shared" si="1"/>
        <v>6.3389995537344317E-4</v>
      </c>
      <c r="K13" s="10">
        <f t="shared" si="1"/>
        <v>1.014239928597509E-4</v>
      </c>
    </row>
    <row r="14" spans="2:11" x14ac:dyDescent="0.25">
      <c r="B14">
        <v>200</v>
      </c>
      <c r="C14" s="10">
        <f t="shared" si="1"/>
        <v>12.677999107468862</v>
      </c>
      <c r="D14" s="10">
        <f t="shared" si="1"/>
        <v>3.1694997768672155</v>
      </c>
      <c r="E14" s="10">
        <f t="shared" si="1"/>
        <v>0.5071199642987545</v>
      </c>
      <c r="F14" s="10">
        <f t="shared" si="1"/>
        <v>0.12677999107468862</v>
      </c>
      <c r="G14" s="10">
        <f t="shared" si="1"/>
        <v>3.1694997768672156E-2</v>
      </c>
      <c r="H14" s="10">
        <f t="shared" si="1"/>
        <v>5.0711996429875453E-3</v>
      </c>
      <c r="I14" s="10">
        <f t="shared" si="1"/>
        <v>1.2677999107468863E-3</v>
      </c>
      <c r="J14" s="10">
        <f t="shared" si="1"/>
        <v>3.1694997768672158E-4</v>
      </c>
      <c r="K14" s="10">
        <f t="shared" si="1"/>
        <v>5.0711996429875449E-5</v>
      </c>
    </row>
    <row r="15" spans="2:11" x14ac:dyDescent="0.25">
      <c r="B15">
        <v>500</v>
      </c>
      <c r="C15" s="10">
        <f t="shared" si="1"/>
        <v>5.071199642987545</v>
      </c>
      <c r="D15" s="10">
        <f t="shared" si="1"/>
        <v>1.2677999107468862</v>
      </c>
      <c r="E15" s="10">
        <f t="shared" si="1"/>
        <v>0.2028479857195018</v>
      </c>
      <c r="F15" s="10">
        <f t="shared" si="1"/>
        <v>5.071199642987545E-2</v>
      </c>
      <c r="G15" s="10">
        <f t="shared" si="1"/>
        <v>1.2677999107468862E-2</v>
      </c>
      <c r="H15" s="10">
        <f t="shared" si="1"/>
        <v>2.0284798571950182E-3</v>
      </c>
      <c r="I15" s="10">
        <f t="shared" si="1"/>
        <v>5.0711996429875456E-4</v>
      </c>
      <c r="J15" s="10">
        <f t="shared" si="1"/>
        <v>1.2677999107468864E-4</v>
      </c>
      <c r="K15" s="10">
        <f t="shared" si="1"/>
        <v>2.0284798571950179E-5</v>
      </c>
    </row>
    <row r="16" spans="2:11" x14ac:dyDescent="0.25">
      <c r="B16">
        <v>1000</v>
      </c>
      <c r="C16" s="10">
        <f t="shared" si="1"/>
        <v>2.5355998214937725</v>
      </c>
      <c r="D16" s="10">
        <f t="shared" si="1"/>
        <v>0.63389995537344312</v>
      </c>
      <c r="E16" s="10">
        <f t="shared" si="1"/>
        <v>0.1014239928597509</v>
      </c>
      <c r="F16" s="10">
        <f t="shared" si="1"/>
        <v>2.5355998214937725E-2</v>
      </c>
      <c r="G16" s="10">
        <f t="shared" si="1"/>
        <v>6.3389995537344312E-3</v>
      </c>
      <c r="H16" s="10">
        <f t="shared" si="1"/>
        <v>1.0142399285975091E-3</v>
      </c>
      <c r="I16" s="10">
        <f t="shared" si="1"/>
        <v>2.5355998214937728E-4</v>
      </c>
      <c r="J16" s="10">
        <f t="shared" si="1"/>
        <v>6.338999553734432E-5</v>
      </c>
      <c r="K16" s="10">
        <f t="shared" si="1"/>
        <v>1.0142399285975089E-5</v>
      </c>
    </row>
    <row r="18" spans="2:11" x14ac:dyDescent="0.25">
      <c r="B18" t="s">
        <v>7</v>
      </c>
      <c r="C18">
        <v>15</v>
      </c>
    </row>
    <row r="19" spans="2:11" x14ac:dyDescent="0.25">
      <c r="B19" t="s">
        <v>80</v>
      </c>
      <c r="C19">
        <v>100</v>
      </c>
      <c r="D19">
        <v>200</v>
      </c>
      <c r="E19">
        <v>500</v>
      </c>
      <c r="F19">
        <v>1000</v>
      </c>
      <c r="G19">
        <v>2000</v>
      </c>
      <c r="H19">
        <v>5000</v>
      </c>
      <c r="I19">
        <v>10000</v>
      </c>
      <c r="J19">
        <v>20000</v>
      </c>
      <c r="K19">
        <v>50000</v>
      </c>
    </row>
    <row r="20" spans="2:11" x14ac:dyDescent="0.25">
      <c r="B20" t="s">
        <v>20</v>
      </c>
      <c r="C20" t="s">
        <v>82</v>
      </c>
      <c r="D20" t="s">
        <v>82</v>
      </c>
      <c r="E20" t="s">
        <v>82</v>
      </c>
      <c r="F20" t="s">
        <v>82</v>
      </c>
      <c r="G20" t="s">
        <v>82</v>
      </c>
      <c r="H20" t="s">
        <v>82</v>
      </c>
      <c r="I20" t="s">
        <v>82</v>
      </c>
      <c r="J20" t="s">
        <v>82</v>
      </c>
      <c r="K20" t="s">
        <v>82</v>
      </c>
    </row>
    <row r="21" spans="2:11" x14ac:dyDescent="0.25">
      <c r="B21">
        <v>0.1</v>
      </c>
      <c r="C21" s="11">
        <f>$C$18*SQRT($B21*0.000001/(C4*0.000000001))/1000</f>
        <v>9.4199999999999991E-4</v>
      </c>
      <c r="D21" s="11">
        <f t="shared" ref="D21:K21" si="2">$C$18*SQRT($B21*0.000001/(D4*0.000000001))/1000</f>
        <v>1.8839999999999998E-3</v>
      </c>
      <c r="E21" s="11">
        <f t="shared" si="2"/>
        <v>4.7099999999999998E-3</v>
      </c>
      <c r="F21" s="11">
        <f t="shared" si="2"/>
        <v>9.4199999999999996E-3</v>
      </c>
      <c r="G21" s="11">
        <f t="shared" si="2"/>
        <v>1.8839999999999999E-2</v>
      </c>
      <c r="H21" s="11">
        <f t="shared" si="2"/>
        <v>4.7099999999999996E-2</v>
      </c>
      <c r="I21" s="11">
        <f t="shared" si="2"/>
        <v>9.4199999999999992E-2</v>
      </c>
      <c r="J21" s="11">
        <f t="shared" si="2"/>
        <v>0.18839999999999998</v>
      </c>
      <c r="K21" s="11">
        <f t="shared" si="2"/>
        <v>0.47099999999999997</v>
      </c>
    </row>
    <row r="22" spans="2:11" x14ac:dyDescent="0.25">
      <c r="B22">
        <v>0.2</v>
      </c>
      <c r="C22" s="11">
        <f t="shared" ref="C22:K22" si="3">$C$18*SQRT($B22*0.000001/(C5*0.000000001))/1000</f>
        <v>1.8839999999999998E-3</v>
      </c>
      <c r="D22" s="11">
        <f t="shared" si="3"/>
        <v>3.7679999999999996E-3</v>
      </c>
      <c r="E22" s="11">
        <f t="shared" si="3"/>
        <v>9.4199999999999996E-3</v>
      </c>
      <c r="F22" s="11">
        <f t="shared" si="3"/>
        <v>1.8839999999999999E-2</v>
      </c>
      <c r="G22" s="11">
        <f t="shared" si="3"/>
        <v>3.7679999999999998E-2</v>
      </c>
      <c r="H22" s="11">
        <f t="shared" si="3"/>
        <v>9.4199999999999992E-2</v>
      </c>
      <c r="I22" s="11">
        <f t="shared" si="3"/>
        <v>0.18839999999999998</v>
      </c>
      <c r="J22" s="11">
        <f t="shared" si="3"/>
        <v>0.37679999999999997</v>
      </c>
      <c r="K22" s="11">
        <f t="shared" si="3"/>
        <v>0.94199999999999995</v>
      </c>
    </row>
    <row r="23" spans="2:11" x14ac:dyDescent="0.25">
      <c r="B23">
        <v>0.5</v>
      </c>
      <c r="C23" s="11">
        <f t="shared" ref="C23:K23" si="4">$C$18*SQRT($B23*0.000001/(C6*0.000000001))/1000</f>
        <v>4.7099999999999998E-3</v>
      </c>
      <c r="D23" s="11">
        <f t="shared" si="4"/>
        <v>9.4199999999999996E-3</v>
      </c>
      <c r="E23" s="11">
        <f t="shared" si="4"/>
        <v>2.3550000000000001E-2</v>
      </c>
      <c r="F23" s="11">
        <f t="shared" si="4"/>
        <v>4.7100000000000003E-2</v>
      </c>
      <c r="G23" s="11">
        <f t="shared" si="4"/>
        <v>9.4200000000000006E-2</v>
      </c>
      <c r="H23" s="11">
        <f t="shared" si="4"/>
        <v>0.23550000000000001</v>
      </c>
      <c r="I23" s="11">
        <f t="shared" si="4"/>
        <v>0.47100000000000003</v>
      </c>
      <c r="J23" s="11">
        <f t="shared" si="4"/>
        <v>0.94200000000000006</v>
      </c>
      <c r="K23" s="11">
        <f t="shared" si="4"/>
        <v>2.355</v>
      </c>
    </row>
    <row r="24" spans="2:11" x14ac:dyDescent="0.25">
      <c r="B24">
        <v>1</v>
      </c>
      <c r="C24" s="11">
        <f t="shared" ref="C24:K24" si="5">$C$18*SQRT($B24*0.000001/(C7*0.000000001))/1000</f>
        <v>9.4199999999999996E-3</v>
      </c>
      <c r="D24" s="11">
        <f t="shared" si="5"/>
        <v>1.8839999999999999E-2</v>
      </c>
      <c r="E24" s="11">
        <f t="shared" si="5"/>
        <v>4.7100000000000003E-2</v>
      </c>
      <c r="F24" s="11">
        <f t="shared" si="5"/>
        <v>9.4200000000000006E-2</v>
      </c>
      <c r="G24" s="11">
        <f t="shared" si="5"/>
        <v>0.18840000000000001</v>
      </c>
      <c r="H24" s="11">
        <f t="shared" si="5"/>
        <v>0.47100000000000003</v>
      </c>
      <c r="I24" s="11">
        <f t="shared" si="5"/>
        <v>0.94200000000000006</v>
      </c>
      <c r="J24" s="11">
        <f t="shared" si="5"/>
        <v>1.8840000000000001</v>
      </c>
      <c r="K24" s="11">
        <f t="shared" si="5"/>
        <v>4.71</v>
      </c>
    </row>
    <row r="25" spans="2:11" x14ac:dyDescent="0.25">
      <c r="B25">
        <v>2</v>
      </c>
      <c r="C25" s="11">
        <f t="shared" ref="C25:K25" si="6">$C$18*SQRT($B25*0.000001/(C8*0.000000001))/1000</f>
        <v>1.8839999999999999E-2</v>
      </c>
      <c r="D25" s="11">
        <f t="shared" si="6"/>
        <v>3.7679999999999998E-2</v>
      </c>
      <c r="E25" s="11">
        <f t="shared" si="6"/>
        <v>9.4200000000000006E-2</v>
      </c>
      <c r="F25" s="11">
        <f t="shared" si="6"/>
        <v>0.18840000000000001</v>
      </c>
      <c r="G25" s="11">
        <f t="shared" si="6"/>
        <v>0.37680000000000002</v>
      </c>
      <c r="H25" s="11">
        <f t="shared" si="6"/>
        <v>0.94200000000000006</v>
      </c>
      <c r="I25" s="11">
        <f t="shared" si="6"/>
        <v>1.8840000000000001</v>
      </c>
      <c r="J25" s="11">
        <f t="shared" si="6"/>
        <v>3.7680000000000002</v>
      </c>
      <c r="K25" s="11">
        <f t="shared" si="6"/>
        <v>9.42</v>
      </c>
    </row>
    <row r="26" spans="2:11" x14ac:dyDescent="0.25">
      <c r="B26">
        <v>5</v>
      </c>
      <c r="C26" s="11">
        <f t="shared" ref="C26:K26" si="7">$C$18*SQRT($B26*0.000001/(C9*0.000000001))/1000</f>
        <v>4.7099999999999996E-2</v>
      </c>
      <c r="D26" s="11">
        <f t="shared" si="7"/>
        <v>9.4199999999999992E-2</v>
      </c>
      <c r="E26" s="11">
        <f t="shared" si="7"/>
        <v>0.23549999999999999</v>
      </c>
      <c r="F26" s="11">
        <f t="shared" si="7"/>
        <v>0.47099999999999997</v>
      </c>
      <c r="G26" s="11">
        <f t="shared" si="7"/>
        <v>0.94199999999999995</v>
      </c>
      <c r="H26" s="11">
        <f t="shared" si="7"/>
        <v>2.355</v>
      </c>
      <c r="I26" s="11">
        <f t="shared" si="7"/>
        <v>4.71</v>
      </c>
      <c r="J26" s="11">
        <f t="shared" si="7"/>
        <v>9.42</v>
      </c>
      <c r="K26" s="11">
        <f t="shared" si="7"/>
        <v>23.549999999999997</v>
      </c>
    </row>
    <row r="27" spans="2:11" x14ac:dyDescent="0.25">
      <c r="B27">
        <v>10</v>
      </c>
      <c r="C27" s="11">
        <f t="shared" ref="C27:K27" si="8">$C$18*SQRT($B27*0.000001/(C10*0.000000001))/1000</f>
        <v>9.4199999999999992E-2</v>
      </c>
      <c r="D27" s="11">
        <f t="shared" si="8"/>
        <v>0.18839999999999998</v>
      </c>
      <c r="E27" s="11">
        <f t="shared" si="8"/>
        <v>0.47099999999999997</v>
      </c>
      <c r="F27" s="11">
        <f t="shared" si="8"/>
        <v>0.94199999999999995</v>
      </c>
      <c r="G27" s="11">
        <f t="shared" si="8"/>
        <v>1.8839999999999999</v>
      </c>
      <c r="H27" s="11">
        <f t="shared" si="8"/>
        <v>4.71</v>
      </c>
      <c r="I27" s="11">
        <f t="shared" si="8"/>
        <v>9.42</v>
      </c>
      <c r="J27" s="11">
        <f t="shared" si="8"/>
        <v>18.84</v>
      </c>
      <c r="K27" s="11">
        <f t="shared" si="8"/>
        <v>47.099999999999994</v>
      </c>
    </row>
    <row r="28" spans="2:11" x14ac:dyDescent="0.25">
      <c r="B28">
        <v>20</v>
      </c>
      <c r="C28" s="11">
        <f t="shared" ref="C28:K28" si="9">$C$18*SQRT($B28*0.000001/(C11*0.000000001))/1000</f>
        <v>0.18839999999999998</v>
      </c>
      <c r="D28" s="11">
        <f t="shared" si="9"/>
        <v>0.37679999999999997</v>
      </c>
      <c r="E28" s="11">
        <f t="shared" si="9"/>
        <v>0.94199999999999995</v>
      </c>
      <c r="F28" s="11">
        <f t="shared" si="9"/>
        <v>1.8839999999999999</v>
      </c>
      <c r="G28" s="11">
        <f t="shared" si="9"/>
        <v>3.7679999999999998</v>
      </c>
      <c r="H28" s="11">
        <f t="shared" si="9"/>
        <v>9.42</v>
      </c>
      <c r="I28" s="11">
        <f t="shared" si="9"/>
        <v>18.84</v>
      </c>
      <c r="J28" s="11">
        <f t="shared" si="9"/>
        <v>37.68</v>
      </c>
      <c r="K28" s="11">
        <f t="shared" si="9"/>
        <v>94.199999999999989</v>
      </c>
    </row>
    <row r="29" spans="2:11" x14ac:dyDescent="0.25">
      <c r="B29">
        <v>50</v>
      </c>
      <c r="C29" s="11">
        <f t="shared" ref="C29:K29" si="10">$C$18*SQRT($B29*0.000001/(C12*0.000000001))/1000</f>
        <v>0.47099999999999997</v>
      </c>
      <c r="D29" s="11">
        <f t="shared" si="10"/>
        <v>0.94199999999999995</v>
      </c>
      <c r="E29" s="11">
        <f t="shared" si="10"/>
        <v>2.355</v>
      </c>
      <c r="F29" s="11">
        <f t="shared" si="10"/>
        <v>4.71</v>
      </c>
      <c r="G29" s="11">
        <f t="shared" si="10"/>
        <v>9.42</v>
      </c>
      <c r="H29" s="11">
        <f t="shared" si="10"/>
        <v>23.549999999999997</v>
      </c>
      <c r="I29" s="11">
        <f t="shared" si="10"/>
        <v>47.099999999999994</v>
      </c>
      <c r="J29" s="11">
        <f t="shared" si="10"/>
        <v>94.199999999999989</v>
      </c>
      <c r="K29" s="11">
        <f t="shared" si="10"/>
        <v>235.5</v>
      </c>
    </row>
    <row r="30" spans="2:11" x14ac:dyDescent="0.25">
      <c r="B30">
        <v>100</v>
      </c>
      <c r="C30" s="11">
        <f t="shared" ref="C30:K30" si="11">$C$18*SQRT($B30*0.000001/(C13*0.000000001))/1000</f>
        <v>0.94199999999999995</v>
      </c>
      <c r="D30" s="11">
        <f t="shared" si="11"/>
        <v>1.8839999999999999</v>
      </c>
      <c r="E30" s="11">
        <f t="shared" si="11"/>
        <v>4.71</v>
      </c>
      <c r="F30" s="11">
        <f t="shared" si="11"/>
        <v>9.42</v>
      </c>
      <c r="G30" s="11">
        <f t="shared" si="11"/>
        <v>18.84</v>
      </c>
      <c r="H30" s="11">
        <f t="shared" si="11"/>
        <v>47.099999999999994</v>
      </c>
      <c r="I30" s="11">
        <f t="shared" si="11"/>
        <v>94.199999999999989</v>
      </c>
      <c r="J30" s="11">
        <f t="shared" si="11"/>
        <v>188.39999999999998</v>
      </c>
      <c r="K30" s="11">
        <f t="shared" si="11"/>
        <v>471</v>
      </c>
    </row>
    <row r="31" spans="2:11" x14ac:dyDescent="0.25">
      <c r="B31">
        <v>200</v>
      </c>
      <c r="C31" s="11">
        <f t="shared" ref="C31:K31" si="12">$C$18*SQRT($B31*0.000001/(C14*0.000000001))/1000</f>
        <v>1.8839999999999999</v>
      </c>
      <c r="D31" s="11">
        <f t="shared" si="12"/>
        <v>3.7679999999999998</v>
      </c>
      <c r="E31" s="11">
        <f t="shared" si="12"/>
        <v>9.42</v>
      </c>
      <c r="F31" s="11">
        <f t="shared" si="12"/>
        <v>18.84</v>
      </c>
      <c r="G31" s="11">
        <f t="shared" si="12"/>
        <v>37.68</v>
      </c>
      <c r="H31" s="11">
        <f t="shared" si="12"/>
        <v>94.199999999999989</v>
      </c>
      <c r="I31" s="11">
        <f t="shared" si="12"/>
        <v>188.39999999999998</v>
      </c>
      <c r="J31" s="11">
        <f t="shared" si="12"/>
        <v>376.79999999999995</v>
      </c>
      <c r="K31" s="11">
        <f t="shared" si="12"/>
        <v>942</v>
      </c>
    </row>
    <row r="32" spans="2:11" x14ac:dyDescent="0.25">
      <c r="B32">
        <v>500</v>
      </c>
      <c r="C32" s="11">
        <f t="shared" ref="C32:K32" si="13">$C$18*SQRT($B32*0.000001/(C15*0.000000001))/1000</f>
        <v>4.71</v>
      </c>
      <c r="D32" s="11">
        <f t="shared" si="13"/>
        <v>9.42</v>
      </c>
      <c r="E32" s="11">
        <f t="shared" si="13"/>
        <v>23.55</v>
      </c>
      <c r="F32" s="11">
        <f t="shared" si="13"/>
        <v>47.1</v>
      </c>
      <c r="G32" s="11">
        <f t="shared" si="13"/>
        <v>94.2</v>
      </c>
      <c r="H32" s="11">
        <f t="shared" si="13"/>
        <v>235.49999999999997</v>
      </c>
      <c r="I32" s="11">
        <f t="shared" si="13"/>
        <v>470.99999999999994</v>
      </c>
      <c r="J32" s="11">
        <f t="shared" si="13"/>
        <v>941.99999999999989</v>
      </c>
      <c r="K32" s="11">
        <f t="shared" si="13"/>
        <v>2355</v>
      </c>
    </row>
    <row r="33" spans="2:11" x14ac:dyDescent="0.25">
      <c r="B33">
        <v>1000</v>
      </c>
      <c r="C33" s="11">
        <f t="shared" ref="C33:K33" si="14">$C$18*SQRT($B33*0.000001/(C16*0.000000001))/1000</f>
        <v>9.42</v>
      </c>
      <c r="D33" s="11">
        <f t="shared" si="14"/>
        <v>18.84</v>
      </c>
      <c r="E33" s="11">
        <f t="shared" si="14"/>
        <v>47.1</v>
      </c>
      <c r="F33" s="11">
        <f t="shared" si="14"/>
        <v>94.2</v>
      </c>
      <c r="G33" s="11">
        <f t="shared" si="14"/>
        <v>188.4</v>
      </c>
      <c r="H33" s="11">
        <f t="shared" si="14"/>
        <v>470.99999999999994</v>
      </c>
      <c r="I33" s="11">
        <f t="shared" si="14"/>
        <v>941.99999999999989</v>
      </c>
      <c r="J33" s="11">
        <f t="shared" si="14"/>
        <v>1883.9999999999998</v>
      </c>
      <c r="K33" s="11">
        <f t="shared" si="14"/>
        <v>4710</v>
      </c>
    </row>
    <row r="36" spans="2:11" x14ac:dyDescent="0.25">
      <c r="B36" t="s">
        <v>79</v>
      </c>
      <c r="C36">
        <v>3</v>
      </c>
      <c r="D36" t="s">
        <v>67</v>
      </c>
    </row>
    <row r="37" spans="2:11" x14ac:dyDescent="0.25">
      <c r="B37" t="s">
        <v>80</v>
      </c>
      <c r="C37">
        <v>100</v>
      </c>
      <c r="D37">
        <v>200</v>
      </c>
      <c r="E37">
        <v>500</v>
      </c>
      <c r="F37">
        <v>1000</v>
      </c>
      <c r="G37">
        <v>2000</v>
      </c>
      <c r="H37">
        <v>5000</v>
      </c>
      <c r="I37">
        <v>10000</v>
      </c>
      <c r="J37">
        <v>20000</v>
      </c>
      <c r="K37">
        <v>50000</v>
      </c>
    </row>
    <row r="38" spans="2:11" x14ac:dyDescent="0.25">
      <c r="B38" t="s">
        <v>20</v>
      </c>
      <c r="C38" t="s">
        <v>83</v>
      </c>
      <c r="D38" t="s">
        <v>83</v>
      </c>
      <c r="E38" t="s">
        <v>83</v>
      </c>
      <c r="F38" t="s">
        <v>83</v>
      </c>
      <c r="G38" t="s">
        <v>83</v>
      </c>
      <c r="H38" t="s">
        <v>83</v>
      </c>
      <c r="I38" t="s">
        <v>83</v>
      </c>
      <c r="J38" t="s">
        <v>83</v>
      </c>
      <c r="K38" t="s">
        <v>83</v>
      </c>
    </row>
    <row r="39" spans="2:11" x14ac:dyDescent="0.25">
      <c r="B39">
        <v>0.1</v>
      </c>
      <c r="C39" s="11">
        <f>1/(2*3.14*SQRT($B39*0.000001*$C$36*0.000000000001))/1000000</f>
        <v>290.72322585199902</v>
      </c>
      <c r="D39" s="11">
        <f t="shared" ref="D39:K51" si="15">1/(2*3.14*SQRT($B39*0.000001*$C$36*0.000000000001))/1000000</f>
        <v>290.72322585199902</v>
      </c>
      <c r="E39" s="11">
        <f t="shared" si="15"/>
        <v>290.72322585199902</v>
      </c>
      <c r="F39" s="11">
        <f t="shared" si="15"/>
        <v>290.72322585199902</v>
      </c>
      <c r="G39" s="11">
        <f t="shared" si="15"/>
        <v>290.72322585199902</v>
      </c>
      <c r="H39" s="11">
        <f t="shared" si="15"/>
        <v>290.72322585199902</v>
      </c>
      <c r="I39" s="11">
        <f t="shared" si="15"/>
        <v>290.72322585199902</v>
      </c>
      <c r="J39" s="11">
        <f t="shared" si="15"/>
        <v>290.72322585199902</v>
      </c>
      <c r="K39" s="11">
        <f t="shared" si="15"/>
        <v>290.72322585199902</v>
      </c>
    </row>
    <row r="40" spans="2:11" x14ac:dyDescent="0.25">
      <c r="B40">
        <v>0.2</v>
      </c>
      <c r="C40" s="11">
        <f t="shared" ref="C40:C51" si="16">1/(2*3.14*SQRT($B40*0.000001*$C$36*0.000000000001))/1000000</f>
        <v>205.57236444837667</v>
      </c>
      <c r="D40" s="11">
        <f t="shared" si="15"/>
        <v>205.57236444837667</v>
      </c>
      <c r="E40" s="11">
        <f t="shared" si="15"/>
        <v>205.57236444837667</v>
      </c>
      <c r="F40" s="11">
        <f t="shared" si="15"/>
        <v>205.57236444837667</v>
      </c>
      <c r="G40" s="11">
        <f t="shared" si="15"/>
        <v>205.57236444837667</v>
      </c>
      <c r="H40" s="11">
        <f t="shared" si="15"/>
        <v>205.57236444837667</v>
      </c>
      <c r="I40" s="11">
        <f t="shared" si="15"/>
        <v>205.57236444837667</v>
      </c>
      <c r="J40" s="11">
        <f t="shared" si="15"/>
        <v>205.57236444837667</v>
      </c>
      <c r="K40" s="11">
        <f t="shared" si="15"/>
        <v>205.57236444837667</v>
      </c>
    </row>
    <row r="41" spans="2:11" x14ac:dyDescent="0.25">
      <c r="B41">
        <v>0.5</v>
      </c>
      <c r="C41" s="11">
        <f t="shared" si="16"/>
        <v>130.0153791286188</v>
      </c>
      <c r="D41" s="11">
        <f t="shared" si="15"/>
        <v>130.0153791286188</v>
      </c>
      <c r="E41" s="11">
        <f t="shared" si="15"/>
        <v>130.0153791286188</v>
      </c>
      <c r="F41" s="11">
        <f t="shared" si="15"/>
        <v>130.0153791286188</v>
      </c>
      <c r="G41" s="11">
        <f t="shared" si="15"/>
        <v>130.0153791286188</v>
      </c>
      <c r="H41" s="11">
        <f t="shared" si="15"/>
        <v>130.0153791286188</v>
      </c>
      <c r="I41" s="11">
        <f t="shared" si="15"/>
        <v>130.0153791286188</v>
      </c>
      <c r="J41" s="11">
        <f t="shared" si="15"/>
        <v>130.0153791286188</v>
      </c>
      <c r="K41" s="11">
        <f t="shared" si="15"/>
        <v>130.0153791286188</v>
      </c>
    </row>
    <row r="42" spans="2:11" x14ac:dyDescent="0.25">
      <c r="B42">
        <v>1</v>
      </c>
      <c r="C42" s="11">
        <f t="shared" si="16"/>
        <v>91.934756240386264</v>
      </c>
      <c r="D42" s="11">
        <f t="shared" si="15"/>
        <v>91.934756240386264</v>
      </c>
      <c r="E42" s="11">
        <f t="shared" si="15"/>
        <v>91.934756240386264</v>
      </c>
      <c r="F42" s="11">
        <f t="shared" si="15"/>
        <v>91.934756240386264</v>
      </c>
      <c r="G42" s="11">
        <f t="shared" si="15"/>
        <v>91.934756240386264</v>
      </c>
      <c r="H42" s="11">
        <f t="shared" si="15"/>
        <v>91.934756240386264</v>
      </c>
      <c r="I42" s="11">
        <f t="shared" si="15"/>
        <v>91.934756240386264</v>
      </c>
      <c r="J42" s="11">
        <f t="shared" si="15"/>
        <v>91.934756240386264</v>
      </c>
      <c r="K42" s="11">
        <f t="shared" si="15"/>
        <v>91.934756240386264</v>
      </c>
    </row>
    <row r="43" spans="2:11" x14ac:dyDescent="0.25">
      <c r="B43">
        <v>2</v>
      </c>
      <c r="C43" s="11">
        <f t="shared" si="16"/>
        <v>65.007689564309402</v>
      </c>
      <c r="D43" s="11">
        <f t="shared" si="15"/>
        <v>65.007689564309402</v>
      </c>
      <c r="E43" s="11">
        <f t="shared" si="15"/>
        <v>65.007689564309402</v>
      </c>
      <c r="F43" s="11">
        <f t="shared" si="15"/>
        <v>65.007689564309402</v>
      </c>
      <c r="G43" s="11">
        <f t="shared" si="15"/>
        <v>65.007689564309402</v>
      </c>
      <c r="H43" s="11">
        <f t="shared" si="15"/>
        <v>65.007689564309402</v>
      </c>
      <c r="I43" s="11">
        <f t="shared" si="15"/>
        <v>65.007689564309402</v>
      </c>
      <c r="J43" s="11">
        <f t="shared" si="15"/>
        <v>65.007689564309402</v>
      </c>
      <c r="K43" s="11">
        <f t="shared" si="15"/>
        <v>65.007689564309402</v>
      </c>
    </row>
    <row r="44" spans="2:11" x14ac:dyDescent="0.25">
      <c r="B44">
        <v>5</v>
      </c>
      <c r="C44" s="11">
        <f t="shared" si="16"/>
        <v>41.114472889675341</v>
      </c>
      <c r="D44" s="11">
        <f t="shared" si="15"/>
        <v>41.114472889675341</v>
      </c>
      <c r="E44" s="11">
        <f t="shared" si="15"/>
        <v>41.114472889675341</v>
      </c>
      <c r="F44" s="11">
        <f t="shared" si="15"/>
        <v>41.114472889675341</v>
      </c>
      <c r="G44" s="11">
        <f t="shared" si="15"/>
        <v>41.114472889675341</v>
      </c>
      <c r="H44" s="11">
        <f t="shared" si="15"/>
        <v>41.114472889675341</v>
      </c>
      <c r="I44" s="11">
        <f t="shared" si="15"/>
        <v>41.114472889675341</v>
      </c>
      <c r="J44" s="11">
        <f t="shared" si="15"/>
        <v>41.114472889675341</v>
      </c>
      <c r="K44" s="11">
        <f t="shared" si="15"/>
        <v>41.114472889675341</v>
      </c>
    </row>
    <row r="45" spans="2:11" x14ac:dyDescent="0.25">
      <c r="B45">
        <v>10</v>
      </c>
      <c r="C45" s="11">
        <f t="shared" si="16"/>
        <v>29.072322585199903</v>
      </c>
      <c r="D45" s="11">
        <f t="shared" si="15"/>
        <v>29.072322585199903</v>
      </c>
      <c r="E45" s="11">
        <f t="shared" si="15"/>
        <v>29.072322585199903</v>
      </c>
      <c r="F45" s="11">
        <f t="shared" si="15"/>
        <v>29.072322585199903</v>
      </c>
      <c r="G45" s="11">
        <f t="shared" si="15"/>
        <v>29.072322585199903</v>
      </c>
      <c r="H45" s="11">
        <f t="shared" si="15"/>
        <v>29.072322585199903</v>
      </c>
      <c r="I45" s="11">
        <f t="shared" si="15"/>
        <v>29.072322585199903</v>
      </c>
      <c r="J45" s="11">
        <f t="shared" si="15"/>
        <v>29.072322585199903</v>
      </c>
      <c r="K45" s="11">
        <f t="shared" si="15"/>
        <v>29.072322585199903</v>
      </c>
    </row>
    <row r="46" spans="2:11" x14ac:dyDescent="0.25">
      <c r="B46">
        <v>20</v>
      </c>
      <c r="C46" s="11">
        <f t="shared" si="16"/>
        <v>20.55723644483767</v>
      </c>
      <c r="D46" s="11">
        <f t="shared" si="15"/>
        <v>20.55723644483767</v>
      </c>
      <c r="E46" s="11">
        <f t="shared" si="15"/>
        <v>20.55723644483767</v>
      </c>
      <c r="F46" s="11">
        <f t="shared" si="15"/>
        <v>20.55723644483767</v>
      </c>
      <c r="G46" s="11">
        <f t="shared" si="15"/>
        <v>20.55723644483767</v>
      </c>
      <c r="H46" s="11">
        <f t="shared" si="15"/>
        <v>20.55723644483767</v>
      </c>
      <c r="I46" s="11">
        <f t="shared" si="15"/>
        <v>20.55723644483767</v>
      </c>
      <c r="J46" s="11">
        <f t="shared" si="15"/>
        <v>20.55723644483767</v>
      </c>
      <c r="K46" s="11">
        <f t="shared" si="15"/>
        <v>20.55723644483767</v>
      </c>
    </row>
    <row r="47" spans="2:11" x14ac:dyDescent="0.25">
      <c r="B47">
        <v>50</v>
      </c>
      <c r="C47" s="11">
        <f t="shared" si="16"/>
        <v>13.001537912861881</v>
      </c>
      <c r="D47" s="11">
        <f t="shared" si="15"/>
        <v>13.001537912861881</v>
      </c>
      <c r="E47" s="11">
        <f t="shared" si="15"/>
        <v>13.001537912861881</v>
      </c>
      <c r="F47" s="11">
        <f t="shared" si="15"/>
        <v>13.001537912861881</v>
      </c>
      <c r="G47" s="11">
        <f t="shared" si="15"/>
        <v>13.001537912861881</v>
      </c>
      <c r="H47" s="11">
        <f t="shared" si="15"/>
        <v>13.001537912861881</v>
      </c>
      <c r="I47" s="11">
        <f t="shared" si="15"/>
        <v>13.001537912861881</v>
      </c>
      <c r="J47" s="11">
        <f t="shared" si="15"/>
        <v>13.001537912861881</v>
      </c>
      <c r="K47" s="11">
        <f t="shared" si="15"/>
        <v>13.001537912861881</v>
      </c>
    </row>
    <row r="48" spans="2:11" x14ac:dyDescent="0.25">
      <c r="B48">
        <v>100</v>
      </c>
      <c r="C48" s="11">
        <f t="shared" si="16"/>
        <v>9.1934756240386282</v>
      </c>
      <c r="D48" s="11">
        <f t="shared" si="15"/>
        <v>9.1934756240386282</v>
      </c>
      <c r="E48" s="11">
        <f t="shared" si="15"/>
        <v>9.1934756240386282</v>
      </c>
      <c r="F48" s="11">
        <f t="shared" si="15"/>
        <v>9.1934756240386282</v>
      </c>
      <c r="G48" s="11">
        <f t="shared" si="15"/>
        <v>9.1934756240386282</v>
      </c>
      <c r="H48" s="11">
        <f t="shared" si="15"/>
        <v>9.1934756240386282</v>
      </c>
      <c r="I48" s="11">
        <f t="shared" si="15"/>
        <v>9.1934756240386282</v>
      </c>
      <c r="J48" s="11">
        <f t="shared" si="15"/>
        <v>9.1934756240386282</v>
      </c>
      <c r="K48" s="11">
        <f t="shared" si="15"/>
        <v>9.1934756240386282</v>
      </c>
    </row>
    <row r="49" spans="2:11" x14ac:dyDescent="0.25">
      <c r="B49">
        <v>200</v>
      </c>
      <c r="C49" s="11">
        <f t="shared" si="16"/>
        <v>6.5007689564309405</v>
      </c>
      <c r="D49" s="11">
        <f t="shared" si="15"/>
        <v>6.5007689564309405</v>
      </c>
      <c r="E49" s="11">
        <f t="shared" si="15"/>
        <v>6.5007689564309405</v>
      </c>
      <c r="F49" s="11">
        <f t="shared" si="15"/>
        <v>6.5007689564309405</v>
      </c>
      <c r="G49" s="11">
        <f t="shared" si="15"/>
        <v>6.5007689564309405</v>
      </c>
      <c r="H49" s="11">
        <f t="shared" si="15"/>
        <v>6.5007689564309405</v>
      </c>
      <c r="I49" s="11">
        <f t="shared" si="15"/>
        <v>6.5007689564309405</v>
      </c>
      <c r="J49" s="11">
        <f t="shared" si="15"/>
        <v>6.5007689564309405</v>
      </c>
      <c r="K49" s="11">
        <f t="shared" si="15"/>
        <v>6.5007689564309405</v>
      </c>
    </row>
    <row r="50" spans="2:11" x14ac:dyDescent="0.25">
      <c r="B50">
        <v>500</v>
      </c>
      <c r="C50" s="11">
        <f t="shared" si="16"/>
        <v>4.1114472889675335</v>
      </c>
      <c r="D50" s="11">
        <f t="shared" si="15"/>
        <v>4.1114472889675335</v>
      </c>
      <c r="E50" s="11">
        <f t="shared" si="15"/>
        <v>4.1114472889675335</v>
      </c>
      <c r="F50" s="11">
        <f t="shared" si="15"/>
        <v>4.1114472889675335</v>
      </c>
      <c r="G50" s="11">
        <f t="shared" si="15"/>
        <v>4.1114472889675335</v>
      </c>
      <c r="H50" s="11">
        <f t="shared" si="15"/>
        <v>4.1114472889675335</v>
      </c>
      <c r="I50" s="11">
        <f t="shared" si="15"/>
        <v>4.1114472889675335</v>
      </c>
      <c r="J50" s="11">
        <f t="shared" si="15"/>
        <v>4.1114472889675335</v>
      </c>
      <c r="K50" s="11">
        <f t="shared" si="15"/>
        <v>4.1114472889675335</v>
      </c>
    </row>
    <row r="51" spans="2:11" x14ac:dyDescent="0.25">
      <c r="B51">
        <v>1000</v>
      </c>
      <c r="C51" s="11">
        <f t="shared" si="16"/>
        <v>2.9072322585199899</v>
      </c>
      <c r="D51" s="11">
        <f t="shared" si="15"/>
        <v>2.9072322585199899</v>
      </c>
      <c r="E51" s="11">
        <f t="shared" si="15"/>
        <v>2.9072322585199899</v>
      </c>
      <c r="F51" s="11">
        <f t="shared" si="15"/>
        <v>2.9072322585199899</v>
      </c>
      <c r="G51" s="11">
        <f t="shared" si="15"/>
        <v>2.9072322585199899</v>
      </c>
      <c r="H51" s="11">
        <f t="shared" si="15"/>
        <v>2.9072322585199899</v>
      </c>
      <c r="I51" s="11">
        <f t="shared" si="15"/>
        <v>2.9072322585199899</v>
      </c>
      <c r="J51" s="11">
        <f t="shared" si="15"/>
        <v>2.9072322585199899</v>
      </c>
      <c r="K51" s="11">
        <f t="shared" si="15"/>
        <v>2.9072322585199899</v>
      </c>
    </row>
  </sheetData>
  <conditionalFormatting sqref="C4:K16">
    <cfRule type="cellIs" dxfId="2" priority="3" operator="between">
      <formula>100</formula>
      <formula>0.1</formula>
    </cfRule>
  </conditionalFormatting>
  <conditionalFormatting sqref="C21:K33">
    <cfRule type="cellIs" dxfId="1" priority="2" operator="between">
      <formula>1</formula>
      <formula>100</formula>
    </cfRule>
  </conditionalFormatting>
  <conditionalFormatting sqref="C39:K51">
    <cfRule type="cellIs" dxfId="0" priority="1" operator="greaterThan">
      <formula>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3" sqref="F3"/>
    </sheetView>
  </sheetViews>
  <sheetFormatPr defaultRowHeight="15" x14ac:dyDescent="0.25"/>
  <cols>
    <col min="1" max="1" width="12.28515625" customWidth="1"/>
    <col min="3" max="4" width="12" bestFit="1" customWidth="1"/>
    <col min="6" max="6" width="19" customWidth="1"/>
  </cols>
  <sheetData>
    <row r="1" spans="1:6" x14ac:dyDescent="0.25">
      <c r="B1" t="s">
        <v>58</v>
      </c>
      <c r="C1" t="s">
        <v>59</v>
      </c>
      <c r="D1" t="s">
        <v>60</v>
      </c>
    </row>
    <row r="2" spans="1:6" x14ac:dyDescent="0.25">
      <c r="A2" t="s">
        <v>57</v>
      </c>
      <c r="B2">
        <v>273.14999999999998</v>
      </c>
      <c r="C2" s="1">
        <v>1.543E-8</v>
      </c>
      <c r="D2">
        <f>1/C2</f>
        <v>64808813.998703822</v>
      </c>
      <c r="E2" t="s">
        <v>61</v>
      </c>
      <c r="F2" s="8">
        <f>SLOPE(C2:C6,B2:B6)</f>
        <v>6.8169144616399346E-11</v>
      </c>
    </row>
    <row r="3" spans="1:6" x14ac:dyDescent="0.25">
      <c r="B3">
        <v>300</v>
      </c>
      <c r="C3" s="1">
        <v>1.7249999999999999E-8</v>
      </c>
      <c r="D3">
        <f t="shared" ref="D3:D6" si="0">1/C3</f>
        <v>57971014.492753625</v>
      </c>
      <c r="E3" t="s">
        <v>62</v>
      </c>
      <c r="F3" s="8">
        <f>INTERCEPT(C2:C6,B2:B6)</f>
        <v>-3.2105152014776944E-9</v>
      </c>
    </row>
    <row r="4" spans="1:6" x14ac:dyDescent="0.25">
      <c r="B4">
        <v>350</v>
      </c>
      <c r="C4" s="1">
        <v>2.063E-8</v>
      </c>
      <c r="D4">
        <f t="shared" si="0"/>
        <v>48473097.430925839</v>
      </c>
    </row>
    <row r="5" spans="1:6" x14ac:dyDescent="0.25">
      <c r="B5">
        <v>400</v>
      </c>
      <c r="C5" s="1">
        <v>2.4019999999999999E-8</v>
      </c>
      <c r="D5">
        <f t="shared" si="0"/>
        <v>41631973.355537057</v>
      </c>
    </row>
    <row r="6" spans="1:6" x14ac:dyDescent="0.25">
      <c r="B6">
        <v>500</v>
      </c>
      <c r="C6" s="1">
        <v>3.0899999999999999E-8</v>
      </c>
      <c r="D6">
        <f t="shared" si="0"/>
        <v>32362459.546925567</v>
      </c>
    </row>
    <row r="8" spans="1:6" x14ac:dyDescent="0.25">
      <c r="A8" t="s">
        <v>64</v>
      </c>
      <c r="B8" t="s">
        <v>58</v>
      </c>
      <c r="C8" t="s">
        <v>63</v>
      </c>
      <c r="D8" t="s">
        <v>65</v>
      </c>
    </row>
    <row r="9" spans="1:6" x14ac:dyDescent="0.25">
      <c r="A9">
        <v>-40</v>
      </c>
      <c r="B9">
        <f>273.15+A9</f>
        <v>233.14999999999998</v>
      </c>
      <c r="C9">
        <f>$F$2*B9+$F$3</f>
        <v>1.2683120865835812E-8</v>
      </c>
      <c r="D9">
        <f>0.000001/C9</f>
        <v>78.84494759437905</v>
      </c>
    </row>
    <row r="10" spans="1:6" x14ac:dyDescent="0.25">
      <c r="A10">
        <v>0</v>
      </c>
      <c r="B10">
        <f t="shared" ref="B10:B17" si="1">273.15+A10</f>
        <v>273.14999999999998</v>
      </c>
      <c r="C10">
        <f t="shared" ref="C10:C17" si="2">$F$2*B10+$F$3</f>
        <v>1.5409886650491787E-8</v>
      </c>
      <c r="D10">
        <f t="shared" ref="D10:D17" si="3">0.000001/C10</f>
        <v>64.893403999703409</v>
      </c>
    </row>
    <row r="11" spans="1:6" x14ac:dyDescent="0.25">
      <c r="A11">
        <v>25</v>
      </c>
      <c r="B11">
        <f t="shared" si="1"/>
        <v>298.14999999999998</v>
      </c>
      <c r="C11">
        <f t="shared" si="2"/>
        <v>1.7114115265901768E-8</v>
      </c>
      <c r="D11">
        <f t="shared" si="3"/>
        <v>58.431299805044787</v>
      </c>
    </row>
    <row r="12" spans="1:6" x14ac:dyDescent="0.25">
      <c r="A12">
        <v>50</v>
      </c>
      <c r="B12">
        <f t="shared" si="1"/>
        <v>323.14999999999998</v>
      </c>
      <c r="C12">
        <f t="shared" si="2"/>
        <v>1.8818343881311752E-8</v>
      </c>
      <c r="D12">
        <f t="shared" si="3"/>
        <v>53.139638977109279</v>
      </c>
    </row>
    <row r="13" spans="1:6" x14ac:dyDescent="0.25">
      <c r="A13">
        <v>100</v>
      </c>
      <c r="B13">
        <f t="shared" si="1"/>
        <v>373.15</v>
      </c>
      <c r="C13">
        <f t="shared" si="2"/>
        <v>2.2226801112131721E-8</v>
      </c>
      <c r="D13">
        <f t="shared" si="3"/>
        <v>44.990729658087638</v>
      </c>
    </row>
    <row r="14" spans="1:6" x14ac:dyDescent="0.25">
      <c r="A14">
        <v>200</v>
      </c>
      <c r="B14">
        <f t="shared" si="1"/>
        <v>473.15</v>
      </c>
      <c r="C14">
        <f t="shared" si="2"/>
        <v>2.9043715573771652E-8</v>
      </c>
      <c r="D14">
        <f t="shared" si="3"/>
        <v>34.430856391634151</v>
      </c>
    </row>
    <row r="15" spans="1:6" x14ac:dyDescent="0.25">
      <c r="A15">
        <v>300</v>
      </c>
      <c r="B15">
        <f t="shared" si="1"/>
        <v>573.15</v>
      </c>
      <c r="C15">
        <f t="shared" si="2"/>
        <v>3.5860630035411589E-8</v>
      </c>
      <c r="D15">
        <f t="shared" si="3"/>
        <v>27.885734272167607</v>
      </c>
    </row>
    <row r="16" spans="1:6" x14ac:dyDescent="0.25">
      <c r="A16">
        <v>400</v>
      </c>
      <c r="B16">
        <f t="shared" si="1"/>
        <v>673.15</v>
      </c>
      <c r="C16">
        <f t="shared" si="2"/>
        <v>4.2677544497051527E-8</v>
      </c>
      <c r="D16">
        <f t="shared" si="3"/>
        <v>23.431526152332573</v>
      </c>
    </row>
    <row r="17" spans="1:4" x14ac:dyDescent="0.25">
      <c r="A17">
        <v>500</v>
      </c>
      <c r="B17">
        <f t="shared" si="1"/>
        <v>773.15</v>
      </c>
      <c r="C17">
        <f t="shared" si="2"/>
        <v>4.9494458958691458E-8</v>
      </c>
      <c r="D17">
        <f t="shared" si="3"/>
        <v>20.204281873948947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67C30B2B29A94E9FC3971A210F2D1D" ma:contentTypeVersion="0" ma:contentTypeDescription="Create a new document." ma:contentTypeScope="" ma:versionID="cca08da1814d2486a4099121bb760c2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F76B008-BEA1-4641-BF88-F7CEF7F1499A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27AA89C-B7E2-43AB-899C-59A36D955D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A673AA-8A8D-45B4-9579-DDBB122C9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inductor calculations</vt:lpstr>
      <vt:lpstr>Sheet1</vt:lpstr>
      <vt:lpstr>freq</vt:lpstr>
      <vt:lpstr>Sheet4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Chris Oberhauser</cp:lastModifiedBy>
  <dcterms:created xsi:type="dcterms:W3CDTF">2013-04-01T17:49:47Z</dcterms:created>
  <dcterms:modified xsi:type="dcterms:W3CDTF">2014-01-31T23:06:09Z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0x010100B867C30B2B29A94E9FC3971A210F2D1D</vt:lpwstr>
  </property>
</Properties>
</file>