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workbookProtection lockStructure="1"/>
  <bookViews>
    <workbookView xWindow="-15" yWindow="-15" windowWidth="19425" windowHeight="6405"/>
  </bookViews>
  <sheets>
    <sheet name="Table of Contents" sheetId="14" r:id="rId1"/>
    <sheet name="Voltage Sense Calculator" sheetId="22" r:id="rId2"/>
    <sheet name="Device Comparison" sheetId="21" r:id="rId3"/>
    <sheet name="About" sheetId="15" r:id="rId4"/>
    <sheet name="Help" sheetId="16" r:id="rId5"/>
  </sheets>
  <externalReferences>
    <externalReference r:id="rId6"/>
  </externalReferences>
  <definedNames>
    <definedName name="Configs">Config[Configuration]</definedName>
    <definedName name="Device_List">Devices[Part]</definedName>
    <definedName name="Device_List_D">INDEX(Devices[], 1, COLUMN(Devices[Device_List_D])) : INDEX(Devices[], COUNTA(Devices[Device_List_D])-COUNTBLANK(Devices[Device_List_D]), COLUMN(Devices[Device_List_D]))</definedName>
    <definedName name="Device_List_N">INDEX(Devices[], 1, COLUMN(Devices[Device_List_N])) : INDEX(Devices[], COUNTA(Devices[Device_List_N])-COUNTBLANK(Devices[Device_List_N]), COLUMN(Devices[Device_List_N]))</definedName>
    <definedName name="Device_List_SE">INDEX(Devices[], 1, COLUMN(Devices[Device_List_SE])) : INDEX(Devices[], COUNTA(Devices[Device_List_SE])-COUNTBLANK(Devices[Device_List_SE]), COLUMN(Devices[Device_List_SE]))</definedName>
    <definedName name="FIR_BYPASSED">'[1]Digital Filter'!$T$84</definedName>
    <definedName name="inputType">Inputs[Input Type]</definedName>
    <definedName name="InputTypeColumn">Devices[Input Type]</definedName>
    <definedName name="Picture">INDIRECT('Voltage Sense Calculator'!$B$6)</definedName>
    <definedName name="selectConfig">'Device Comparison'!$BX$201</definedName>
    <definedName name="single">'Device Comparison'!$BX$204</definedName>
    <definedName name="Temp_Range">'Voltage Sense Calculator'!$I$16-'Voltage Sense Calculator'!$I$15</definedName>
    <definedName name="withoutR3">'Device Comparison'!$BX$202</definedName>
    <definedName name="withR3">'Device Comparison'!$BX$203</definedName>
  </definedNames>
  <calcPr calcId="145621"/>
</workbook>
</file>

<file path=xl/calcChain.xml><?xml version="1.0" encoding="utf-8"?>
<calcChain xmlns="http://schemas.openxmlformats.org/spreadsheetml/2006/main">
  <c r="U19" i="21" l="1"/>
  <c r="V19" i="21"/>
  <c r="W19" i="21"/>
  <c r="X19" i="21"/>
  <c r="C39" i="22" l="1"/>
  <c r="C40" i="22" s="1"/>
  <c r="U20" i="21" l="1"/>
  <c r="V20" i="21" s="1"/>
  <c r="W20" i="21"/>
  <c r="X20" i="21"/>
  <c r="U25" i="21" l="1"/>
  <c r="V25" i="21"/>
  <c r="X25" i="21"/>
  <c r="U24" i="21"/>
  <c r="W24" i="21" s="1"/>
  <c r="V24" i="21"/>
  <c r="X24" i="21"/>
  <c r="W25" i="21" l="1"/>
  <c r="G40" i="22"/>
  <c r="B27" i="22"/>
  <c r="F31" i="22" l="1"/>
  <c r="I18" i="22" l="1"/>
  <c r="I17" i="22"/>
  <c r="D33" i="22"/>
  <c r="C33" i="22"/>
  <c r="D38" i="22"/>
  <c r="D37" i="22"/>
  <c r="D36" i="22"/>
  <c r="F36" i="22" s="1"/>
  <c r="D35" i="22"/>
  <c r="F35" i="22" s="1"/>
  <c r="D34" i="22"/>
  <c r="C41" i="22"/>
  <c r="C38" i="22"/>
  <c r="C37" i="22"/>
  <c r="C36" i="22"/>
  <c r="E36" i="22" s="1"/>
  <c r="C35" i="22"/>
  <c r="E35" i="22" s="1"/>
  <c r="C34" i="22"/>
  <c r="C43" i="22"/>
  <c r="B30" i="22" l="1"/>
  <c r="J15" i="22" l="1"/>
  <c r="J16" i="22"/>
  <c r="V15" i="21" l="1"/>
  <c r="V16" i="21"/>
  <c r="V17" i="21"/>
  <c r="V18" i="21"/>
  <c r="V22" i="21"/>
  <c r="V23" i="21"/>
  <c r="W8" i="21"/>
  <c r="W9" i="21"/>
  <c r="W10" i="21"/>
  <c r="W11" i="21"/>
  <c r="W12" i="21"/>
  <c r="W13" i="21"/>
  <c r="W14" i="21"/>
  <c r="W21" i="21"/>
  <c r="X18" i="21"/>
  <c r="X8" i="21"/>
  <c r="X9" i="21"/>
  <c r="X10" i="21"/>
  <c r="X11" i="21"/>
  <c r="X12" i="21"/>
  <c r="X13" i="21"/>
  <c r="X14" i="21"/>
  <c r="X15" i="21"/>
  <c r="X16" i="21"/>
  <c r="X17" i="21"/>
  <c r="X21" i="21"/>
  <c r="X22" i="21"/>
  <c r="X23" i="21"/>
  <c r="D31" i="22" l="1"/>
  <c r="U23" i="21"/>
  <c r="W23" i="21" s="1"/>
  <c r="U18" i="21"/>
  <c r="W18" i="21" s="1"/>
  <c r="U16" i="21"/>
  <c r="W16" i="21" s="1"/>
  <c r="U9" i="21"/>
  <c r="V9" i="21" s="1"/>
  <c r="U12" i="21"/>
  <c r="V12" i="21" s="1"/>
  <c r="U7" i="21"/>
  <c r="U8" i="21"/>
  <c r="V8" i="21" s="1"/>
  <c r="U10" i="21"/>
  <c r="V10" i="21" s="1"/>
  <c r="U11" i="21"/>
  <c r="V11" i="21" s="1"/>
  <c r="U13" i="21"/>
  <c r="V13" i="21" s="1"/>
  <c r="U14" i="21"/>
  <c r="V14" i="21" s="1"/>
  <c r="U15" i="21"/>
  <c r="W15" i="21" s="1"/>
  <c r="U17" i="21"/>
  <c r="W17" i="21" s="1"/>
  <c r="U21" i="21"/>
  <c r="V21" i="21" s="1"/>
  <c r="U22" i="21"/>
  <c r="W22" i="21" s="1"/>
  <c r="B43" i="22"/>
  <c r="G38" i="22"/>
  <c r="G42" i="22"/>
  <c r="G43" i="22"/>
  <c r="F38" i="22" l="1"/>
  <c r="F37" i="22"/>
  <c r="E33" i="22"/>
  <c r="F40" i="22"/>
  <c r="E34" i="22"/>
  <c r="E37" i="22"/>
  <c r="F34" i="22"/>
  <c r="E41" i="22"/>
  <c r="F43" i="22"/>
  <c r="E40" i="22"/>
  <c r="F33" i="22"/>
  <c r="E38" i="22"/>
  <c r="F41" i="22"/>
  <c r="C42" i="22"/>
  <c r="E43" i="22"/>
  <c r="V7" i="21"/>
  <c r="Y19" i="21" s="1"/>
  <c r="AB19" i="21" s="1"/>
  <c r="W7" i="21"/>
  <c r="Z19" i="21" s="1"/>
  <c r="AC19" i="21" s="1"/>
  <c r="X7" i="21"/>
  <c r="AA19" i="21" s="1"/>
  <c r="AD19" i="21" s="1"/>
  <c r="G31" i="22"/>
  <c r="B28" i="22"/>
  <c r="B26" i="22"/>
  <c r="B6" i="22"/>
  <c r="G36" i="22"/>
  <c r="G34" i="22"/>
  <c r="F48" i="22" l="1"/>
  <c r="E48" i="22" s="1"/>
  <c r="Y25" i="21"/>
  <c r="AB25" i="21" s="1"/>
  <c r="Y20" i="21"/>
  <c r="AB20" i="21" s="1"/>
  <c r="AA20" i="21"/>
  <c r="AD20" i="21" s="1"/>
  <c r="Z25" i="21"/>
  <c r="AC25" i="21" s="1"/>
  <c r="Z20" i="21"/>
  <c r="AC20" i="21" s="1"/>
  <c r="F52" i="22"/>
  <c r="E52" i="22" s="1"/>
  <c r="AA24" i="21"/>
  <c r="AD24" i="21" s="1"/>
  <c r="AA25" i="21"/>
  <c r="AD25" i="21" s="1"/>
  <c r="Y17" i="21"/>
  <c r="AB17" i="21" s="1"/>
  <c r="Y24" i="21"/>
  <c r="AB24" i="21" s="1"/>
  <c r="Z9" i="21"/>
  <c r="AC9" i="21" s="1"/>
  <c r="Z24" i="21"/>
  <c r="AC24" i="21" s="1"/>
  <c r="F47" i="22"/>
  <c r="E47" i="22" s="1"/>
  <c r="F50" i="22"/>
  <c r="E50" i="22" s="1"/>
  <c r="F46" i="22"/>
  <c r="E46" i="22" s="1"/>
  <c r="F51" i="22"/>
  <c r="E51" i="22" s="1"/>
  <c r="E42" i="22"/>
  <c r="F42" i="22"/>
  <c r="F49" i="22" s="1"/>
  <c r="Y16" i="21"/>
  <c r="AB16" i="21" s="1"/>
  <c r="Y18" i="21"/>
  <c r="AB18" i="21" s="1"/>
  <c r="Z10" i="21"/>
  <c r="AC10" i="21" s="1"/>
  <c r="Z7" i="21"/>
  <c r="AC7" i="21" s="1"/>
  <c r="Y14" i="21"/>
  <c r="AB14" i="21" s="1"/>
  <c r="Z18" i="21"/>
  <c r="AC18" i="21" s="1"/>
  <c r="Z21" i="21"/>
  <c r="AC21" i="21" s="1"/>
  <c r="Z11" i="21"/>
  <c r="AC11" i="21" s="1"/>
  <c r="Z15" i="21"/>
  <c r="AC15" i="21" s="1"/>
  <c r="Z12" i="21"/>
  <c r="AC12" i="21" s="1"/>
  <c r="Z16" i="21"/>
  <c r="AC16" i="21" s="1"/>
  <c r="Y7" i="21"/>
  <c r="AB7" i="21" s="1"/>
  <c r="Y21" i="21"/>
  <c r="AB21" i="21" s="1"/>
  <c r="Y9" i="21"/>
  <c r="AB9" i="21" s="1"/>
  <c r="Y23" i="21"/>
  <c r="AB23" i="21" s="1"/>
  <c r="Y8" i="21"/>
  <c r="AB8" i="21" s="1"/>
  <c r="Y11" i="21"/>
  <c r="AB11" i="21" s="1"/>
  <c r="Y22" i="21"/>
  <c r="AB22" i="21" s="1"/>
  <c r="Z17" i="21"/>
  <c r="AC17" i="21" s="1"/>
  <c r="Z14" i="21"/>
  <c r="AC14" i="21" s="1"/>
  <c r="Z22" i="21"/>
  <c r="AC22" i="21" s="1"/>
  <c r="Y10" i="21"/>
  <c r="AB10" i="21" s="1"/>
  <c r="Y13" i="21"/>
  <c r="AB13" i="21" s="1"/>
  <c r="Y12" i="21"/>
  <c r="AB12" i="21" s="1"/>
  <c r="Z23" i="21"/>
  <c r="AC23" i="21" s="1"/>
  <c r="Z13" i="21"/>
  <c r="AC13" i="21" s="1"/>
  <c r="Y15" i="21"/>
  <c r="AB15" i="21" s="1"/>
  <c r="Z8" i="21"/>
  <c r="AC8" i="21" s="1"/>
  <c r="AA15" i="21"/>
  <c r="AD15" i="21" s="1"/>
  <c r="AA23" i="21"/>
  <c r="AD23" i="21" s="1"/>
  <c r="AA18" i="21"/>
  <c r="AD18" i="21" s="1"/>
  <c r="AA16" i="21"/>
  <c r="AD16" i="21" s="1"/>
  <c r="AA9" i="21"/>
  <c r="AD9" i="21" s="1"/>
  <c r="AA11" i="21"/>
  <c r="AD11" i="21" s="1"/>
  <c r="AA12" i="21"/>
  <c r="AD12" i="21" s="1"/>
  <c r="AA13" i="21"/>
  <c r="AD13" i="21" s="1"/>
  <c r="AA17" i="21"/>
  <c r="AD17" i="21" s="1"/>
  <c r="AA14" i="21"/>
  <c r="AD14" i="21" s="1"/>
  <c r="AA7" i="21"/>
  <c r="AD7" i="21" s="1"/>
  <c r="AA8" i="21"/>
  <c r="AD8" i="21" s="1"/>
  <c r="AA21" i="21"/>
  <c r="AD21" i="21" s="1"/>
  <c r="AA22" i="21"/>
  <c r="AD22" i="21" s="1"/>
  <c r="AA10" i="21"/>
  <c r="AD10" i="21" s="1"/>
  <c r="E49" i="22" l="1"/>
  <c r="F45" i="22"/>
  <c r="E45" i="22" s="1"/>
</calcChain>
</file>

<file path=xl/sharedStrings.xml><?xml version="1.0" encoding="utf-8"?>
<sst xmlns="http://schemas.openxmlformats.org/spreadsheetml/2006/main" count="189" uniqueCount="149">
  <si>
    <t>Specifications</t>
  </si>
  <si>
    <t>Comment</t>
  </si>
  <si>
    <t>Gain error</t>
  </si>
  <si>
    <t>Gain drift</t>
  </si>
  <si>
    <t>Offset error</t>
  </si>
  <si>
    <t>Offset drift</t>
  </si>
  <si>
    <t>INL</t>
  </si>
  <si>
    <t>INL Drift</t>
  </si>
  <si>
    <t>Offset Error Rdivider</t>
  </si>
  <si>
    <t>Gain Error Rdivider</t>
  </si>
  <si>
    <t>Rdivider Impedance</t>
  </si>
  <si>
    <t>GE Rdivider Drift</t>
  </si>
  <si>
    <t>Drift of the internal resistance which impacts the GE</t>
  </si>
  <si>
    <t>Worksheets</t>
  </si>
  <si>
    <t>Description</t>
  </si>
  <si>
    <t>About</t>
  </si>
  <si>
    <t>Information about this tool</t>
  </si>
  <si>
    <t>Help</t>
  </si>
  <si>
    <t>Documentation and supporting links</t>
  </si>
  <si>
    <t>Change List Description</t>
  </si>
  <si>
    <t>Version</t>
  </si>
  <si>
    <t>Version History</t>
  </si>
  <si>
    <t>Created by</t>
  </si>
  <si>
    <t>Table of Contents</t>
  </si>
  <si>
    <t>Version Number</t>
  </si>
  <si>
    <t>#</t>
  </si>
  <si>
    <t>3.Use the "Legend" on each worksheet for guidance. The required inputs and calculated results typically follow the convention below:</t>
  </si>
  <si>
    <t>Link:</t>
  </si>
  <si>
    <t>2. Go to the Table of Contents for tool descriptions and links to specific worksheets.</t>
  </si>
  <si>
    <t>1. Reference the product datasheet, found at the URLs below, for information about the particular device.</t>
  </si>
  <si>
    <t>Getting Started with this tool ?</t>
  </si>
  <si>
    <t>0.0.0</t>
  </si>
  <si>
    <t>Beta</t>
  </si>
  <si>
    <t>http://www.ti.com/lit/gpn/amc1301</t>
  </si>
  <si>
    <t>http://www.ti.com/lit/gpn/amc1300</t>
  </si>
  <si>
    <t>AMC1302:</t>
  </si>
  <si>
    <t>http://www.ti.com/lit/gpn/amc1302</t>
  </si>
  <si>
    <t>Document Description</t>
  </si>
  <si>
    <t>AMC1300</t>
  </si>
  <si>
    <t>AMC1301</t>
  </si>
  <si>
    <t>AMC1302</t>
  </si>
  <si>
    <t>AMC1301-Q1</t>
  </si>
  <si>
    <t>Part</t>
  </si>
  <si>
    <t>User Inputs</t>
  </si>
  <si>
    <t>Input Resistor (R4)</t>
  </si>
  <si>
    <t>Error Results</t>
  </si>
  <si>
    <t>Typical Error</t>
  </si>
  <si>
    <t>Worst-Case Error</t>
  </si>
  <si>
    <t>Typical Total Error</t>
  </si>
  <si>
    <t>Typical Total Error after offset cal</t>
  </si>
  <si>
    <t>Typical Total Error after offset and 2-point gain calibration</t>
  </si>
  <si>
    <t>Typical Total Error after offset and 2-point gain cal over temperature</t>
  </si>
  <si>
    <t>Worst-Case Total Error</t>
  </si>
  <si>
    <t>Worst-Case Total Error after offset cal</t>
  </si>
  <si>
    <t>Worst-Case Total Error after offset and 2-point gain cal</t>
  </si>
  <si>
    <t>Worst-Case Total Error after offset and 2-point gain cal over temperature</t>
  </si>
  <si>
    <t>Gain Error Max</t>
  </si>
  <si>
    <t>Gain Error Typ</t>
  </si>
  <si>
    <t>Typical Spec</t>
  </si>
  <si>
    <t>Maximum Spec</t>
  </si>
  <si>
    <t>Gain Drift Typ</t>
  </si>
  <si>
    <t>Gain Drift Max</t>
  </si>
  <si>
    <t>Offset Error Typ</t>
  </si>
  <si>
    <t>Offset Drift Max</t>
  </si>
  <si>
    <t>INL Typ</t>
  </si>
  <si>
    <t>Offset Error Max</t>
  </si>
  <si>
    <t>Offset Drift Typ</t>
  </si>
  <si>
    <t>INL Max</t>
  </si>
  <si>
    <t>INL Drift Typ</t>
  </si>
  <si>
    <t>INL Drift Max</t>
  </si>
  <si>
    <t>Typical Root-sum-square (RSS) Method (mV)</t>
  </si>
  <si>
    <t>Worst-Case Root-sum-square (RSS) Method (mV)</t>
  </si>
  <si>
    <t>Single-Ended Input Resistance</t>
  </si>
  <si>
    <t>Bias Current</t>
  </si>
  <si>
    <t>±Input Voltage Range</t>
  </si>
  <si>
    <t>Note: if no maximum specification is given in the datasheet, the maximum value is estimated at 3x the typical value</t>
  </si>
  <si>
    <t>Power Dissipation Across Voltage Divider</t>
  </si>
  <si>
    <t>Applied Full-Scale Voltage, +FS</t>
  </si>
  <si>
    <r>
      <rPr>
        <b/>
        <sz val="11"/>
        <color theme="1"/>
        <rFont val="Calibri"/>
        <family val="2"/>
      </rPr>
      <t>±</t>
    </r>
    <r>
      <rPr>
        <b/>
        <sz val="11"/>
        <color theme="1"/>
        <rFont val="Calibri"/>
        <family val="2"/>
        <scheme val="minor"/>
      </rPr>
      <t xml:space="preserve">Input Voltage Range by Datasheet Specification = </t>
    </r>
  </si>
  <si>
    <t xml:space="preserve">+FS = </t>
  </si>
  <si>
    <t>Resistor Drift</t>
  </si>
  <si>
    <t>R3 Resistance</t>
  </si>
  <si>
    <t>R2 Resistance</t>
  </si>
  <si>
    <t>R1 Resistance</t>
  </si>
  <si>
    <t>High Voltage Potential</t>
  </si>
  <si>
    <t>Legend</t>
  </si>
  <si>
    <t>Input =</t>
  </si>
  <si>
    <t>Specification =</t>
  </si>
  <si>
    <t>Result =</t>
  </si>
  <si>
    <t>AMC1311</t>
  </si>
  <si>
    <t>AMC1311-Q1</t>
  </si>
  <si>
    <t>AMC3301</t>
  </si>
  <si>
    <t>Temperature Min</t>
  </si>
  <si>
    <t>Temperature Max</t>
  </si>
  <si>
    <t>Device Comparison</t>
  </si>
  <si>
    <r>
      <rPr>
        <u/>
        <sz val="11"/>
        <rFont val="Arial"/>
        <family val="2"/>
      </rPr>
      <t xml:space="preserve">For any futher assistance on this tool, please post your question in the following forum - </t>
    </r>
    <r>
      <rPr>
        <u/>
        <sz val="11"/>
        <color theme="10"/>
        <rFont val="Arial"/>
        <family val="2"/>
      </rPr>
      <t>E2E Precision Data Converters Forum</t>
    </r>
  </si>
  <si>
    <t>AMC1301-Q1:</t>
  </si>
  <si>
    <t>http://www.ti.com/lit/gpn/amc1301-q1</t>
  </si>
  <si>
    <t>AMC3301:</t>
  </si>
  <si>
    <t>http://www.ti.com/lit/gpn/amc1311</t>
  </si>
  <si>
    <t>http://www.ti.com/lit/gpn/amc1311-q1</t>
  </si>
  <si>
    <t>http://www.ti.com/lit/gpn/amc3301</t>
  </si>
  <si>
    <t>http://www.ti.com/lit/gpn/iso224</t>
  </si>
  <si>
    <t>This document provides estimates of the errors associated with using isolation amp devices in a voltage sense configuration.</t>
  </si>
  <si>
    <t>Input Type</t>
  </si>
  <si>
    <t>Differential</t>
  </si>
  <si>
    <t>Single-Ended</t>
  </si>
  <si>
    <t>Select Configuration</t>
  </si>
  <si>
    <t>Select Device</t>
  </si>
  <si>
    <t>Configuration</t>
  </si>
  <si>
    <t>Differential without R3'</t>
  </si>
  <si>
    <t>Differential with R3'</t>
  </si>
  <si>
    <t>Image</t>
  </si>
  <si>
    <t>[Select Configuration]</t>
  </si>
  <si>
    <t>[Select Device]</t>
  </si>
  <si>
    <t>AMC1300-Q1</t>
  </si>
  <si>
    <t>Row Num</t>
  </si>
  <si>
    <t>Row Sel D</t>
  </si>
  <si>
    <t>Row Sel SE</t>
  </si>
  <si>
    <t>Sel D</t>
  </si>
  <si>
    <t>Sel SE</t>
  </si>
  <si>
    <t>Device_List_D</t>
  </si>
  <si>
    <t>Device_List_SE</t>
  </si>
  <si>
    <t>Device_List_N</t>
  </si>
  <si>
    <t>Sel N</t>
  </si>
  <si>
    <t>Row Sel N</t>
  </si>
  <si>
    <t>Compares the datasheet specifications of isolation amps that can be used for voltage sense</t>
  </si>
  <si>
    <t>Calculates a series of error values using an isolation amp for a voltage sense circuit in various configurations</t>
  </si>
  <si>
    <t>Voltage Sense Calculator</t>
  </si>
  <si>
    <t>AMC1301S</t>
  </si>
  <si>
    <t>AMC1300B</t>
  </si>
  <si>
    <t>AMC1311B</t>
  </si>
  <si>
    <t>AMC1311B-Q1</t>
  </si>
  <si>
    <t>ISO224B</t>
  </si>
  <si>
    <t>ISO224A</t>
  </si>
  <si>
    <t>AMC1300/B:</t>
  </si>
  <si>
    <t>AMC1301/S:</t>
  </si>
  <si>
    <t>AMC1311/B:</t>
  </si>
  <si>
    <t>AMC1311/B-Q1:</t>
  </si>
  <si>
    <t>ISO224A/B:</t>
  </si>
  <si>
    <r>
      <t xml:space="preserve">Please select a configuration in the </t>
    </r>
    <r>
      <rPr>
        <b/>
        <sz val="36"/>
        <color theme="1"/>
        <rFont val="Calibri"/>
        <family val="2"/>
        <scheme val="minor"/>
      </rPr>
      <t>User Inputs</t>
    </r>
    <r>
      <rPr>
        <sz val="36"/>
        <color theme="1"/>
        <rFont val="Calibri"/>
        <family val="2"/>
        <scheme val="minor"/>
      </rPr>
      <t xml:space="preserve"> before proceeding.</t>
    </r>
  </si>
  <si>
    <t>Temp Min</t>
  </si>
  <si>
    <t>Temp Max</t>
  </si>
  <si>
    <t>Differential2</t>
  </si>
  <si>
    <t>AMC1303M2510</t>
    <phoneticPr fontId="27"/>
  </si>
  <si>
    <t>AMC1306M25</t>
    <phoneticPr fontId="27"/>
  </si>
  <si>
    <t>AMC3330</t>
  </si>
  <si>
    <t xml:space="preserve">Equivalent impedance (Ω) of the shunt resistor </t>
  </si>
  <si>
    <t>AMC1211-Q1</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</si>
</sst>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0.000%"/>
    <numFmt numFmtId="165" formatCode="0\ &quot;ppm/°C&quot;"/>
    <numFmt numFmtId="166" formatCode="0.00\ &quot;mV&quot;"/>
    <numFmt numFmtId="167" formatCode="0.00\ &quot; µV/°C&quot;"/>
    <numFmt numFmtId="168" formatCode="0\ &quot;µA&quot;"/>
    <numFmt numFmtId="169" formatCode="0.000\ &quot;mV&quot;"/>
    <numFmt numFmtId="170" formatCode="0.00\ &quot;Ω&quot;"/>
    <numFmt numFmtId="171" formatCode="0.00\ &quot;mW&quot;"/>
    <numFmt numFmtId="172" formatCode="0.0000\ &quot;V&quot;"/>
    <numFmt numFmtId="173" formatCode="0\ &quot;V&quot;"/>
    <numFmt numFmtId="174" formatCode="#,##0\ &quot;Ω&quot;"/>
    <numFmt numFmtId="175" formatCode="0.000\ &quot;µA&quot;"/>
    <numFmt numFmtId="176" formatCode="0.0\ &quot;ppm/°C&quot;"/>
    <numFmt numFmtId="177" formatCode="#,##0\ &quot;mV&quot;"/>
    <numFmt numFmtId="178" formatCode="0\ &quot;°C&quot;"/>
    <numFmt numFmtId="179" formatCode="0.0000\ &quot;µA&quot;"/>
    <numFmt numFmtId="180" formatCode="0.0000\ &quot;mV&quot;"/>
  </numFmts>
  <fonts count="30">
    <font>
      <sz val="11"/>
      <color theme="1"/>
      <name val="Calibri"/>
      <family val="2"/>
      <scheme val="minor"/>
    </font>
    <font>
      <b/>
      <sz val="11"/>
      <color theme="1"/>
      <name val="Calibri"/>
      <family val="2"/>
      <scheme val="minor"/>
    </font>
    <font>
      <sz val="11"/>
      <color theme="1"/>
      <name val="Calibri"/>
      <family val="2"/>
    </font>
    <font>
      <b/>
      <sz val="11"/>
      <color theme="1"/>
      <name val="Arial"/>
      <family val="2"/>
    </font>
    <font>
      <u/>
      <sz val="11"/>
      <color theme="10"/>
      <name val="Calibri"/>
      <family val="2"/>
      <scheme val="minor"/>
    </font>
    <font>
      <u/>
      <sz val="11"/>
      <color theme="10"/>
      <name val="Arial"/>
      <family val="2"/>
    </font>
    <font>
      <sz val="11"/>
      <color theme="1"/>
      <name val="Arial"/>
      <family val="2"/>
    </font>
    <font>
      <b/>
      <u/>
      <sz val="11"/>
      <color theme="10"/>
      <name val="Arial"/>
      <family val="2"/>
    </font>
    <font>
      <sz val="10"/>
      <color theme="1"/>
      <name val="Arial"/>
      <family val="2"/>
    </font>
    <font>
      <b/>
      <sz val="10"/>
      <color theme="0"/>
      <name val="Arial"/>
      <family val="2"/>
    </font>
    <font>
      <sz val="10"/>
      <name val="Arial"/>
      <family val="2"/>
    </font>
    <font>
      <b/>
      <u/>
      <sz val="10"/>
      <color theme="10"/>
      <name val="Arial"/>
      <family val="2"/>
    </font>
    <font>
      <b/>
      <sz val="10"/>
      <color theme="1"/>
      <name val="Arial"/>
      <family val="2"/>
    </font>
    <font>
      <b/>
      <u/>
      <sz val="11"/>
      <color theme="10"/>
      <name val="Calibri"/>
      <family val="2"/>
      <scheme val="minor"/>
    </font>
    <font>
      <sz val="11"/>
      <color rgb="FFFF0000"/>
      <name val="Calibri"/>
      <family val="2"/>
      <scheme val="minor"/>
    </font>
    <font>
      <b/>
      <sz val="14"/>
      <color theme="1"/>
      <name val="Calibri"/>
      <family val="2"/>
      <scheme val="minor"/>
    </font>
    <font>
      <b/>
      <sz val="11"/>
      <color theme="1"/>
      <name val="Calibri"/>
      <family val="2"/>
    </font>
    <font>
      <sz val="11"/>
      <name val="Calibri"/>
      <family val="2"/>
      <scheme val="minor"/>
    </font>
    <font>
      <b/>
      <sz val="11"/>
      <color rgb="FFDE0000"/>
      <name val="Calibri"/>
      <family val="2"/>
      <scheme val="minor"/>
    </font>
    <font>
      <i/>
      <sz val="10"/>
      <color theme="1"/>
      <name val="Arial"/>
      <family val="2"/>
    </font>
    <font>
      <sz val="11"/>
      <color theme="0"/>
      <name val="Calibri"/>
      <family val="2"/>
      <scheme val="minor"/>
    </font>
    <font>
      <sz val="11"/>
      <color theme="1"/>
      <name val="Calibri"/>
      <scheme val="minor"/>
    </font>
    <font>
      <sz val="11"/>
      <color theme="1"/>
      <name val="Calibri"/>
    </font>
    <font>
      <u/>
      <sz val="11"/>
      <name val="Arial"/>
      <family val="2"/>
    </font>
    <font>
      <sz val="36"/>
      <color theme="1"/>
      <name val="Calibri"/>
      <family val="2"/>
      <scheme val="minor"/>
    </font>
    <font>
      <b/>
      <sz val="36"/>
      <color theme="1"/>
      <name val="Calibri"/>
      <family val="2"/>
      <scheme val="minor"/>
    </font>
    <font>
      <b/>
      <sz val="11"/>
      <color theme="1"/>
      <name val="Calibri"/>
      <scheme val="minor"/>
    </font>
    <font>
      <sz val="6"/>
      <name val="Calibri"/>
      <family val="3"/>
      <charset val="128"/>
      <scheme val="minor"/>
    </font>
    <font>
      <sz val="11"/>
      <color theme="1"/>
      <name val="Calibri"/>
      <family val="3"/>
      <charset val="128"/>
      <scheme val="minor"/>
    </font>
    <font>
      <sz val="11"/>
      <color rgb="FFFF0000"/>
      <name val="Calibri"/>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rgb="FFDE0000"/>
        <bgColor indexed="64"/>
      </patternFill>
    </fill>
    <fill>
      <patternFill patternType="solid">
        <fgColor theme="1"/>
        <bgColor indexed="64"/>
      </patternFill>
    </fill>
    <fill>
      <patternFill patternType="solid">
        <fgColor rgb="FFCCFFCC"/>
        <bgColor indexed="64"/>
      </patternFill>
    </fill>
    <fill>
      <patternFill patternType="solid">
        <fgColor rgb="FFFFFFCC"/>
        <bgColor indexed="64"/>
      </patternFill>
    </fill>
    <fill>
      <patternFill patternType="solid">
        <fgColor rgb="FF89E0FF"/>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style="thin">
        <color auto="1"/>
      </top>
      <bottom style="thin">
        <color auto="1"/>
      </bottom>
      <diagonal/>
    </border>
    <border>
      <left style="thin">
        <color indexed="64"/>
      </left>
      <right/>
      <top/>
      <bottom/>
      <diagonal/>
    </border>
    <border>
      <left/>
      <right style="medium">
        <color indexed="64"/>
      </right>
      <top/>
      <bottom style="medium">
        <color indexed="64"/>
      </bottom>
      <diagonal/>
    </border>
    <border>
      <left style="thick">
        <color rgb="FFFF0000"/>
      </left>
      <right/>
      <top/>
      <bottom/>
      <diagonal/>
    </border>
    <border>
      <left style="thick">
        <color rgb="FFFF0000"/>
      </left>
      <right style="thick">
        <color rgb="FFFF0000"/>
      </right>
      <top style="thick">
        <color rgb="FFFF0000"/>
      </top>
      <bottom style="thick">
        <color rgb="FFFF0000"/>
      </bottom>
      <diagonal/>
    </border>
    <border>
      <left/>
      <right style="thin">
        <color indexed="64"/>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auto="1"/>
      </top>
      <bottom/>
      <diagonal/>
    </border>
    <border>
      <left style="thin">
        <color indexed="64"/>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274">
    <xf numFmtId="0" fontId="0" fillId="0" borderId="0" xfId="0"/>
    <xf numFmtId="0" fontId="0" fillId="0" borderId="0" xfId="0" applyFill="1"/>
    <xf numFmtId="0" fontId="0" fillId="0" borderId="0" xfId="0" applyFont="1" applyFill="1"/>
    <xf numFmtId="0" fontId="6" fillId="0" borderId="0" xfId="0" applyFont="1" applyFill="1"/>
    <xf numFmtId="0" fontId="6" fillId="0" borderId="0" xfId="0" applyFont="1" applyFill="1" applyAlignment="1"/>
    <xf numFmtId="0" fontId="6" fillId="0" borderId="0" xfId="0" applyFont="1"/>
    <xf numFmtId="0" fontId="6" fillId="0" borderId="0" xfId="0" applyFont="1" applyFill="1" applyAlignment="1">
      <alignment wrapText="1"/>
    </xf>
    <xf numFmtId="0" fontId="6" fillId="0" borderId="0" xfId="0" applyFont="1" applyAlignment="1">
      <alignment horizontal="left"/>
    </xf>
    <xf numFmtId="0" fontId="6" fillId="0" borderId="0" xfId="0" applyFont="1" applyAlignment="1">
      <alignment horizontal="center"/>
    </xf>
    <xf numFmtId="0" fontId="7" fillId="0" borderId="0" xfId="1" applyFont="1" applyFill="1" applyBorder="1" applyAlignment="1">
      <alignment vertical="center"/>
    </xf>
    <xf numFmtId="0" fontId="6" fillId="0" borderId="0" xfId="0" applyFont="1" applyFill="1" applyAlignment="1">
      <alignment horizontal="left"/>
    </xf>
    <xf numFmtId="0" fontId="8" fillId="0" borderId="0" xfId="0" applyFont="1" applyAlignment="1">
      <alignment horizontal="center"/>
    </xf>
    <xf numFmtId="0" fontId="9" fillId="4" borderId="0" xfId="0" applyFont="1" applyFill="1" applyAlignment="1">
      <alignment horizontal="center"/>
    </xf>
    <xf numFmtId="0" fontId="8" fillId="0" borderId="0" xfId="0" applyFont="1"/>
    <xf numFmtId="0" fontId="10" fillId="0" borderId="0" xfId="0" applyFont="1" applyFill="1" applyAlignment="1"/>
    <xf numFmtId="0" fontId="11" fillId="0" borderId="0" xfId="1" applyFont="1" applyFill="1" applyBorder="1" applyAlignment="1">
      <alignment horizontal="right" vertical="center"/>
    </xf>
    <xf numFmtId="0" fontId="12" fillId="0" borderId="0" xfId="0" applyFont="1" applyAlignment="1">
      <alignment horizontal="left"/>
    </xf>
    <xf numFmtId="0" fontId="12" fillId="0" borderId="0" xfId="0" applyFont="1" applyAlignment="1">
      <alignment horizontal="center"/>
    </xf>
    <xf numFmtId="0" fontId="11" fillId="0" borderId="0" xfId="1" applyFont="1" applyFill="1" applyBorder="1" applyAlignment="1">
      <alignment vertical="center"/>
    </xf>
    <xf numFmtId="0" fontId="8" fillId="0" borderId="0" xfId="0" applyFont="1" applyFill="1"/>
    <xf numFmtId="0" fontId="8" fillId="0" borderId="0" xfId="0" applyFont="1" applyFill="1" applyProtection="1"/>
    <xf numFmtId="0" fontId="0" fillId="0" borderId="0" xfId="0" applyFont="1" applyFill="1" applyBorder="1"/>
    <xf numFmtId="0" fontId="0" fillId="0" borderId="27" xfId="0" applyBorder="1"/>
    <xf numFmtId="0" fontId="0" fillId="0" borderId="0" xfId="0" applyBorder="1"/>
    <xf numFmtId="10" fontId="0" fillId="0" borderId="0" xfId="0" applyNumberFormat="1" applyFont="1" applyFill="1" applyBorder="1" applyAlignment="1">
      <alignment horizontal="center"/>
    </xf>
    <xf numFmtId="0" fontId="0" fillId="0" borderId="0" xfId="0" applyFont="1" applyFill="1" applyBorder="1" applyAlignment="1">
      <alignment horizontal="center"/>
    </xf>
    <xf numFmtId="0" fontId="1" fillId="0" borderId="26" xfId="0" applyFont="1" applyBorder="1" applyAlignment="1">
      <alignment horizontal="center"/>
    </xf>
    <xf numFmtId="0" fontId="0" fillId="0" borderId="0" xfId="0" applyBorder="1" applyAlignment="1">
      <alignment horizontal="center"/>
    </xf>
    <xf numFmtId="0" fontId="14" fillId="0" borderId="0" xfId="0" applyFont="1"/>
    <xf numFmtId="0" fontId="12" fillId="0" borderId="0" xfId="0" applyFont="1" applyFill="1" applyBorder="1" applyAlignment="1" applyProtection="1">
      <alignment horizontal="left" vertical="center"/>
    </xf>
    <xf numFmtId="10" fontId="0" fillId="6" borderId="15" xfId="0" applyNumberFormat="1" applyFont="1" applyFill="1" applyBorder="1" applyAlignment="1">
      <alignment horizontal="center"/>
    </xf>
    <xf numFmtId="0" fontId="17" fillId="0" borderId="0" xfId="0" applyFont="1" applyAlignment="1">
      <alignment horizontal="left"/>
    </xf>
    <xf numFmtId="0" fontId="1" fillId="0" borderId="0" xfId="0" applyFont="1" applyBorder="1" applyAlignment="1">
      <alignment horizontal="center"/>
    </xf>
    <xf numFmtId="0" fontId="1" fillId="0" borderId="0" xfId="0" applyFont="1"/>
    <xf numFmtId="0" fontId="13" fillId="0" borderId="0" xfId="1" applyFont="1" applyFill="1" applyAlignment="1"/>
    <xf numFmtId="0" fontId="0" fillId="0" borderId="0" xfId="0" applyAlignment="1">
      <alignment horizontal="center"/>
    </xf>
    <xf numFmtId="0" fontId="0" fillId="0" borderId="0" xfId="0" applyAlignment="1">
      <alignment horizontal="left"/>
    </xf>
    <xf numFmtId="10" fontId="0" fillId="6" borderId="29" xfId="0" applyNumberFormat="1" applyFont="1" applyFill="1" applyBorder="1" applyAlignment="1">
      <alignment horizontal="center"/>
    </xf>
    <xf numFmtId="165" fontId="0" fillId="6" borderId="15" xfId="0" applyNumberFormat="1" applyFont="1" applyFill="1" applyBorder="1" applyAlignment="1">
      <alignment horizontal="center"/>
    </xf>
    <xf numFmtId="165" fontId="0" fillId="6" borderId="29" xfId="0" applyNumberFormat="1" applyFont="1" applyFill="1" applyBorder="1" applyAlignment="1">
      <alignment horizontal="center"/>
    </xf>
    <xf numFmtId="166" fontId="0" fillId="6" borderId="15" xfId="0" applyNumberFormat="1" applyFont="1" applyFill="1" applyBorder="1" applyAlignment="1">
      <alignment horizontal="center"/>
    </xf>
    <xf numFmtId="166" fontId="0" fillId="6" borderId="29" xfId="0" applyNumberFormat="1" applyFont="1" applyFill="1" applyBorder="1" applyAlignment="1">
      <alignment horizontal="center"/>
    </xf>
    <xf numFmtId="167" fontId="0" fillId="6" borderId="15" xfId="0" applyNumberFormat="1" applyFont="1" applyFill="1" applyBorder="1" applyAlignment="1">
      <alignment horizontal="center"/>
    </xf>
    <xf numFmtId="167" fontId="0" fillId="6" borderId="29" xfId="0" applyNumberFormat="1" applyFont="1" applyFill="1" applyBorder="1" applyAlignment="1">
      <alignment horizontal="center"/>
    </xf>
    <xf numFmtId="0" fontId="0" fillId="0" borderId="25" xfId="0" applyFont="1" applyBorder="1" applyAlignment="1">
      <alignment horizontal="left"/>
    </xf>
    <xf numFmtId="165" fontId="0" fillId="0" borderId="0" xfId="0" applyNumberFormat="1" applyAlignment="1">
      <alignment horizontal="center"/>
    </xf>
    <xf numFmtId="166" fontId="0" fillId="0" borderId="0" xfId="0" applyNumberFormat="1" applyAlignment="1">
      <alignment horizontal="center"/>
    </xf>
    <xf numFmtId="167" fontId="0" fillId="0" borderId="0" xfId="0" applyNumberFormat="1" applyAlignment="1">
      <alignment horizontal="center"/>
    </xf>
    <xf numFmtId="168" fontId="0" fillId="0" borderId="0" xfId="0" applyNumberFormat="1" applyAlignment="1">
      <alignment horizontal="center"/>
    </xf>
    <xf numFmtId="172" fontId="0" fillId="2" borderId="24" xfId="0" applyNumberFormat="1" applyFont="1" applyFill="1" applyBorder="1" applyAlignment="1">
      <alignment horizontal="center" vertical="center"/>
    </xf>
    <xf numFmtId="0" fontId="19" fillId="0" borderId="0" xfId="0" quotePrefix="1" applyFont="1" applyFill="1" applyBorder="1" applyAlignment="1" applyProtection="1">
      <alignment horizontal="right" vertical="center"/>
    </xf>
    <xf numFmtId="0" fontId="0" fillId="8" borderId="7" xfId="0" applyFont="1" applyFill="1" applyBorder="1" applyAlignment="1">
      <alignment vertical="center"/>
    </xf>
    <xf numFmtId="0" fontId="0" fillId="8" borderId="8" xfId="0" applyFont="1" applyFill="1" applyBorder="1" applyAlignment="1">
      <alignment vertical="center"/>
    </xf>
    <xf numFmtId="0" fontId="0" fillId="8" borderId="9" xfId="0" applyFont="1" applyFill="1" applyBorder="1" applyAlignment="1">
      <alignment vertical="center"/>
    </xf>
    <xf numFmtId="0" fontId="1" fillId="2" borderId="33" xfId="0" applyFont="1" applyFill="1" applyBorder="1" applyAlignment="1">
      <alignment vertical="center"/>
    </xf>
    <xf numFmtId="0" fontId="0" fillId="2" borderId="13" xfId="0" applyFill="1" applyBorder="1" applyAlignment="1">
      <alignment vertical="center"/>
    </xf>
    <xf numFmtId="10" fontId="0" fillId="6" borderId="5" xfId="0" applyNumberFormat="1" applyFont="1" applyFill="1" applyBorder="1" applyAlignment="1">
      <alignment horizontal="center" vertical="center"/>
    </xf>
    <xf numFmtId="169" fontId="17" fillId="8" borderId="5" xfId="0" applyNumberFormat="1" applyFont="1" applyFill="1" applyBorder="1" applyAlignment="1">
      <alignment horizontal="center" vertical="center"/>
    </xf>
    <xf numFmtId="165" fontId="0" fillId="6" borderId="1" xfId="0" applyNumberFormat="1" applyFont="1" applyFill="1" applyBorder="1" applyAlignment="1">
      <alignment horizontal="center" vertical="center"/>
    </xf>
    <xf numFmtId="169" fontId="17" fillId="8" borderId="1" xfId="0" applyNumberFormat="1" applyFont="1" applyFill="1" applyBorder="1" applyAlignment="1">
      <alignment horizontal="center" vertical="center"/>
    </xf>
    <xf numFmtId="169" fontId="0" fillId="8" borderId="1" xfId="0" applyNumberFormat="1" applyFont="1" applyFill="1" applyBorder="1" applyAlignment="1">
      <alignment horizontal="center" vertical="center"/>
    </xf>
    <xf numFmtId="166" fontId="0" fillId="6" borderId="1" xfId="0" applyNumberFormat="1" applyFont="1" applyFill="1" applyBorder="1" applyAlignment="1">
      <alignment horizontal="center" vertical="center"/>
    </xf>
    <xf numFmtId="167" fontId="0" fillId="6" borderId="1" xfId="0" applyNumberFormat="1" applyFont="1" applyFill="1" applyBorder="1" applyAlignment="1">
      <alignment horizontal="center" vertical="center"/>
    </xf>
    <xf numFmtId="10" fontId="0" fillId="6" borderId="1" xfId="0" applyNumberFormat="1" applyFont="1" applyFill="1" applyBorder="1" applyAlignment="1">
      <alignment horizontal="center" vertical="center"/>
    </xf>
    <xf numFmtId="169" fontId="0" fillId="8" borderId="2" xfId="0" applyNumberFormat="1" applyFont="1" applyFill="1" applyBorder="1" applyAlignment="1">
      <alignment horizontal="center" vertical="center"/>
    </xf>
    <xf numFmtId="10" fontId="0" fillId="5" borderId="6" xfId="0" applyNumberFormat="1" applyFont="1" applyFill="1" applyBorder="1" applyAlignment="1">
      <alignment horizontal="center" vertical="center"/>
    </xf>
    <xf numFmtId="169" fontId="0" fillId="5" borderId="6" xfId="0" applyNumberFormat="1" applyFont="1" applyFill="1" applyBorder="1" applyAlignment="1">
      <alignment horizontal="center" vertical="center"/>
    </xf>
    <xf numFmtId="10" fontId="0" fillId="5" borderId="1" xfId="0" applyNumberFormat="1" applyFont="1" applyFill="1" applyBorder="1" applyAlignment="1">
      <alignment horizontal="center" vertical="center"/>
    </xf>
    <xf numFmtId="169" fontId="0" fillId="5" borderId="1" xfId="0" applyNumberFormat="1" applyFont="1" applyFill="1" applyBorder="1" applyAlignment="1">
      <alignment horizontal="center" vertical="center"/>
    </xf>
    <xf numFmtId="10" fontId="0" fillId="5" borderId="2" xfId="0" applyNumberFormat="1" applyFont="1" applyFill="1" applyBorder="1" applyAlignment="1">
      <alignment horizontal="center" vertical="center"/>
    </xf>
    <xf numFmtId="169" fontId="0" fillId="5" borderId="2" xfId="0" applyNumberFormat="1" applyFont="1" applyFill="1" applyBorder="1" applyAlignment="1">
      <alignment horizontal="center" vertical="center"/>
    </xf>
    <xf numFmtId="0" fontId="0" fillId="8" borderId="22" xfId="0" applyFont="1" applyFill="1" applyBorder="1" applyAlignment="1">
      <alignment horizontal="left" vertical="center"/>
    </xf>
    <xf numFmtId="10" fontId="21" fillId="6" borderId="29" xfId="0" applyNumberFormat="1" applyFont="1" applyFill="1" applyBorder="1" applyAlignment="1">
      <alignment horizontal="center"/>
    </xf>
    <xf numFmtId="165" fontId="21" fillId="6" borderId="29" xfId="0" applyNumberFormat="1" applyFont="1" applyFill="1" applyBorder="1" applyAlignment="1">
      <alignment horizontal="center"/>
    </xf>
    <xf numFmtId="166" fontId="21" fillId="6" borderId="29" xfId="0" applyNumberFormat="1" applyFont="1" applyFill="1" applyBorder="1" applyAlignment="1">
      <alignment horizontal="center"/>
    </xf>
    <xf numFmtId="167" fontId="21" fillId="6" borderId="29" xfId="0" applyNumberFormat="1" applyFont="1" applyFill="1" applyBorder="1" applyAlignment="1">
      <alignment horizontal="center"/>
    </xf>
    <xf numFmtId="0" fontId="0" fillId="0" borderId="1" xfId="0" applyBorder="1" applyAlignment="1">
      <alignment horizontal="left"/>
    </xf>
    <xf numFmtId="164" fontId="21" fillId="6" borderId="29" xfId="0" applyNumberFormat="1" applyFont="1" applyFill="1" applyBorder="1" applyAlignment="1">
      <alignment horizontal="center"/>
    </xf>
    <xf numFmtId="176" fontId="21" fillId="6" borderId="29" xfId="0" applyNumberFormat="1" applyFont="1" applyFill="1" applyBorder="1" applyAlignment="1">
      <alignment horizontal="center"/>
    </xf>
    <xf numFmtId="174" fontId="2" fillId="6" borderId="15" xfId="0" applyNumberFormat="1" applyFont="1" applyFill="1" applyBorder="1" applyAlignment="1">
      <alignment horizontal="center"/>
    </xf>
    <xf numFmtId="174" fontId="0" fillId="6" borderId="29" xfId="0" applyNumberFormat="1" applyFont="1" applyFill="1" applyBorder="1" applyAlignment="1">
      <alignment horizontal="center"/>
    </xf>
    <xf numFmtId="174" fontId="22" fillId="6" borderId="29" xfId="0" applyNumberFormat="1" applyFont="1" applyFill="1" applyBorder="1" applyAlignment="1">
      <alignment horizontal="center"/>
    </xf>
    <xf numFmtId="174" fontId="0" fillId="0" borderId="0" xfId="0" applyNumberFormat="1" applyAlignment="1">
      <alignment horizontal="center"/>
    </xf>
    <xf numFmtId="177" fontId="2" fillId="6" borderId="15" xfId="0" applyNumberFormat="1" applyFont="1" applyFill="1" applyBorder="1" applyAlignment="1">
      <alignment horizontal="center"/>
    </xf>
    <xf numFmtId="177" fontId="2" fillId="6" borderId="29" xfId="0" applyNumberFormat="1" applyFont="1" applyFill="1" applyBorder="1" applyAlignment="1">
      <alignment horizontal="center"/>
    </xf>
    <xf numFmtId="177" fontId="22" fillId="6" borderId="29" xfId="0" applyNumberFormat="1" applyFont="1" applyFill="1" applyBorder="1" applyAlignment="1">
      <alignment horizontal="center"/>
    </xf>
    <xf numFmtId="177" fontId="0" fillId="0" borderId="0" xfId="0" applyNumberFormat="1" applyAlignment="1">
      <alignment horizontal="center"/>
    </xf>
    <xf numFmtId="0" fontId="5" fillId="0" borderId="0" xfId="1" applyFont="1" applyFill="1" applyBorder="1" applyAlignment="1">
      <alignment horizontal="right" vertical="center"/>
    </xf>
    <xf numFmtId="0" fontId="5" fillId="0" borderId="0" xfId="1" applyFont="1" applyFill="1" applyBorder="1" applyAlignment="1">
      <alignment horizontal="center" vertical="center"/>
    </xf>
    <xf numFmtId="0" fontId="5" fillId="0" borderId="0" xfId="1" applyFont="1" applyFill="1" applyAlignment="1"/>
    <xf numFmtId="0" fontId="0" fillId="0" borderId="0" xfId="0" applyAlignment="1">
      <alignment horizontal="center"/>
    </xf>
    <xf numFmtId="0" fontId="0" fillId="8" borderId="14" xfId="0" applyFont="1" applyFill="1" applyBorder="1" applyAlignment="1">
      <alignment horizontal="left" vertical="center"/>
    </xf>
    <xf numFmtId="0" fontId="0" fillId="8" borderId="15" xfId="0" applyFont="1" applyFill="1" applyBorder="1" applyAlignment="1">
      <alignment horizontal="left" vertical="center"/>
    </xf>
    <xf numFmtId="0" fontId="0" fillId="8" borderId="16" xfId="0" applyFont="1" applyFill="1" applyBorder="1" applyAlignment="1">
      <alignment horizontal="left" vertical="center"/>
    </xf>
    <xf numFmtId="0" fontId="0" fillId="8" borderId="20" xfId="0" applyFont="1" applyFill="1" applyBorder="1" applyAlignment="1">
      <alignment horizontal="left" vertical="center"/>
    </xf>
    <xf numFmtId="0" fontId="0" fillId="8" borderId="21" xfId="0" applyFont="1" applyFill="1" applyBorder="1" applyAlignment="1">
      <alignment horizontal="left" vertical="center"/>
    </xf>
    <xf numFmtId="0" fontId="0" fillId="8" borderId="18" xfId="0" applyFont="1" applyFill="1" applyBorder="1" applyAlignment="1">
      <alignment horizontal="left" vertical="center"/>
    </xf>
    <xf numFmtId="0" fontId="0" fillId="8" borderId="19" xfId="0" applyFont="1" applyFill="1" applyBorder="1" applyAlignment="1">
      <alignment horizontal="left" vertical="center"/>
    </xf>
    <xf numFmtId="0" fontId="0" fillId="8" borderId="17" xfId="0" applyFont="1" applyFill="1" applyBorder="1" applyAlignment="1">
      <alignment horizontal="left" vertical="center"/>
    </xf>
    <xf numFmtId="0" fontId="8" fillId="5" borderId="1" xfId="0" applyFont="1" applyFill="1" applyBorder="1" applyAlignment="1" applyProtection="1">
      <alignment horizontal="center" vertical="center"/>
    </xf>
    <xf numFmtId="0" fontId="8" fillId="7" borderId="1" xfId="0" applyFont="1" applyFill="1" applyBorder="1" applyAlignment="1" applyProtection="1">
      <alignment horizontal="center" vertical="center"/>
    </xf>
    <xf numFmtId="0" fontId="8" fillId="6" borderId="1" xfId="0" applyFont="1" applyFill="1" applyBorder="1" applyAlignment="1" applyProtection="1">
      <alignment horizontal="center" vertical="center"/>
    </xf>
    <xf numFmtId="0" fontId="0" fillId="0" borderId="15" xfId="0" applyFont="1" applyBorder="1" applyAlignment="1">
      <alignment horizontal="left"/>
    </xf>
    <xf numFmtId="0" fontId="0" fillId="0" borderId="14" xfId="0" applyFont="1" applyBorder="1" applyAlignment="1">
      <alignment horizontal="left"/>
    </xf>
    <xf numFmtId="0" fontId="0" fillId="0" borderId="14" xfId="0" applyBorder="1" applyAlignment="1">
      <alignment horizontal="left"/>
    </xf>
    <xf numFmtId="10" fontId="21" fillId="6" borderId="15" xfId="0" applyNumberFormat="1" applyFont="1" applyFill="1" applyBorder="1" applyAlignment="1">
      <alignment horizontal="center"/>
    </xf>
    <xf numFmtId="0" fontId="0" fillId="0" borderId="0" xfId="0" applyAlignment="1"/>
    <xf numFmtId="174" fontId="22" fillId="6" borderId="15" xfId="0" applyNumberFormat="1" applyFont="1" applyFill="1" applyBorder="1" applyAlignment="1">
      <alignment horizontal="center"/>
    </xf>
    <xf numFmtId="0" fontId="0" fillId="0" borderId="26" xfId="0" applyFont="1" applyBorder="1" applyAlignment="1">
      <alignment horizontal="left"/>
    </xf>
    <xf numFmtId="49" fontId="0" fillId="6" borderId="14" xfId="0" applyNumberFormat="1" applyFill="1" applyBorder="1" applyAlignment="1">
      <alignment horizontal="center"/>
    </xf>
    <xf numFmtId="49" fontId="0" fillId="6" borderId="14" xfId="0" applyNumberFormat="1" applyFont="1" applyFill="1" applyBorder="1" applyAlignment="1">
      <alignment horizontal="center"/>
    </xf>
    <xf numFmtId="49" fontId="21" fillId="6" borderId="14" xfId="0" applyNumberFormat="1" applyFont="1" applyFill="1" applyBorder="1" applyAlignment="1">
      <alignment horizontal="center"/>
    </xf>
    <xf numFmtId="10" fontId="0" fillId="6" borderId="26" xfId="0" applyNumberFormat="1" applyFill="1" applyBorder="1" applyAlignment="1">
      <alignment horizontal="center"/>
    </xf>
    <xf numFmtId="165" fontId="0" fillId="6" borderId="26" xfId="0" applyNumberFormat="1" applyFont="1" applyFill="1" applyBorder="1" applyAlignment="1">
      <alignment horizontal="center"/>
    </xf>
    <xf numFmtId="166" fontId="0" fillId="6" borderId="26" xfId="0" applyNumberFormat="1" applyFill="1" applyBorder="1" applyAlignment="1">
      <alignment horizontal="center"/>
    </xf>
    <xf numFmtId="167" fontId="0" fillId="6" borderId="26" xfId="0" applyNumberFormat="1" applyFont="1" applyFill="1" applyBorder="1" applyAlignment="1">
      <alignment horizontal="center"/>
    </xf>
    <xf numFmtId="10" fontId="0" fillId="6" borderId="26" xfId="0" applyNumberFormat="1" applyFont="1" applyFill="1" applyBorder="1" applyAlignment="1">
      <alignment horizontal="center"/>
    </xf>
    <xf numFmtId="177" fontId="2" fillId="6" borderId="26" xfId="0" applyNumberFormat="1" applyFont="1" applyFill="1" applyBorder="1" applyAlignment="1">
      <alignment horizontal="center"/>
    </xf>
    <xf numFmtId="174" fontId="2" fillId="6" borderId="26" xfId="0" applyNumberFormat="1" applyFont="1" applyFill="1" applyBorder="1" applyAlignment="1">
      <alignment horizontal="center"/>
    </xf>
    <xf numFmtId="49" fontId="0" fillId="6" borderId="50" xfId="0" applyNumberFormat="1" applyFont="1" applyFill="1" applyBorder="1" applyAlignment="1">
      <alignment horizontal="center"/>
    </xf>
    <xf numFmtId="49" fontId="0" fillId="6" borderId="15" xfId="0" applyNumberFormat="1" applyFont="1" applyFill="1" applyBorder="1" applyAlignment="1">
      <alignment horizontal="center"/>
    </xf>
    <xf numFmtId="49" fontId="0" fillId="6" borderId="25" xfId="0" applyNumberFormat="1" applyFont="1" applyFill="1" applyBorder="1" applyAlignment="1">
      <alignment horizontal="center"/>
    </xf>
    <xf numFmtId="168" fontId="0" fillId="6" borderId="28" xfId="0" applyNumberFormat="1" applyFont="1" applyFill="1" applyBorder="1" applyAlignment="1">
      <alignment horizontal="center"/>
    </xf>
    <xf numFmtId="168" fontId="0" fillId="6" borderId="25" xfId="0" applyNumberFormat="1" applyFont="1" applyFill="1" applyBorder="1" applyAlignment="1">
      <alignment horizontal="center"/>
    </xf>
    <xf numFmtId="168" fontId="0" fillId="6" borderId="36" xfId="0" applyNumberFormat="1" applyFont="1" applyFill="1" applyBorder="1" applyAlignment="1">
      <alignment horizontal="center"/>
    </xf>
    <xf numFmtId="175" fontId="21" fillId="6" borderId="36" xfId="0" applyNumberFormat="1" applyFont="1" applyFill="1" applyBorder="1" applyAlignment="1">
      <alignment horizontal="center"/>
    </xf>
    <xf numFmtId="168" fontId="21" fillId="6" borderId="36" xfId="0" applyNumberFormat="1" applyFont="1" applyFill="1" applyBorder="1" applyAlignment="1">
      <alignment horizontal="center"/>
    </xf>
    <xf numFmtId="0" fontId="0" fillId="0" borderId="52" xfId="0" applyBorder="1"/>
    <xf numFmtId="0" fontId="24" fillId="8" borderId="53" xfId="0" applyFont="1" applyFill="1" applyBorder="1" applyAlignment="1">
      <alignment horizontal="center" vertical="center" wrapText="1"/>
    </xf>
    <xf numFmtId="10" fontId="0" fillId="6" borderId="49" xfId="0" applyNumberFormat="1" applyFont="1" applyFill="1" applyBorder="1" applyAlignment="1">
      <alignment horizontal="center"/>
    </xf>
    <xf numFmtId="168" fontId="0" fillId="6" borderId="54" xfId="0" applyNumberFormat="1" applyFont="1" applyFill="1" applyBorder="1" applyAlignment="1">
      <alignment horizontal="center"/>
    </xf>
    <xf numFmtId="49" fontId="0" fillId="6" borderId="50" xfId="0" applyNumberFormat="1" applyFill="1" applyBorder="1" applyAlignment="1">
      <alignment horizontal="center"/>
    </xf>
    <xf numFmtId="49" fontId="21" fillId="6" borderId="50" xfId="0" applyNumberFormat="1" applyFont="1" applyFill="1" applyBorder="1" applyAlignment="1">
      <alignment horizontal="center"/>
    </xf>
    <xf numFmtId="0" fontId="1" fillId="0" borderId="15" xfId="0" applyFont="1" applyBorder="1" applyAlignment="1">
      <alignment horizontal="center"/>
    </xf>
    <xf numFmtId="0" fontId="1" fillId="0" borderId="14" xfId="0" applyFont="1" applyBorder="1" applyAlignment="1">
      <alignment horizontal="center"/>
    </xf>
    <xf numFmtId="0" fontId="1" fillId="0" borderId="25" xfId="0" applyFont="1" applyBorder="1" applyAlignment="1">
      <alignment horizontal="center"/>
    </xf>
    <xf numFmtId="0" fontId="0" fillId="8" borderId="0" xfId="0" applyFill="1"/>
    <xf numFmtId="174" fontId="2" fillId="6" borderId="29" xfId="0" applyNumberFormat="1" applyFont="1" applyFill="1" applyBorder="1" applyAlignment="1">
      <alignment horizontal="center"/>
    </xf>
    <xf numFmtId="0" fontId="0" fillId="6" borderId="15" xfId="0" applyNumberFormat="1" applyFont="1" applyFill="1" applyBorder="1" applyAlignment="1">
      <alignment horizontal="center"/>
    </xf>
    <xf numFmtId="0" fontId="0" fillId="6" borderId="0" xfId="0" applyFont="1" applyFill="1" applyAlignment="1">
      <alignment horizontal="center"/>
    </xf>
    <xf numFmtId="0" fontId="0" fillId="6" borderId="0" xfId="0" applyNumberFormat="1" applyFont="1" applyFill="1" applyAlignment="1">
      <alignment horizontal="center"/>
    </xf>
    <xf numFmtId="0" fontId="21" fillId="6" borderId="0" xfId="0" applyNumberFormat="1" applyFont="1" applyFill="1" applyAlignment="1">
      <alignment horizontal="center"/>
    </xf>
    <xf numFmtId="0" fontId="26" fillId="0" borderId="26" xfId="0" applyFont="1" applyBorder="1" applyAlignment="1">
      <alignment horizontal="center"/>
    </xf>
    <xf numFmtId="174" fontId="2" fillId="6" borderId="49" xfId="0" applyNumberFormat="1" applyFont="1" applyFill="1" applyBorder="1" applyAlignment="1">
      <alignment horizontal="center"/>
    </xf>
    <xf numFmtId="179" fontId="21" fillId="6" borderId="36" xfId="0" applyNumberFormat="1" applyFont="1" applyFill="1" applyBorder="1" applyAlignment="1">
      <alignment horizontal="center"/>
    </xf>
    <xf numFmtId="179" fontId="0" fillId="6" borderId="54" xfId="0" applyNumberFormat="1" applyFont="1" applyFill="1" applyBorder="1" applyAlignment="1">
      <alignment horizontal="center"/>
    </xf>
    <xf numFmtId="0" fontId="0" fillId="0" borderId="35" xfId="0" applyBorder="1" applyAlignment="1">
      <alignment horizontal="left"/>
    </xf>
    <xf numFmtId="10" fontId="0" fillId="6" borderId="57" xfId="0" applyNumberFormat="1" applyFont="1" applyFill="1" applyBorder="1" applyAlignment="1">
      <alignment horizontal="center"/>
    </xf>
    <xf numFmtId="174" fontId="2" fillId="6" borderId="57" xfId="0" applyNumberFormat="1" applyFont="1" applyFill="1" applyBorder="1" applyAlignment="1">
      <alignment horizontal="center"/>
    </xf>
    <xf numFmtId="0" fontId="0" fillId="6" borderId="0" xfId="0" applyNumberFormat="1" applyFont="1" applyFill="1" applyBorder="1" applyAlignment="1">
      <alignment horizontal="center"/>
    </xf>
    <xf numFmtId="0" fontId="0" fillId="0" borderId="0" xfId="0" quotePrefix="1"/>
    <xf numFmtId="0" fontId="1" fillId="2" borderId="47" xfId="0" applyFont="1" applyFill="1" applyBorder="1" applyAlignment="1">
      <alignment vertical="center"/>
    </xf>
    <xf numFmtId="0" fontId="1" fillId="7" borderId="32" xfId="0" applyFont="1" applyFill="1" applyBorder="1" applyAlignment="1">
      <alignment horizontal="center" vertical="center"/>
    </xf>
    <xf numFmtId="0" fontId="1" fillId="2" borderId="48" xfId="0" applyFont="1" applyFill="1" applyBorder="1" applyAlignment="1">
      <alignment vertical="center"/>
    </xf>
    <xf numFmtId="0" fontId="1" fillId="7" borderId="51" xfId="0" applyFont="1" applyFill="1" applyBorder="1" applyAlignment="1">
      <alignment horizontal="center" vertical="center"/>
    </xf>
    <xf numFmtId="0" fontId="1" fillId="2" borderId="35" xfId="0" applyFont="1" applyFill="1" applyBorder="1" applyAlignment="1">
      <alignment vertical="center"/>
    </xf>
    <xf numFmtId="173" fontId="0" fillId="7" borderId="42" xfId="0" applyNumberFormat="1" applyFill="1" applyBorder="1" applyAlignment="1">
      <alignment horizontal="center" vertical="center"/>
    </xf>
    <xf numFmtId="174" fontId="0" fillId="7" borderId="42" xfId="0" applyNumberFormat="1" applyFill="1" applyBorder="1" applyAlignment="1">
      <alignment horizontal="center" vertical="center"/>
    </xf>
    <xf numFmtId="165" fontId="0" fillId="7" borderId="42" xfId="0" applyNumberFormat="1" applyFill="1" applyBorder="1" applyAlignment="1">
      <alignment horizontal="center" vertical="center"/>
    </xf>
    <xf numFmtId="178" fontId="0" fillId="7" borderId="42" xfId="0" applyNumberFormat="1" applyFill="1" applyBorder="1" applyAlignment="1">
      <alignment horizontal="center" vertical="center"/>
    </xf>
    <xf numFmtId="0" fontId="1" fillId="2" borderId="28" xfId="0" applyFont="1" applyFill="1" applyBorder="1" applyAlignment="1">
      <alignment vertical="center"/>
    </xf>
    <xf numFmtId="178" fontId="0" fillId="7" borderId="44" xfId="0" applyNumberFormat="1" applyFill="1" applyBorder="1" applyAlignment="1">
      <alignment horizontal="center" vertical="center"/>
    </xf>
    <xf numFmtId="0" fontId="1" fillId="2" borderId="36" xfId="0" applyFont="1" applyFill="1" applyBorder="1" applyAlignment="1">
      <alignment vertical="center"/>
    </xf>
    <xf numFmtId="172" fontId="0" fillId="2" borderId="42" xfId="0" applyNumberFormat="1" applyFill="1" applyBorder="1" applyAlignment="1">
      <alignment horizontal="center" vertical="center"/>
    </xf>
    <xf numFmtId="171" fontId="0" fillId="5" borderId="45" xfId="0" applyNumberFormat="1" applyFont="1" applyFill="1" applyBorder="1" applyAlignment="1">
      <alignment horizontal="center" vertical="center"/>
    </xf>
    <xf numFmtId="0" fontId="1" fillId="2" borderId="24" xfId="0" quotePrefix="1" applyFont="1" applyFill="1" applyBorder="1" applyAlignment="1">
      <alignment horizontal="right" vertical="center"/>
    </xf>
    <xf numFmtId="172" fontId="0" fillId="2" borderId="10" xfId="0" applyNumberForma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6" borderId="58" xfId="0" applyNumberFormat="1" applyFont="1" applyFill="1" applyBorder="1" applyAlignment="1">
      <alignment horizontal="center"/>
    </xf>
    <xf numFmtId="0" fontId="1" fillId="0" borderId="49" xfId="0" applyFont="1" applyBorder="1" applyAlignment="1">
      <alignment horizontal="center"/>
    </xf>
    <xf numFmtId="178" fontId="2" fillId="6" borderId="26" xfId="0" applyNumberFormat="1" applyFont="1" applyFill="1" applyBorder="1" applyAlignment="1">
      <alignment horizontal="center"/>
    </xf>
    <xf numFmtId="178" fontId="2" fillId="6" borderId="49" xfId="0" applyNumberFormat="1" applyFont="1" applyFill="1" applyBorder="1" applyAlignment="1">
      <alignment horizontal="center"/>
    </xf>
    <xf numFmtId="178" fontId="2" fillId="6" borderId="57" xfId="0" applyNumberFormat="1" applyFont="1" applyFill="1" applyBorder="1" applyAlignment="1">
      <alignment horizontal="center"/>
    </xf>
    <xf numFmtId="178" fontId="22" fillId="6" borderId="57" xfId="0" applyNumberFormat="1" applyFont="1" applyFill="1" applyBorder="1" applyAlignment="1">
      <alignment horizontal="center"/>
    </xf>
    <xf numFmtId="178" fontId="0" fillId="0" borderId="0" xfId="0" applyNumberFormat="1" applyAlignment="1">
      <alignment horizontal="center"/>
    </xf>
    <xf numFmtId="178" fontId="0" fillId="6" borderId="49" xfId="0" applyNumberFormat="1" applyFont="1" applyFill="1" applyBorder="1" applyAlignment="1">
      <alignment horizontal="center"/>
    </xf>
    <xf numFmtId="0" fontId="0" fillId="0" borderId="0" xfId="0" applyNumberFormat="1" applyAlignment="1">
      <alignment horizontal="center"/>
    </xf>
    <xf numFmtId="0" fontId="0" fillId="0" borderId="0" xfId="0" applyNumberFormat="1" applyAlignment="1">
      <alignment horizontal="left"/>
    </xf>
    <xf numFmtId="177" fontId="2" fillId="6" borderId="57" xfId="0" applyNumberFormat="1" applyFont="1" applyFill="1" applyBorder="1" applyAlignment="1">
      <alignment horizontal="center"/>
    </xf>
    <xf numFmtId="10" fontId="28" fillId="6" borderId="57" xfId="0" applyNumberFormat="1" applyFont="1" applyFill="1" applyBorder="1" applyAlignment="1">
      <alignment horizontal="center"/>
    </xf>
    <xf numFmtId="165" fontId="28" fillId="6" borderId="57" xfId="0" applyNumberFormat="1" applyFont="1" applyFill="1" applyBorder="1" applyAlignment="1">
      <alignment horizontal="center"/>
    </xf>
    <xf numFmtId="166" fontId="28" fillId="6" borderId="57" xfId="0" applyNumberFormat="1" applyFont="1" applyFill="1" applyBorder="1" applyAlignment="1">
      <alignment horizontal="center"/>
    </xf>
    <xf numFmtId="167" fontId="28" fillId="6" borderId="57" xfId="0" applyNumberFormat="1" applyFont="1" applyFill="1" applyBorder="1" applyAlignment="1">
      <alignment horizontal="center"/>
    </xf>
    <xf numFmtId="168" fontId="28" fillId="6" borderId="36" xfId="0" applyNumberFormat="1" applyFont="1" applyFill="1" applyBorder="1" applyAlignment="1">
      <alignment horizontal="center"/>
    </xf>
    <xf numFmtId="0" fontId="28" fillId="6" borderId="0" xfId="0" applyNumberFormat="1" applyFont="1" applyFill="1" applyBorder="1" applyAlignment="1">
      <alignment horizontal="center"/>
    </xf>
    <xf numFmtId="164" fontId="28" fillId="6" borderId="57" xfId="0" applyNumberFormat="1" applyFont="1" applyFill="1" applyBorder="1" applyAlignment="1">
      <alignment horizontal="center"/>
    </xf>
    <xf numFmtId="180" fontId="28" fillId="6" borderId="57" xfId="0" applyNumberFormat="1" applyFont="1" applyFill="1" applyBorder="1" applyAlignment="1">
      <alignment horizontal="center"/>
    </xf>
    <xf numFmtId="10" fontId="29" fillId="6" borderId="57" xfId="0" applyNumberFormat="1" applyFont="1" applyFill="1" applyBorder="1" applyAlignment="1">
      <alignment horizontal="center"/>
    </xf>
    <xf numFmtId="165" fontId="29" fillId="6" borderId="57" xfId="0" applyNumberFormat="1" applyFont="1" applyFill="1" applyBorder="1" applyAlignment="1">
      <alignment horizontal="center"/>
    </xf>
    <xf numFmtId="0" fontId="0" fillId="0" borderId="0" xfId="0"/>
    <xf numFmtId="0" fontId="3" fillId="0" borderId="13" xfId="0" applyFont="1" applyFill="1" applyBorder="1" applyAlignment="1">
      <alignment horizontal="left"/>
    </xf>
    <xf numFmtId="0" fontId="6" fillId="0" borderId="0" xfId="0" applyFont="1" applyFill="1" applyAlignment="1">
      <alignment horizontal="left"/>
    </xf>
    <xf numFmtId="0" fontId="5" fillId="0" borderId="0" xfId="1" applyFont="1" applyFill="1" applyAlignment="1">
      <alignment horizontal="left"/>
    </xf>
    <xf numFmtId="0" fontId="5" fillId="0" borderId="0" xfId="1" quotePrefix="1" applyFont="1" applyFill="1" applyAlignment="1">
      <alignment horizontal="left"/>
    </xf>
    <xf numFmtId="0" fontId="0" fillId="0" borderId="0" xfId="0" applyAlignment="1">
      <alignment horizontal="center"/>
    </xf>
    <xf numFmtId="0" fontId="0" fillId="3" borderId="0" xfId="0" applyFill="1" applyAlignment="1">
      <alignment horizontal="center"/>
    </xf>
    <xf numFmtId="0" fontId="1" fillId="2" borderId="46" xfId="0" applyFont="1" applyFill="1" applyBorder="1" applyAlignment="1">
      <alignment horizontal="right" vertical="center"/>
    </xf>
    <xf numFmtId="0" fontId="1" fillId="2" borderId="31" xfId="0" applyFont="1" applyFill="1" applyBorder="1" applyAlignment="1">
      <alignment horizontal="right" vertical="center"/>
    </xf>
    <xf numFmtId="0" fontId="1" fillId="2" borderId="33" xfId="0" applyFont="1" applyFill="1" applyBorder="1" applyAlignment="1">
      <alignment horizontal="right" vertical="center"/>
    </xf>
    <xf numFmtId="0" fontId="1" fillId="2" borderId="13" xfId="0" applyFont="1" applyFill="1" applyBorder="1" applyAlignment="1">
      <alignment horizontal="right" vertical="center"/>
    </xf>
    <xf numFmtId="0" fontId="15" fillId="0" borderId="23"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6" fillId="0" borderId="0" xfId="0" applyFont="1" applyAlignment="1" applyProtection="1">
      <alignment horizontal="center"/>
    </xf>
    <xf numFmtId="0" fontId="6" fillId="3" borderId="0" xfId="0" applyFont="1" applyFill="1" applyAlignment="1" applyProtection="1">
      <alignment horizontal="center"/>
    </xf>
    <xf numFmtId="0" fontId="20" fillId="0" borderId="0" xfId="0" applyFont="1" applyAlignment="1">
      <alignment horizontal="center"/>
    </xf>
    <xf numFmtId="0" fontId="17" fillId="0" borderId="27" xfId="0" applyFont="1" applyBorder="1" applyAlignment="1">
      <alignment horizontal="left"/>
    </xf>
    <xf numFmtId="0" fontId="17" fillId="0" borderId="0" xfId="0" applyFont="1" applyBorder="1" applyAlignment="1">
      <alignment horizontal="left"/>
    </xf>
    <xf numFmtId="0" fontId="1" fillId="2" borderId="27" xfId="0" applyFont="1" applyFill="1" applyBorder="1" applyAlignment="1">
      <alignment horizontal="right" vertical="center"/>
    </xf>
    <xf numFmtId="0" fontId="1" fillId="2" borderId="0" xfId="0" applyFont="1" applyFill="1" applyBorder="1" applyAlignment="1">
      <alignment horizontal="right" vertical="center"/>
    </xf>
    <xf numFmtId="0" fontId="0" fillId="8" borderId="39" xfId="0" applyFont="1" applyFill="1" applyBorder="1" applyAlignment="1">
      <alignment horizontal="left" vertical="center"/>
    </xf>
    <xf numFmtId="0" fontId="0" fillId="8" borderId="21" xfId="0" applyFont="1" applyFill="1" applyBorder="1" applyAlignment="1">
      <alignment horizontal="left" vertical="center"/>
    </xf>
    <xf numFmtId="0" fontId="0" fillId="8" borderId="40" xfId="0" applyFont="1" applyFill="1" applyBorder="1" applyAlignment="1">
      <alignment horizontal="left" vertical="center"/>
    </xf>
    <xf numFmtId="0" fontId="0" fillId="8" borderId="37" xfId="0" applyFont="1" applyFill="1" applyBorder="1" applyAlignment="1">
      <alignment horizontal="left" vertical="center"/>
    </xf>
    <xf numFmtId="0" fontId="0" fillId="8" borderId="18" xfId="0" applyFont="1" applyFill="1" applyBorder="1" applyAlignment="1">
      <alignment horizontal="left" vertical="center"/>
    </xf>
    <xf numFmtId="0" fontId="0" fillId="8" borderId="34" xfId="0" applyFont="1" applyFill="1" applyBorder="1" applyAlignment="1">
      <alignment horizontal="left" vertical="center"/>
    </xf>
    <xf numFmtId="0" fontId="0" fillId="8" borderId="17" xfId="0" applyFont="1" applyFill="1" applyBorder="1" applyAlignment="1">
      <alignment horizontal="left" vertical="center"/>
    </xf>
    <xf numFmtId="0" fontId="0" fillId="8" borderId="19" xfId="0" applyFont="1" applyFill="1" applyBorder="1" applyAlignment="1">
      <alignment horizontal="left" vertical="center"/>
    </xf>
    <xf numFmtId="0" fontId="0" fillId="8" borderId="38" xfId="0" applyFont="1" applyFill="1" applyBorder="1" applyAlignment="1">
      <alignment horizontal="left" vertical="center"/>
    </xf>
    <xf numFmtId="0" fontId="0" fillId="8" borderId="15" xfId="0" applyFont="1" applyFill="1" applyBorder="1" applyAlignment="1">
      <alignment horizontal="left" vertical="center"/>
    </xf>
    <xf numFmtId="0" fontId="0" fillId="8" borderId="25" xfId="0" applyFont="1" applyFill="1" applyBorder="1" applyAlignment="1">
      <alignment horizontal="left" vertical="center"/>
    </xf>
    <xf numFmtId="0" fontId="0" fillId="8" borderId="14" xfId="0" applyFont="1" applyFill="1" applyBorder="1" applyAlignment="1">
      <alignment horizontal="left" vertical="center"/>
    </xf>
    <xf numFmtId="0" fontId="0" fillId="8" borderId="16" xfId="0" applyFont="1" applyFill="1" applyBorder="1" applyAlignment="1">
      <alignment horizontal="left" vertical="center"/>
    </xf>
    <xf numFmtId="0" fontId="0" fillId="8" borderId="20" xfId="0" applyFont="1" applyFill="1" applyBorder="1" applyAlignment="1">
      <alignment horizontal="left" vertical="center"/>
    </xf>
    <xf numFmtId="0" fontId="0" fillId="8" borderId="22" xfId="0" applyFont="1" applyFill="1" applyBorder="1" applyAlignment="1">
      <alignment horizontal="left" vertical="center"/>
    </xf>
    <xf numFmtId="165" fontId="0" fillId="6" borderId="2" xfId="0" applyNumberFormat="1" applyFont="1" applyFill="1" applyBorder="1" applyAlignment="1">
      <alignment horizontal="center" vertical="center"/>
    </xf>
    <xf numFmtId="0" fontId="1" fillId="2" borderId="43" xfId="0" applyFont="1" applyFill="1" applyBorder="1" applyAlignment="1">
      <alignment horizontal="right" vertical="center"/>
    </xf>
    <xf numFmtId="0" fontId="1" fillId="2" borderId="26" xfId="0" applyFont="1" applyFill="1" applyBorder="1" applyAlignment="1">
      <alignment horizontal="right" vertical="center"/>
    </xf>
    <xf numFmtId="0" fontId="0" fillId="8" borderId="1" xfId="0" applyFont="1" applyFill="1" applyBorder="1" applyAlignment="1">
      <alignment horizontal="left" vertical="center"/>
    </xf>
    <xf numFmtId="0" fontId="0" fillId="8" borderId="55" xfId="0" applyFont="1" applyFill="1" applyBorder="1" applyAlignment="1">
      <alignment horizontal="left" vertical="center"/>
    </xf>
    <xf numFmtId="0" fontId="0" fillId="8" borderId="2" xfId="0" applyFont="1" applyFill="1" applyBorder="1" applyAlignment="1">
      <alignment horizontal="left" vertical="center"/>
    </xf>
    <xf numFmtId="0" fontId="0" fillId="8" borderId="56" xfId="0" applyFont="1" applyFill="1" applyBorder="1" applyAlignment="1">
      <alignment horizontal="left" vertical="center"/>
    </xf>
    <xf numFmtId="0" fontId="1" fillId="2" borderId="41" xfId="0" applyFont="1" applyFill="1" applyBorder="1" applyAlignment="1">
      <alignment horizontal="right" vertical="center"/>
    </xf>
    <xf numFmtId="0" fontId="1" fillId="2" borderId="29" xfId="0" applyFont="1" applyFill="1" applyBorder="1" applyAlignment="1">
      <alignment horizontal="right" vertical="center"/>
    </xf>
    <xf numFmtId="0" fontId="17" fillId="0" borderId="27" xfId="0" applyNumberFormat="1" applyFont="1" applyBorder="1" applyAlignment="1">
      <alignment horizontal="left"/>
    </xf>
    <xf numFmtId="0" fontId="17" fillId="0" borderId="0" xfId="0" applyNumberFormat="1" applyFont="1" applyBorder="1" applyAlignment="1">
      <alignment horizontal="left"/>
    </xf>
    <xf numFmtId="0" fontId="15" fillId="0" borderId="0" xfId="0" applyFont="1" applyBorder="1" applyAlignment="1">
      <alignment horizontal="center"/>
    </xf>
    <xf numFmtId="164" fontId="0" fillId="6" borderId="1" xfId="0" applyNumberFormat="1" applyFont="1" applyFill="1" applyBorder="1" applyAlignment="1">
      <alignment horizontal="center" vertical="center"/>
    </xf>
    <xf numFmtId="165" fontId="0" fillId="6" borderId="1" xfId="0" applyNumberFormat="1" applyFont="1" applyFill="1" applyBorder="1" applyAlignment="1">
      <alignment horizontal="center" vertical="center"/>
    </xf>
    <xf numFmtId="10" fontId="0" fillId="6" borderId="1" xfId="0" applyNumberFormat="1" applyFont="1" applyFill="1" applyBorder="1" applyAlignment="1">
      <alignment horizontal="center" vertical="center"/>
    </xf>
    <xf numFmtId="0" fontId="15" fillId="2" borderId="23"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 fillId="2" borderId="23" xfId="0" quotePrefix="1" applyFont="1" applyFill="1" applyBorder="1" applyAlignment="1">
      <alignment horizontal="right" vertical="center"/>
    </xf>
    <xf numFmtId="0" fontId="1" fillId="2" borderId="30" xfId="0" quotePrefix="1" applyFont="1" applyFill="1" applyBorder="1" applyAlignment="1">
      <alignment horizontal="righ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170" fontId="0" fillId="6" borderId="1" xfId="0" applyNumberFormat="1" applyFont="1" applyFill="1" applyBorder="1" applyAlignment="1">
      <alignment horizontal="center" vertical="center"/>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0" borderId="0" xfId="0"/>
    <xf numFmtId="0" fontId="18" fillId="0" borderId="0" xfId="0" applyFont="1" applyBorder="1" applyAlignment="1">
      <alignment horizontal="left"/>
    </xf>
    <xf numFmtId="0" fontId="6" fillId="0" borderId="0" xfId="0" applyFont="1" applyAlignment="1">
      <alignment wrapText="1"/>
    </xf>
    <xf numFmtId="0" fontId="6" fillId="0" borderId="0" xfId="0" applyFont="1" applyAlignment="1">
      <alignment horizontal="center"/>
    </xf>
    <xf numFmtId="0" fontId="9" fillId="4" borderId="0" xfId="0" applyFont="1" applyFill="1" applyAlignment="1">
      <alignment horizontal="left"/>
    </xf>
    <xf numFmtId="0" fontId="8" fillId="0" borderId="0" xfId="0" applyFont="1" applyAlignment="1">
      <alignment horizontal="left"/>
    </xf>
    <xf numFmtId="0" fontId="8" fillId="0" borderId="0" xfId="0" applyFont="1" applyAlignment="1">
      <alignment wrapText="1"/>
    </xf>
    <xf numFmtId="0" fontId="6" fillId="3" borderId="0" xfId="0" applyFont="1" applyFill="1" applyAlignment="1">
      <alignment horizontal="center"/>
    </xf>
    <xf numFmtId="0" fontId="8" fillId="5" borderId="1" xfId="0" applyFont="1" applyFill="1" applyBorder="1" applyAlignment="1" applyProtection="1">
      <alignment horizontal="center" vertical="center"/>
    </xf>
    <xf numFmtId="0" fontId="12" fillId="0" borderId="0" xfId="0" applyFont="1" applyFill="1" applyAlignment="1">
      <alignment horizontal="left"/>
    </xf>
    <xf numFmtId="0" fontId="12" fillId="0" borderId="0" xfId="0" applyFont="1" applyFill="1" applyAlignment="1">
      <alignment horizontal="center"/>
    </xf>
    <xf numFmtId="0" fontId="8" fillId="7" borderId="1" xfId="0" applyFont="1" applyFill="1" applyBorder="1" applyAlignment="1" applyProtection="1">
      <alignment horizontal="center" vertical="center"/>
    </xf>
    <xf numFmtId="0" fontId="8" fillId="6" borderId="1" xfId="0" applyFont="1" applyFill="1" applyBorder="1" applyAlignment="1" applyProtection="1">
      <alignment horizontal="center" vertical="center"/>
    </xf>
    <xf numFmtId="0" fontId="12" fillId="0" borderId="0" xfId="0" applyFont="1" applyAlignment="1">
      <alignment horizontal="left"/>
    </xf>
    <xf numFmtId="0" fontId="8" fillId="0" borderId="0" xfId="0" applyFont="1" applyFill="1" applyAlignment="1">
      <alignment horizontal="left"/>
    </xf>
    <xf numFmtId="10" fontId="21" fillId="6" borderId="49" xfId="0" applyNumberFormat="1" applyFont="1" applyFill="1" applyBorder="1" applyAlignment="1">
      <alignment horizontal="center"/>
    </xf>
    <xf numFmtId="165" fontId="21" fillId="6" borderId="49" xfId="0" applyNumberFormat="1" applyFont="1" applyFill="1" applyBorder="1" applyAlignment="1">
      <alignment horizontal="center"/>
    </xf>
    <xf numFmtId="166" fontId="21" fillId="6" borderId="49" xfId="0" applyNumberFormat="1" applyFont="1" applyFill="1" applyBorder="1" applyAlignment="1">
      <alignment horizontal="center"/>
    </xf>
    <xf numFmtId="167" fontId="21" fillId="6" borderId="49" xfId="0" applyNumberFormat="1" applyFont="1" applyFill="1" applyBorder="1" applyAlignment="1">
      <alignment horizontal="center"/>
    </xf>
    <xf numFmtId="177" fontId="22" fillId="6" borderId="49" xfId="0" applyNumberFormat="1" applyFont="1" applyFill="1" applyBorder="1" applyAlignment="1">
      <alignment horizontal="center"/>
    </xf>
    <xf numFmtId="174" fontId="22" fillId="6" borderId="49" xfId="0" applyNumberFormat="1" applyFont="1" applyFill="1" applyBorder="1" applyAlignment="1">
      <alignment horizontal="center"/>
    </xf>
  </cellXfs>
  <cellStyles count="2">
    <cellStyle name="Hyperlink" xfId="1" builtinId="8"/>
    <cellStyle name="Normal" xfId="0" builtinId="0"/>
  </cellStyles>
  <dxfs count="50">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ill>
        <patternFill>
          <bgColor theme="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border>
        <right/>
        <vertical/>
        <horizontal/>
      </border>
    </dxf>
    <dxf>
      <fill>
        <patternFill>
          <bgColor theme="0"/>
        </patternFill>
      </fill>
      <border>
        <right/>
      </border>
    </dxf>
    <dxf>
      <fill>
        <patternFill>
          <bgColor theme="0"/>
        </patternFill>
      </fill>
    </dxf>
    <dxf>
      <fill>
        <patternFill>
          <bgColor theme="0"/>
        </patternFill>
      </fill>
    </dxf>
    <dxf>
      <fill>
        <patternFill patternType="solid">
          <bgColor theme="0"/>
        </patternFill>
      </fill>
    </dxf>
    <dxf>
      <font>
        <color theme="0"/>
      </font>
      <fill>
        <patternFill>
          <bgColor rgb="FFFF0000"/>
        </patternFill>
      </fill>
    </dxf>
    <dxf>
      <font>
        <color auto="1"/>
      </font>
      <fill>
        <patternFill>
          <bgColor rgb="FFCCFFCC"/>
        </patternFill>
      </fill>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FFFFCC"/>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FFFFCC"/>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FFFFCC"/>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FFFFCC"/>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FFFFCC"/>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FFFFCC"/>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FFFFCC"/>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FFFFCC"/>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FFFFCC"/>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FFFFCC"/>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0\ &quot;µA&quot;"/>
      <fill>
        <patternFill patternType="solid">
          <fgColor indexed="64"/>
          <bgColor rgb="FFFFFFCC"/>
        </patternFill>
      </fill>
      <alignment horizontal="center" vertical="bottom"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none"/>
      </font>
      <numFmt numFmtId="174" formatCode="#,##0\ &quot;Ω&quot;"/>
      <fill>
        <patternFill patternType="solid">
          <fgColor indexed="64"/>
          <bgColor rgb="FFFFFFCC"/>
        </patternFill>
      </fill>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none"/>
      </font>
      <numFmt numFmtId="174" formatCode="#,##0\ &quot;Ω&quot;"/>
      <fill>
        <patternFill patternType="solid">
          <fgColor indexed="64"/>
          <bgColor rgb="FFFFFFCC"/>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none"/>
      </font>
      <numFmt numFmtId="177" formatCode="#,##0\ &quot;mV&quot;"/>
      <fill>
        <patternFill patternType="solid">
          <fgColor indexed="64"/>
          <bgColor rgb="FFFFFFCC"/>
        </patternFill>
      </fill>
      <alignment horizontal="center"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theme="1"/>
        <name val="Calibri"/>
        <scheme val="none"/>
      </font>
      <numFmt numFmtId="177" formatCode="#,##0\ &quot;mV&quot;"/>
      <fill>
        <patternFill patternType="solid">
          <fgColor indexed="64"/>
          <bgColor rgb="FFFFFFCC"/>
        </patternFill>
      </fill>
      <alignment horizontal="center"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theme="1"/>
        <name val="Calibri"/>
        <scheme val="none"/>
      </font>
      <numFmt numFmtId="177" formatCode="#,##0\ &quot;mV&quot;"/>
      <fill>
        <patternFill patternType="solid">
          <fgColor indexed="64"/>
          <bgColor rgb="FFFFFFCC"/>
        </patternFill>
      </fill>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5" formatCode="0\ &quot;ppm/°C&quot;"/>
      <fill>
        <patternFill patternType="solid">
          <fgColor indexed="64"/>
          <bgColor rgb="FFFFFFCC"/>
        </patternFill>
      </fill>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5" formatCode="0\ &quot;ppm/°C&quot;"/>
      <fill>
        <patternFill patternType="solid">
          <fgColor indexed="64"/>
          <bgColor rgb="FFFFFFCC"/>
        </patternFill>
      </fill>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4" formatCode="0.00%"/>
      <fill>
        <patternFill patternType="solid">
          <fgColor indexed="64"/>
          <bgColor rgb="FFFFFFCC"/>
        </patternFill>
      </fill>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4" formatCode="0.00%"/>
      <fill>
        <patternFill patternType="solid">
          <fgColor indexed="64"/>
          <bgColor rgb="FFFFFFCC"/>
        </patternFill>
      </fill>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7" formatCode="0.00\ &quot; µV/°C&quot;"/>
      <fill>
        <patternFill patternType="solid">
          <fgColor indexed="64"/>
          <bgColor rgb="FFFFFFCC"/>
        </patternFill>
      </fill>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7" formatCode="0.00\ &quot; µV/°C&quot;"/>
      <fill>
        <patternFill patternType="solid">
          <fgColor indexed="64"/>
          <bgColor rgb="FFFFFFCC"/>
        </patternFill>
      </fill>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6" formatCode="0.00\ &quot;mV&quot;"/>
      <fill>
        <patternFill patternType="solid">
          <fgColor indexed="64"/>
          <bgColor rgb="FFFFFFCC"/>
        </patternFill>
      </fill>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6" formatCode="0.00\ &quot;mV&quot;"/>
      <fill>
        <patternFill patternType="solid">
          <fgColor indexed="64"/>
          <bgColor rgb="FFFFFFCC"/>
        </patternFill>
      </fill>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5" formatCode="0\ &quot;ppm/°C&quot;"/>
      <fill>
        <patternFill patternType="solid">
          <fgColor indexed="64"/>
          <bgColor rgb="FFFFFFCC"/>
        </patternFill>
      </fill>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5" formatCode="0\ &quot;ppm/°C&quot;"/>
      <fill>
        <patternFill patternType="solid">
          <fgColor indexed="64"/>
          <bgColor rgb="FFFFFFCC"/>
        </patternFill>
      </fill>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4" formatCode="0.00%"/>
      <fill>
        <patternFill patternType="solid">
          <fgColor indexed="64"/>
          <bgColor rgb="FFFFFFCC"/>
        </patternFill>
      </fill>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4" formatCode="0.00%"/>
      <fill>
        <patternFill patternType="solid">
          <fgColor indexed="64"/>
          <bgColor rgb="FFFFFFCC"/>
        </patternFill>
      </fill>
      <alignment horizontal="center" vertical="bottom" textRotation="0" wrapText="0" indent="0" justifyLastLine="0" shrinkToFit="0" readingOrder="0"/>
      <border diagonalUp="0" diagonalDown="0" outline="0">
        <left/>
        <right/>
        <top style="thin">
          <color auto="1"/>
        </top>
        <bottom style="thin">
          <color auto="1"/>
        </bottom>
      </border>
    </dxf>
    <dxf>
      <numFmt numFmtId="30" formatCode="@"/>
      <fill>
        <patternFill patternType="solid">
          <fgColor indexed="64"/>
          <bgColor rgb="FFFFFFCC"/>
        </patternFill>
      </fill>
      <alignment horizontal="center" vertical="bottom" textRotation="0" wrapText="0" indent="0" justifyLastLine="0" shrinkToFit="0" readingOrder="0"/>
      <border diagonalUp="0" diagonalDown="0">
        <left style="thin">
          <color indexed="64"/>
        </left>
        <right/>
        <top/>
        <bottom/>
        <vertical/>
        <horizontal/>
      </border>
    </dxf>
    <dxf>
      <alignment horizontal="left" vertical="bottom" textRotation="0" wrapText="0" indent="0" justifyLastLine="0" shrinkToFit="0" readingOrder="0"/>
      <border outline="0">
        <right style="thin">
          <color indexed="64"/>
        </right>
      </border>
    </dxf>
    <dxf>
      <border outline="0">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FFFFCC"/>
        </patternFill>
      </fill>
      <alignment horizontal="center"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right/>
        <top/>
        <bottom/>
        <vertical/>
        <horizontal/>
      </border>
    </dxf>
  </dxfs>
  <tableStyles count="0" defaultTableStyle="TableStyleMedium2" defaultPivotStyle="PivotStyleMedium9"/>
  <colors>
    <mruColors>
      <color rgb="FFCCFFCC"/>
      <color rgb="FFFFFFFF"/>
      <color rgb="FFFFFFCC"/>
      <color rgb="FFDE0000"/>
      <color rgb="FF89E0FF"/>
      <color rgb="FF47C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www.ti.com"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gif"/><Relationship Id="rId1" Type="http://schemas.openxmlformats.org/officeDocument/2006/relationships/hyperlink" Target="http://www.ti.com"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gif"/><Relationship Id="rId1" Type="http://schemas.openxmlformats.org/officeDocument/2006/relationships/hyperlink" Target="http://www.ti.com" TargetMode="External"/><Relationship Id="rId5" Type="http://schemas.openxmlformats.org/officeDocument/2006/relationships/image" Target="../media/image6.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hyperlink" Target="http://www.ti.com/corp/docs/legal/copyright.shtml" TargetMode="External"/><Relationship Id="rId2" Type="http://schemas.openxmlformats.org/officeDocument/2006/relationships/image" Target="../media/image1.gif"/><Relationship Id="rId1" Type="http://schemas.openxmlformats.org/officeDocument/2006/relationships/hyperlink" Target="http://www.ti.com"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e2e.ti.com/" TargetMode="External"/><Relationship Id="rId2" Type="http://schemas.openxmlformats.org/officeDocument/2006/relationships/image" Target="../media/image1.gif"/><Relationship Id="rId1" Type="http://schemas.openxmlformats.org/officeDocument/2006/relationships/hyperlink" Target="http://www.ti.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152400</xdr:rowOff>
    </xdr:from>
    <xdr:to>
      <xdr:col>3</xdr:col>
      <xdr:colOff>466725</xdr:colOff>
      <xdr:row>2</xdr:row>
      <xdr:rowOff>66626</xdr:rowOff>
    </xdr:to>
    <xdr:pic>
      <xdr:nvPicPr>
        <xdr:cNvPr id="2" name="Picture 1" descr="ti logo">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152400"/>
          <a:ext cx="2314575" cy="295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342899</xdr:colOff>
      <xdr:row>0</xdr:row>
      <xdr:rowOff>133350</xdr:rowOff>
    </xdr:from>
    <xdr:ext cx="9363075" cy="381708"/>
    <xdr:sp macro="" textlink="">
      <xdr:nvSpPr>
        <xdr:cNvPr id="3" name="TextBox 2"/>
        <xdr:cNvSpPr txBox="1"/>
      </xdr:nvSpPr>
      <xdr:spPr>
        <a:xfrm>
          <a:off x="2990849" y="133350"/>
          <a:ext cx="9363075" cy="38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600">
              <a:latin typeface="Arial Black" panose="020B0A04020102020204" pitchFamily="34" charset="0"/>
            </a:rPr>
            <a:t>Isolated Amplifier Voltage</a:t>
          </a:r>
          <a:r>
            <a:rPr lang="en-US" sz="1600" baseline="0">
              <a:latin typeface="Arial Black" panose="020B0A04020102020204" pitchFamily="34" charset="0"/>
            </a:rPr>
            <a:t> Sense Calculator: </a:t>
          </a:r>
          <a:r>
            <a:rPr lang="en-US" sz="1600">
              <a:latin typeface="Arial Black" panose="020B0A04020102020204" pitchFamily="34" charset="0"/>
            </a:rPr>
            <a:t>Table of Contents</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219075</xdr:colOff>
      <xdr:row>0</xdr:row>
      <xdr:rowOff>85725</xdr:rowOff>
    </xdr:from>
    <xdr:ext cx="8763000" cy="381708"/>
    <xdr:sp macro="" textlink="">
      <xdr:nvSpPr>
        <xdr:cNvPr id="2" name="TextBox 1"/>
        <xdr:cNvSpPr txBox="1"/>
      </xdr:nvSpPr>
      <xdr:spPr>
        <a:xfrm>
          <a:off x="3781425" y="85725"/>
          <a:ext cx="8763000" cy="38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600">
              <a:latin typeface="Arial Black" panose="020B0A04020102020204" pitchFamily="34" charset="0"/>
            </a:rPr>
            <a:t>Isolated Amplifier Voltage Sense Calculator</a:t>
          </a:r>
        </a:p>
      </xdr:txBody>
    </xdr:sp>
    <xdr:clientData/>
  </xdr:oneCellAnchor>
  <xdr:twoCellAnchor editAs="oneCell">
    <xdr:from>
      <xdr:col>0</xdr:col>
      <xdr:colOff>95250</xdr:colOff>
      <xdr:row>0</xdr:row>
      <xdr:rowOff>133350</xdr:rowOff>
    </xdr:from>
    <xdr:to>
      <xdr:col>1</xdr:col>
      <xdr:colOff>2133600</xdr:colOff>
      <xdr:row>2</xdr:row>
      <xdr:rowOff>66626</xdr:rowOff>
    </xdr:to>
    <xdr:pic>
      <xdr:nvPicPr>
        <xdr:cNvPr id="9" name="Picture 8" descr="ti logo">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 y="133350"/>
          <a:ext cx="2324100" cy="3142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19050</xdr:colOff>
          <xdr:row>4</xdr:row>
          <xdr:rowOff>180975</xdr:rowOff>
        </xdr:from>
        <xdr:to>
          <xdr:col>3</xdr:col>
          <xdr:colOff>1077446</xdr:colOff>
          <xdr:row>24</xdr:row>
          <xdr:rowOff>95250</xdr:rowOff>
        </xdr:to>
        <xdr:pic>
          <xdr:nvPicPr>
            <xdr:cNvPr id="12" name="Picture 11"/>
            <xdr:cNvPicPr>
              <a:picLocks noChangeAspect="1"/>
              <a:extLst>
                <a:ext uri="{84589F7E-364E-4C9E-8A38-B11213B215E9}">
                  <a14:cameraTool cellRange="Picture" spid="_x0000_s7661"/>
                </a:ext>
              </a:extLst>
            </xdr:cNvPicPr>
          </xdr:nvPicPr>
          <xdr:blipFill>
            <a:blip xmlns:r="http://schemas.openxmlformats.org/officeDocument/2006/relationships" r:embed="rId3"/>
            <a:stretch>
              <a:fillRect/>
            </a:stretch>
          </xdr:blipFill>
          <xdr:spPr>
            <a:xfrm>
              <a:off x="310403" y="942975"/>
              <a:ext cx="5581650" cy="3724275"/>
            </a:xfrm>
            <a:prstGeom prst="rect">
              <a:avLst/>
            </a:prstGeom>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3</xdr:col>
      <xdr:colOff>438150</xdr:colOff>
      <xdr:row>0</xdr:row>
      <xdr:rowOff>85725</xdr:rowOff>
    </xdr:from>
    <xdr:ext cx="8763000" cy="381708"/>
    <xdr:sp macro="" textlink="">
      <xdr:nvSpPr>
        <xdr:cNvPr id="2" name="TextBox 1"/>
        <xdr:cNvSpPr txBox="1"/>
      </xdr:nvSpPr>
      <xdr:spPr>
        <a:xfrm>
          <a:off x="5200650" y="85725"/>
          <a:ext cx="8763000" cy="38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600">
              <a:latin typeface="Arial Black" panose="020B0A04020102020204" pitchFamily="34" charset="0"/>
            </a:rPr>
            <a:t>Device Comparison</a:t>
          </a:r>
        </a:p>
      </xdr:txBody>
    </xdr:sp>
    <xdr:clientData/>
  </xdr:oneCellAnchor>
  <xdr:twoCellAnchor editAs="oneCell">
    <xdr:from>
      <xdr:col>0</xdr:col>
      <xdr:colOff>95250</xdr:colOff>
      <xdr:row>0</xdr:row>
      <xdr:rowOff>142875</xdr:rowOff>
    </xdr:from>
    <xdr:to>
      <xdr:col>2</xdr:col>
      <xdr:colOff>603997</xdr:colOff>
      <xdr:row>2</xdr:row>
      <xdr:rowOff>76151</xdr:rowOff>
    </xdr:to>
    <xdr:pic>
      <xdr:nvPicPr>
        <xdr:cNvPr id="5" name="Picture 4" descr="ti logo">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 y="142875"/>
          <a:ext cx="2324100" cy="3142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74</xdr:col>
      <xdr:colOff>1457324</xdr:colOff>
      <xdr:row>201</xdr:row>
      <xdr:rowOff>0</xdr:rowOff>
    </xdr:from>
    <xdr:to>
      <xdr:col>76</xdr:col>
      <xdr:colOff>19050</xdr:colOff>
      <xdr:row>202</xdr:row>
      <xdr:rowOff>9524</xdr:rowOff>
    </xdr:to>
    <xdr:pic>
      <xdr:nvPicPr>
        <xdr:cNvPr id="15"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2624374" y="41643300"/>
          <a:ext cx="5619751" cy="3733799"/>
        </a:xfrm>
        <a:prstGeom prst="rect">
          <a:avLst/>
        </a:prstGeom>
      </xdr:spPr>
    </xdr:pic>
    <xdr:clientData fPrintsWithSheet="0"/>
  </xdr:twoCellAnchor>
  <xdr:twoCellAnchor>
    <xdr:from>
      <xdr:col>74</xdr:col>
      <xdr:colOff>1466850</xdr:colOff>
      <xdr:row>201</xdr:row>
      <xdr:rowOff>3714750</xdr:rowOff>
    </xdr:from>
    <xdr:to>
      <xdr:col>76</xdr:col>
      <xdr:colOff>19050</xdr:colOff>
      <xdr:row>203</xdr:row>
      <xdr:rowOff>9525</xdr:rowOff>
    </xdr:to>
    <xdr:pic>
      <xdr:nvPicPr>
        <xdr:cNvPr id="16" name="Picture 1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2633900" y="45358050"/>
          <a:ext cx="5610225" cy="3743325"/>
        </a:xfrm>
        <a:prstGeom prst="rect">
          <a:avLst/>
        </a:prstGeom>
      </xdr:spPr>
    </xdr:pic>
    <xdr:clientData fPrintsWithSheet="0"/>
  </xdr:twoCellAnchor>
  <xdr:twoCellAnchor>
    <xdr:from>
      <xdr:col>75</xdr:col>
      <xdr:colOff>0</xdr:colOff>
      <xdr:row>202</xdr:row>
      <xdr:rowOff>3714750</xdr:rowOff>
    </xdr:from>
    <xdr:to>
      <xdr:col>76</xdr:col>
      <xdr:colOff>9525</xdr:colOff>
      <xdr:row>204</xdr:row>
      <xdr:rowOff>18581</xdr:rowOff>
    </xdr:to>
    <xdr:pic>
      <xdr:nvPicPr>
        <xdr:cNvPr id="3" name="Picture 2"/>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2643425" y="49082325"/>
          <a:ext cx="5591175" cy="3752381"/>
        </a:xfrm>
        <a:prstGeom prst="rect">
          <a:avLst/>
        </a:prstGeom>
      </xdr:spPr>
    </xdr:pic>
    <xdr:clientData fPrintsWithSheet="0"/>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152400</xdr:rowOff>
    </xdr:from>
    <xdr:ext cx="2314575" cy="295226"/>
    <xdr:pic>
      <xdr:nvPicPr>
        <xdr:cNvPr id="2" name="Picture 1" descr="ti logo">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52400"/>
          <a:ext cx="2314575" cy="29522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200025</xdr:colOff>
      <xdr:row>0</xdr:row>
      <xdr:rowOff>114300</xdr:rowOff>
    </xdr:from>
    <xdr:ext cx="3752850" cy="381708"/>
    <xdr:sp macro="" textlink="">
      <xdr:nvSpPr>
        <xdr:cNvPr id="3" name="TextBox 2"/>
        <xdr:cNvSpPr txBox="1"/>
      </xdr:nvSpPr>
      <xdr:spPr>
        <a:xfrm>
          <a:off x="809625" y="114300"/>
          <a:ext cx="3752850" cy="38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600">
              <a:latin typeface="Arial Black" panose="020B0A04020102020204" pitchFamily="34" charset="0"/>
            </a:rPr>
            <a:t>About this tool...</a:t>
          </a:r>
        </a:p>
      </xdr:txBody>
    </xdr:sp>
    <xdr:clientData/>
  </xdr:oneCellAnchor>
  <xdr:oneCellAnchor>
    <xdr:from>
      <xdr:col>3</xdr:col>
      <xdr:colOff>323850</xdr:colOff>
      <xdr:row>1</xdr:row>
      <xdr:rowOff>28575</xdr:rowOff>
    </xdr:from>
    <xdr:ext cx="4641014" cy="254557"/>
    <xdr:sp macro="" textlink="">
      <xdr:nvSpPr>
        <xdr:cNvPr id="4" name="TextBox 3">
          <a:hlinkClick xmlns:r="http://schemas.openxmlformats.org/officeDocument/2006/relationships" r:id="rId3"/>
        </xdr:cNvPr>
        <xdr:cNvSpPr txBox="1"/>
      </xdr:nvSpPr>
      <xdr:spPr>
        <a:xfrm>
          <a:off x="2152650" y="219075"/>
          <a:ext cx="464101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0" i="0" u="none" strike="noStrike">
              <a:solidFill>
                <a:schemeClr val="tx1"/>
              </a:solidFill>
              <a:effectLst/>
              <a:latin typeface="Arial" panose="020B0604020202020204" pitchFamily="34" charset="0"/>
              <a:ea typeface="+mn-ea"/>
              <a:cs typeface="Arial" panose="020B0604020202020204" pitchFamily="34" charset="0"/>
              <a:hlinkClick xmlns:r="http://schemas.openxmlformats.org/officeDocument/2006/relationships" r:id=""/>
            </a:rPr>
            <a:t>© Copyright 2018</a:t>
          </a:r>
          <a:r>
            <a:rPr lang="en-US" sz="1100" b="0" i="0">
              <a:solidFill>
                <a:schemeClr val="tx1"/>
              </a:solidFill>
              <a:effectLst/>
              <a:latin typeface="Arial" panose="020B0604020202020204" pitchFamily="34" charset="0"/>
              <a:ea typeface="+mn-ea"/>
              <a:cs typeface="Arial" panose="020B0604020202020204" pitchFamily="34" charset="0"/>
            </a:rPr>
            <a:t> Texas Instruments Incorporated. All rights reserved.</a:t>
          </a:r>
          <a:endParaRPr lang="en-US" sz="1100" b="0">
            <a:latin typeface="Arial" panose="020B0604020202020204" pitchFamily="34" charset="0"/>
            <a:cs typeface="Arial" panose="020B0604020202020204" pitchFamily="34" charset="0"/>
          </a:endParaRPr>
        </a:p>
      </xdr:txBody>
    </xdr:sp>
    <xdr:clientData/>
  </xdr:oneCellAnchor>
  <xdr:oneCellAnchor>
    <xdr:from>
      <xdr:col>0</xdr:col>
      <xdr:colOff>95247</xdr:colOff>
      <xdr:row>6</xdr:row>
      <xdr:rowOff>47623</xdr:rowOff>
    </xdr:from>
    <xdr:ext cx="11229977" cy="4086227"/>
    <xdr:sp macro="" textlink="">
      <xdr:nvSpPr>
        <xdr:cNvPr id="5" name="TextBox 4"/>
        <xdr:cNvSpPr txBox="1"/>
      </xdr:nvSpPr>
      <xdr:spPr>
        <a:xfrm>
          <a:off x="95247" y="1190623"/>
          <a:ext cx="11229977" cy="4086227"/>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latin typeface="Arial" panose="020B0604020202020204" pitchFamily="34" charset="0"/>
              <a:cs typeface="Arial" panose="020B0604020202020204" pitchFamily="34" charset="0"/>
            </a:rPr>
            <a:t>LICENSE INFORMATION:</a:t>
          </a:r>
        </a:p>
        <a:p>
          <a:r>
            <a:rPr lang="en-US" sz="900">
              <a:solidFill>
                <a:schemeClr val="tx1"/>
              </a:solidFill>
              <a:effectLst/>
              <a:latin typeface="Arial" panose="020B0604020202020204" pitchFamily="34" charset="0"/>
              <a:ea typeface="+mn-ea"/>
              <a:cs typeface="Arial" panose="020B0604020202020204" pitchFamily="34" charset="0"/>
            </a:rPr>
            <a:t>Copyright (c) 2018 Texas Instruments Incorporated</a:t>
          </a:r>
        </a:p>
        <a:p>
          <a:r>
            <a:rPr lang="en-US" sz="900">
              <a:solidFill>
                <a:schemeClr val="tx1"/>
              </a:solidFill>
              <a:effectLst/>
              <a:latin typeface="Arial" panose="020B0604020202020204" pitchFamily="34" charset="0"/>
              <a:ea typeface="+mn-ea"/>
              <a:cs typeface="Arial" panose="020B0604020202020204" pitchFamily="34" charset="0"/>
            </a:rPr>
            <a:t> </a:t>
          </a:r>
        </a:p>
        <a:p>
          <a:r>
            <a:rPr lang="en-US" sz="900">
              <a:solidFill>
                <a:schemeClr val="tx1"/>
              </a:solidFill>
              <a:effectLst/>
              <a:latin typeface="Arial" panose="020B0604020202020204" pitchFamily="34" charset="0"/>
              <a:ea typeface="+mn-ea"/>
              <a:cs typeface="Arial" panose="020B0604020202020204" pitchFamily="34" charset="0"/>
            </a:rPr>
            <a:t>All rights reserved not granted herein.</a:t>
          </a:r>
        </a:p>
        <a:p>
          <a:r>
            <a:rPr lang="en-US" sz="900">
              <a:solidFill>
                <a:schemeClr val="tx1"/>
              </a:solidFill>
              <a:effectLst/>
              <a:latin typeface="Arial" panose="020B0604020202020204" pitchFamily="34" charset="0"/>
              <a:ea typeface="+mn-ea"/>
              <a:cs typeface="Arial" panose="020B0604020202020204" pitchFamily="34" charset="0"/>
            </a:rPr>
            <a:t> </a:t>
          </a:r>
        </a:p>
        <a:p>
          <a:r>
            <a:rPr lang="en-US" sz="900">
              <a:solidFill>
                <a:schemeClr val="tx1"/>
              </a:solidFill>
              <a:effectLst/>
              <a:latin typeface="Arial" panose="020B0604020202020204" pitchFamily="34" charset="0"/>
              <a:ea typeface="+mn-ea"/>
              <a:cs typeface="Arial" panose="020B0604020202020204" pitchFamily="34" charset="0"/>
            </a:rPr>
            <a:t>Limited License.  </a:t>
          </a:r>
        </a:p>
        <a:p>
          <a:r>
            <a:rPr lang="en-US" sz="900">
              <a:solidFill>
                <a:schemeClr val="tx1"/>
              </a:solidFill>
              <a:effectLst/>
              <a:latin typeface="Arial" panose="020B0604020202020204" pitchFamily="34" charset="0"/>
              <a:ea typeface="+mn-ea"/>
              <a:cs typeface="Arial" panose="020B0604020202020204" pitchFamily="34" charset="0"/>
            </a:rPr>
            <a:t> </a:t>
          </a:r>
        </a:p>
        <a:p>
          <a:r>
            <a:rPr lang="en-US" sz="900">
              <a:solidFill>
                <a:schemeClr val="tx1"/>
              </a:solidFill>
              <a:effectLst/>
              <a:latin typeface="Arial" panose="020B0604020202020204" pitchFamily="34" charset="0"/>
              <a:ea typeface="+mn-ea"/>
              <a:cs typeface="Arial" panose="020B0604020202020204" pitchFamily="34" charset="0"/>
            </a:rPr>
            <a:t>Texas Instruments Incorporated grants a world-wide, royalty-free, non-exclusive license under copyrights and patents it now or hereafter owns or controls to make, have made, use, import, offer to sell and sell ("Utilize") this software subject to the terms herein.  With respect to the foregoing patent license, such license is granted  solely to the extent that any such patent is necessary to Utilize the software alone.  The patent license shall not apply to any combinations which include this software, other than combinations with devices manufactured by or for TI (“TI Devices”).  No hardware patent is licensed hereunder.</a:t>
          </a:r>
        </a:p>
        <a:p>
          <a:r>
            <a:rPr lang="en-US" sz="900">
              <a:solidFill>
                <a:schemeClr val="tx1"/>
              </a:solidFill>
              <a:effectLst/>
              <a:latin typeface="Arial" panose="020B0604020202020204" pitchFamily="34" charset="0"/>
              <a:ea typeface="+mn-ea"/>
              <a:cs typeface="Arial" panose="020B0604020202020204" pitchFamily="34" charset="0"/>
            </a:rPr>
            <a:t> </a:t>
          </a:r>
        </a:p>
        <a:p>
          <a:r>
            <a:rPr lang="en-US" sz="900">
              <a:solidFill>
                <a:schemeClr val="tx1"/>
              </a:solidFill>
              <a:effectLst/>
              <a:latin typeface="Arial" panose="020B0604020202020204" pitchFamily="34" charset="0"/>
              <a:ea typeface="+mn-ea"/>
              <a:cs typeface="Arial" panose="020B0604020202020204" pitchFamily="34" charset="0"/>
            </a:rPr>
            <a:t>Redistributions must preserve existing copyright notices and reproduce this license (including the above copyright notice and the disclaimer and (if applicable) source code license limitations below) in the documentation and/or other materials provided with the distribution</a:t>
          </a:r>
        </a:p>
        <a:p>
          <a:r>
            <a:rPr lang="en-US" sz="900">
              <a:solidFill>
                <a:schemeClr val="tx1"/>
              </a:solidFill>
              <a:effectLst/>
              <a:latin typeface="Arial" panose="020B0604020202020204" pitchFamily="34" charset="0"/>
              <a:ea typeface="+mn-ea"/>
              <a:cs typeface="Arial" panose="020B0604020202020204" pitchFamily="34" charset="0"/>
            </a:rPr>
            <a:t> </a:t>
          </a:r>
        </a:p>
        <a:p>
          <a:r>
            <a:rPr lang="en-US" sz="900">
              <a:solidFill>
                <a:schemeClr val="tx1"/>
              </a:solidFill>
              <a:effectLst/>
              <a:latin typeface="Arial" panose="020B0604020202020204" pitchFamily="34" charset="0"/>
              <a:ea typeface="+mn-ea"/>
              <a:cs typeface="Arial" panose="020B0604020202020204" pitchFamily="34" charset="0"/>
            </a:rPr>
            <a:t>Redistribution and use in binary form, without modification, are permitted provided that the following conditions are met:</a:t>
          </a:r>
        </a:p>
        <a:p>
          <a:r>
            <a:rPr lang="en-US" sz="900">
              <a:solidFill>
                <a:schemeClr val="tx1"/>
              </a:solidFill>
              <a:effectLst/>
              <a:latin typeface="Arial" panose="020B0604020202020204" pitchFamily="34" charset="0"/>
              <a:ea typeface="+mn-ea"/>
              <a:cs typeface="Arial" panose="020B0604020202020204" pitchFamily="34" charset="0"/>
            </a:rPr>
            <a:t>*	No reverse engineering, decompilation, or disassembly of this software is permitted with respect to any software provided in binary form. </a:t>
          </a:r>
        </a:p>
        <a:p>
          <a:r>
            <a:rPr lang="en-US" sz="900">
              <a:solidFill>
                <a:schemeClr val="tx1"/>
              </a:solidFill>
              <a:effectLst/>
              <a:latin typeface="Arial" panose="020B0604020202020204" pitchFamily="34" charset="0"/>
              <a:ea typeface="+mn-ea"/>
              <a:cs typeface="Arial" panose="020B0604020202020204" pitchFamily="34" charset="0"/>
            </a:rPr>
            <a:t>*	Any redistribution and use are licensed by TI for use only with TI Devices.</a:t>
          </a:r>
        </a:p>
        <a:p>
          <a:r>
            <a:rPr lang="en-US" sz="900">
              <a:solidFill>
                <a:schemeClr val="tx1"/>
              </a:solidFill>
              <a:effectLst/>
              <a:latin typeface="Arial" panose="020B0604020202020204" pitchFamily="34" charset="0"/>
              <a:ea typeface="+mn-ea"/>
              <a:cs typeface="Arial" panose="020B0604020202020204" pitchFamily="34" charset="0"/>
            </a:rPr>
            <a:t>*	Nothing shall obligate TI to provide you with source code for the software licensed and provided to you in object code.</a:t>
          </a:r>
        </a:p>
        <a:p>
          <a:r>
            <a:rPr lang="en-US" sz="900">
              <a:solidFill>
                <a:schemeClr val="tx1"/>
              </a:solidFill>
              <a:effectLst/>
              <a:latin typeface="Arial" panose="020B0604020202020204" pitchFamily="34" charset="0"/>
              <a:ea typeface="+mn-ea"/>
              <a:cs typeface="Arial" panose="020B0604020202020204" pitchFamily="34" charset="0"/>
            </a:rPr>
            <a:t> </a:t>
          </a:r>
        </a:p>
        <a:p>
          <a:r>
            <a:rPr lang="en-US" sz="900">
              <a:solidFill>
                <a:schemeClr val="tx1"/>
              </a:solidFill>
              <a:effectLst/>
              <a:latin typeface="Arial" panose="020B0604020202020204" pitchFamily="34" charset="0"/>
              <a:ea typeface="+mn-ea"/>
              <a:cs typeface="Arial" panose="020B0604020202020204" pitchFamily="34" charset="0"/>
            </a:rPr>
            <a:t>If software source code is provided to you, modification and redistribution of the source code are permitted provided that the following conditions are met:</a:t>
          </a:r>
        </a:p>
        <a:p>
          <a:r>
            <a:rPr lang="en-US" sz="900">
              <a:solidFill>
                <a:schemeClr val="tx1"/>
              </a:solidFill>
              <a:effectLst/>
              <a:latin typeface="Arial" panose="020B0604020202020204" pitchFamily="34" charset="0"/>
              <a:ea typeface="+mn-ea"/>
              <a:cs typeface="Arial" panose="020B0604020202020204" pitchFamily="34" charset="0"/>
            </a:rPr>
            <a:t>*	Any redistribution and use of the source code, including any resulting derivative works, are licensed by TI for use only with TI Devices.</a:t>
          </a:r>
        </a:p>
        <a:p>
          <a:r>
            <a:rPr lang="en-US" sz="900">
              <a:solidFill>
                <a:schemeClr val="tx1"/>
              </a:solidFill>
              <a:effectLst/>
              <a:latin typeface="Arial" panose="020B0604020202020204" pitchFamily="34" charset="0"/>
              <a:ea typeface="+mn-ea"/>
              <a:cs typeface="Arial" panose="020B0604020202020204" pitchFamily="34" charset="0"/>
            </a:rPr>
            <a:t>*	Any redistribution and use of any object code compiled from the source code and any resulting derivative works, are licensed by TI for use only with TI Devices.</a:t>
          </a:r>
        </a:p>
        <a:p>
          <a:endParaRPr lang="en-US" sz="900">
            <a:solidFill>
              <a:schemeClr val="tx1"/>
            </a:solidFill>
            <a:effectLst/>
            <a:latin typeface="Arial" panose="020B0604020202020204" pitchFamily="34" charset="0"/>
            <a:ea typeface="+mn-ea"/>
            <a:cs typeface="Arial" panose="020B0604020202020204" pitchFamily="34" charset="0"/>
          </a:endParaRPr>
        </a:p>
        <a:p>
          <a:r>
            <a:rPr lang="en-US" sz="900">
              <a:solidFill>
                <a:schemeClr val="tx1"/>
              </a:solidFill>
              <a:effectLst/>
              <a:latin typeface="Arial" panose="020B0604020202020204" pitchFamily="34" charset="0"/>
              <a:ea typeface="+mn-ea"/>
              <a:cs typeface="Arial" panose="020B0604020202020204" pitchFamily="34" charset="0"/>
            </a:rPr>
            <a:t>Neither the name of Texas Instruments Incorporated nor the names of its suppliers may be used to endorse or promote products derived from this software without specific prior written permission.</a:t>
          </a:r>
          <a:endParaRPr lang="en-US" sz="1000" b="1">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b="1" baseline="0">
              <a:latin typeface="Arial" panose="020B0604020202020204" pitchFamily="34" charset="0"/>
              <a:cs typeface="Arial" panose="020B0604020202020204" pitchFamily="34" charset="0"/>
            </a:rPr>
            <a:t>DISCLAMER:</a:t>
          </a:r>
        </a:p>
        <a:p>
          <a:pPr marL="0" marR="0" indent="0" defTabSz="914400" eaLnBrk="1" fontAlgn="auto" latinLnBrk="0" hangingPunct="1">
            <a:lnSpc>
              <a:spcPct val="100000"/>
            </a:lnSpc>
            <a:spcBef>
              <a:spcPts val="0"/>
            </a:spcBef>
            <a:spcAft>
              <a:spcPts val="0"/>
            </a:spcAft>
            <a:buClrTx/>
            <a:buSzTx/>
            <a:buFontTx/>
            <a:buNone/>
            <a:tabLst/>
            <a:defRPr/>
          </a:pPr>
          <a:r>
            <a:rPr lang="en-US" sz="800" baseline="0">
              <a:latin typeface="Arial" panose="020B0604020202020204" pitchFamily="34" charset="0"/>
              <a:cs typeface="Arial" panose="020B0604020202020204" pitchFamily="34" charset="0"/>
            </a:rPr>
            <a:t>THIS SOFTWARE IS PROVIDED BY TI AND TI’S LICENSORS "AS IS" AND ANY EXPRESS OR IMPLIED WARRANTIES, INCLUDING, BUT NOT LIMITED TO, THE IMPLIED WARRANTIES OF MERCHANTABILITY AND FITNESS FOR A PARTICULAR PURPOSE ARE DISCLAIMED. IN NO EVENT SHALL TI AND TI’S LICENSORS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THIS SOFTWARE, EVEN IF ADVISED OF THE POSSIBILITY OF SUCH DAMAGE.</a:t>
          </a:r>
        </a:p>
      </xdr:txBody>
    </xdr:sp>
    <xdr:clientData/>
  </xdr:oneCellAnchor>
  <xdr:oneCellAnchor>
    <xdr:from>
      <xdr:col>0</xdr:col>
      <xdr:colOff>95247</xdr:colOff>
      <xdr:row>29</xdr:row>
      <xdr:rowOff>47623</xdr:rowOff>
    </xdr:from>
    <xdr:ext cx="11229977" cy="809627"/>
    <xdr:sp macro="" textlink="">
      <xdr:nvSpPr>
        <xdr:cNvPr id="6" name="TextBox 5"/>
        <xdr:cNvSpPr txBox="1"/>
      </xdr:nvSpPr>
      <xdr:spPr>
        <a:xfrm>
          <a:off x="95247" y="5572123"/>
          <a:ext cx="11229977" cy="809627"/>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IMPORTANT</a:t>
          </a:r>
          <a:r>
            <a:rPr lang="en-US" sz="1100" b="1" baseline="0">
              <a:solidFill>
                <a:schemeClr val="tx1"/>
              </a:solidFill>
              <a:effectLst/>
              <a:latin typeface="+mn-lt"/>
              <a:ea typeface="+mn-ea"/>
              <a:cs typeface="+mn-cs"/>
            </a:rPr>
            <a:t>:   </a:t>
          </a:r>
          <a:endParaRPr lang="en-US" sz="800">
            <a:effectLst/>
          </a:endParaRPr>
        </a:p>
        <a:p>
          <a:r>
            <a:rPr lang="en-US" sz="1100" baseline="0">
              <a:solidFill>
                <a:schemeClr val="tx1"/>
              </a:solidFill>
              <a:effectLst/>
              <a:latin typeface="+mn-lt"/>
              <a:ea typeface="+mn-ea"/>
              <a:cs typeface="+mn-cs"/>
            </a:rPr>
            <a:t>1.  Do not delete this worksheet!</a:t>
          </a:r>
          <a:endParaRPr lang="en-US" sz="800">
            <a:effectLst/>
          </a:endParaRPr>
        </a:p>
        <a:p>
          <a:r>
            <a:rPr lang="en-US" sz="1100" baseline="0">
              <a:solidFill>
                <a:schemeClr val="tx1"/>
              </a:solidFill>
              <a:effectLst/>
              <a:latin typeface="+mn-lt"/>
              <a:ea typeface="+mn-ea"/>
              <a:cs typeface="+mn-cs"/>
            </a:rPr>
            <a:t>2.  Refer to the help tab for additional device information and support.</a:t>
          </a:r>
          <a:endParaRPr lang="en-US" sz="800">
            <a:effectLst/>
          </a:endParaRPr>
        </a:p>
        <a:p>
          <a:pPr eaLnBrk="1" fontAlgn="auto" latinLnBrk="0" hangingPunct="1"/>
          <a:r>
            <a:rPr lang="en-US" sz="1100" baseline="0">
              <a:solidFill>
                <a:schemeClr val="tx1"/>
              </a:solidFill>
              <a:effectLst/>
              <a:latin typeface="+mn-lt"/>
              <a:ea typeface="+mn-ea"/>
              <a:cs typeface="+mn-cs"/>
            </a:rPr>
            <a:t>3.  Redistributions must retain the above copyright and the following disclaimer.</a:t>
          </a:r>
          <a:endParaRPr lang="en-US" sz="800">
            <a:effectLst/>
          </a:endParaRPr>
        </a:p>
        <a:p>
          <a:endParaRPr lang="en-US" sz="800" baseline="0">
            <a:latin typeface="Arial" panose="020B0604020202020204" pitchFamily="34" charset="0"/>
            <a:cs typeface="Arial" panose="020B0604020202020204"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152400</xdr:rowOff>
    </xdr:from>
    <xdr:ext cx="2314575" cy="295226"/>
    <xdr:pic>
      <xdr:nvPicPr>
        <xdr:cNvPr id="2" name="Picture 1" descr="ti logo">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152400"/>
          <a:ext cx="2314575" cy="29522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561975</xdr:colOff>
      <xdr:row>0</xdr:row>
      <xdr:rowOff>85725</xdr:rowOff>
    </xdr:from>
    <xdr:ext cx="3752850" cy="381708"/>
    <xdr:sp macro="" textlink="">
      <xdr:nvSpPr>
        <xdr:cNvPr id="3" name="TextBox 2"/>
        <xdr:cNvSpPr txBox="1"/>
      </xdr:nvSpPr>
      <xdr:spPr>
        <a:xfrm>
          <a:off x="4219575" y="85725"/>
          <a:ext cx="3752850" cy="38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600">
              <a:latin typeface="Arial Black" panose="020B0A04020102020204" pitchFamily="34" charset="0"/>
            </a:rPr>
            <a:t>How to use this tool...</a:t>
          </a:r>
        </a:p>
      </xdr:txBody>
    </xdr:sp>
    <xdr:clientData/>
  </xdr:oneCellAnchor>
  <xdr:oneCellAnchor>
    <xdr:from>
      <xdr:col>0</xdr:col>
      <xdr:colOff>47625</xdr:colOff>
      <xdr:row>5</xdr:row>
      <xdr:rowOff>76200</xdr:rowOff>
    </xdr:from>
    <xdr:ext cx="184731" cy="264560"/>
    <xdr:sp macro="" textlink="">
      <xdr:nvSpPr>
        <xdr:cNvPr id="4" name="TextBox 3">
          <a:hlinkClick xmlns:r="http://schemas.openxmlformats.org/officeDocument/2006/relationships" r:id="rId3"/>
        </xdr:cNvPr>
        <xdr:cNvSpPr txBox="1"/>
      </xdr:nvSpPr>
      <xdr:spPr>
        <a:xfrm>
          <a:off x="47625"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0227282/AppData/Local/Microsoft/Windows/INetCache/Content.Outlook/F78ED5SB/ADS1261-60%20Design%20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
      <sheetName val="Common-Mode Range"/>
      <sheetName val="Code Conversions"/>
      <sheetName val="Digital Filter"/>
      <sheetName val="STATUS"/>
      <sheetName val="CRC"/>
      <sheetName val="About"/>
      <sheetName val="Help"/>
    </sheetNames>
    <sheetDataSet>
      <sheetData sheetId="0" refreshError="1"/>
      <sheetData sheetId="1" refreshError="1"/>
      <sheetData sheetId="2" refreshError="1"/>
      <sheetData sheetId="3">
        <row r="84">
          <cell r="T84" t="b">
            <v>0</v>
          </cell>
        </row>
      </sheetData>
      <sheetData sheetId="4" refreshError="1"/>
      <sheetData sheetId="5" refreshError="1"/>
      <sheetData sheetId="6" refreshError="1"/>
      <sheetData sheetId="7" refreshError="1"/>
    </sheetDataSet>
  </externalBook>
</externalLink>
</file>

<file path=xl/tables/table1.xml><?xml version="1.0" encoding="utf-8"?>
<table xmlns="http://schemas.openxmlformats.org/spreadsheetml/2006/main" id="1" name="Devices" displayName="Devices" ref="A6:AD25" totalsRowShown="0" headerRowDxfId="49" dataDxfId="47" headerRowBorderDxfId="48" tableBorderDxfId="46">
  <tableColumns count="30">
    <tableColumn id="1" name="Part" dataDxfId="45"/>
    <tableColumn id="15" name="Input Type" dataDxfId="44"/>
    <tableColumn id="2" name="Gain Error Typ" dataDxfId="43"/>
    <tableColumn id="3" name="Gain Error Max" dataDxfId="42"/>
    <tableColumn id="4" name="Gain Drift Typ" dataDxfId="41"/>
    <tableColumn id="5" name="Gain Drift Max" dataDxfId="40"/>
    <tableColumn id="6" name="Offset Error Typ" dataDxfId="39"/>
    <tableColumn id="7" name="Offset Error Max" dataDxfId="38"/>
    <tableColumn id="8" name="Offset Drift Typ" dataDxfId="37"/>
    <tableColumn id="9" name="Offset Drift Max" dataDxfId="36"/>
    <tableColumn id="10" name="INL Typ" dataDxfId="35"/>
    <tableColumn id="11" name="INL Max" dataDxfId="34"/>
    <tableColumn id="12" name="INL Drift Typ" dataDxfId="33"/>
    <tableColumn id="13" name="INL Drift Max" dataDxfId="32"/>
    <tableColumn id="14" name="±Input Voltage Range" dataDxfId="31"/>
    <tableColumn id="29" name="Temp Min" dataDxfId="30"/>
    <tableColumn id="30" name="Temp Max" dataDxfId="29"/>
    <tableColumn id="18" name="Input Resistor (R4)" dataDxfId="28"/>
    <tableColumn id="16" name="Single-Ended Input Resistance" dataDxfId="27"/>
    <tableColumn id="17" name="Bias Current" dataDxfId="26"/>
    <tableColumn id="19" name="Row Num" dataDxfId="25">
      <calculatedColumnFormula>ROW()-6</calculatedColumnFormula>
    </tableColumn>
    <tableColumn id="20" name="Row Sel D" dataDxfId="24">
      <calculatedColumnFormula>IF(OR($AH$12=Devices[[#This Row],[Input Type]], 0=Devices[[#This Row],[Input Type]]), Devices[[#This Row],[Row Num]], " ")</calculatedColumnFormula>
    </tableColumn>
    <tableColumn id="21" name="Row Sel SE" dataDxfId="23">
      <calculatedColumnFormula>IF(OR($AH$13=Devices[[#This Row],[Input Type]], 0=Devices[[#This Row],[Input Type]]), Devices[[#This Row],[Row Num]], " ")</calculatedColumnFormula>
    </tableColumn>
    <tableColumn id="28" name="Row Sel N" dataDxfId="22">
      <calculatedColumnFormula>IF(0=Devices[[#This Row],[Input Type]], Devices[[#This Row],[Row Num]], " ")</calculatedColumnFormula>
    </tableColumn>
    <tableColumn id="22" name="Sel D" dataDxfId="21">
      <calculatedColumnFormula>IFERROR(SMALL(Devices[Row Sel D], Devices[[#This Row],[Row Num]]), " ")</calculatedColumnFormula>
    </tableColumn>
    <tableColumn id="23" name="Sel SE" dataDxfId="20">
      <calculatedColumnFormula>IFERROR(SMALL(Devices[Row Sel SE], Devices[[#This Row],[Row Num]]), " ")</calculatedColumnFormula>
    </tableColumn>
    <tableColumn id="27" name="Sel N" dataDxfId="19">
      <calculatedColumnFormula>IFERROR(SMALL(Devices[Row Sel N], Devices[[#This Row],[Row Num]]), " ")</calculatedColumnFormula>
    </tableColumn>
    <tableColumn id="24" name="Device_List_D" dataDxfId="18">
      <calculatedColumnFormula>IFERROR(INDEX(Devices[Part], Devices[[#This Row],[Sel D]], 1), "")</calculatedColumnFormula>
    </tableColumn>
    <tableColumn id="25" name="Device_List_SE" dataDxfId="17">
      <calculatedColumnFormula>IFERROR(INDEX(Devices[Part], Devices[[#This Row],[Sel SE]], 1), "")</calculatedColumnFormula>
    </tableColumn>
    <tableColumn id="26" name="Device_List_N" dataDxfId="16">
      <calculatedColumnFormula>IFERROR(INDEX(Devices[Part], Devices[[#This Row],[Sel N]], 1), "")</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Config" displayName="Config" ref="BW200:BX204" totalsRowShown="0" headerRowDxfId="15">
  <tableColumns count="2">
    <tableColumn id="1" name="Configuration"/>
    <tableColumn id="2" name="Image"/>
  </tableColumns>
  <tableStyleInfo name="TableStyleMedium2" showFirstColumn="0" showLastColumn="0" showRowStripes="0" showColumnStripes="0"/>
</table>
</file>

<file path=xl/tables/table3.xml><?xml version="1.0" encoding="utf-8"?>
<table xmlns="http://schemas.openxmlformats.org/spreadsheetml/2006/main" id="4" name="Inputs" displayName="Inputs" ref="AH10:AH13" totalsRowShown="0">
  <tableColumns count="1">
    <tableColumn id="1" name="Input 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ti.com/lit/gpn/amc3301" TargetMode="External"/><Relationship Id="rId3" Type="http://schemas.openxmlformats.org/officeDocument/2006/relationships/hyperlink" Target="http://www.ti.com/lit/gpn/amc1302" TargetMode="External"/><Relationship Id="rId7" Type="http://schemas.openxmlformats.org/officeDocument/2006/relationships/hyperlink" Target="http://www.ti.com/lit/gpn/amc1311-q1" TargetMode="External"/><Relationship Id="rId2" Type="http://schemas.openxmlformats.org/officeDocument/2006/relationships/hyperlink" Target="http://www.ti.com/lit/gpn/amc1301" TargetMode="External"/><Relationship Id="rId1" Type="http://schemas.openxmlformats.org/officeDocument/2006/relationships/hyperlink" Target="http://e2e.ti.com/support/data_converters/precision_data_converters/" TargetMode="External"/><Relationship Id="rId6" Type="http://schemas.openxmlformats.org/officeDocument/2006/relationships/hyperlink" Target="http://www.ti.com/lit/gpn/amc1311" TargetMode="External"/><Relationship Id="rId11" Type="http://schemas.openxmlformats.org/officeDocument/2006/relationships/drawing" Target="../drawings/drawing5.xml"/><Relationship Id="rId5" Type="http://schemas.openxmlformats.org/officeDocument/2006/relationships/hyperlink" Target="http://www.ti.com/lit/gpn/amc1301-q1" TargetMode="External"/><Relationship Id="rId10" Type="http://schemas.openxmlformats.org/officeDocument/2006/relationships/printerSettings" Target="../printerSettings/printerSettings5.bin"/><Relationship Id="rId4" Type="http://schemas.openxmlformats.org/officeDocument/2006/relationships/hyperlink" Target="http://www.ti.com/lit/gpn/amc1300" TargetMode="External"/><Relationship Id="rId9" Type="http://schemas.openxmlformats.org/officeDocument/2006/relationships/hyperlink" Target="http://www.ti.com/lit/gpn/iso2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7"/>
  <sheetViews>
    <sheetView showGridLines="0" showRowColHeaders="0" tabSelected="1" workbookViewId="0">
      <selection activeCell="B9" sqref="B9:D9"/>
    </sheetView>
  </sheetViews>
  <sheetFormatPr defaultRowHeight="15"/>
  <cols>
    <col min="3" max="5" width="10.7109375" customWidth="1"/>
  </cols>
  <sheetData>
    <row r="1" spans="1:31" ht="15" customHeight="1">
      <c r="A1" s="195"/>
      <c r="B1" s="195"/>
      <c r="C1" s="195"/>
      <c r="D1" s="195"/>
      <c r="E1" s="195"/>
      <c r="F1" s="195"/>
      <c r="G1" s="195"/>
      <c r="H1" s="195"/>
      <c r="I1" s="195"/>
      <c r="J1" s="195"/>
      <c r="K1" s="195"/>
      <c r="L1" s="195"/>
      <c r="M1" s="195"/>
      <c r="N1" s="195"/>
      <c r="O1" s="195"/>
      <c r="P1" s="195"/>
      <c r="Q1" s="195"/>
      <c r="R1" s="195"/>
      <c r="S1" s="195"/>
      <c r="T1" s="195"/>
      <c r="U1" s="195"/>
    </row>
    <row r="2" spans="1:31" ht="15" customHeight="1">
      <c r="A2" s="195"/>
      <c r="B2" s="195"/>
      <c r="C2" s="195"/>
      <c r="D2" s="195"/>
      <c r="E2" s="195"/>
      <c r="F2" s="195"/>
      <c r="G2" s="195"/>
      <c r="H2" s="195"/>
      <c r="I2" s="195"/>
      <c r="J2" s="195"/>
      <c r="K2" s="195"/>
      <c r="L2" s="195"/>
      <c r="M2" s="195"/>
      <c r="N2" s="195"/>
      <c r="O2" s="195"/>
      <c r="P2" s="195"/>
      <c r="Q2" s="195"/>
      <c r="R2" s="195"/>
      <c r="S2" s="195"/>
      <c r="T2" s="195"/>
      <c r="U2" s="195"/>
    </row>
    <row r="3" spans="1:31" ht="15" customHeight="1">
      <c r="A3" s="195"/>
      <c r="B3" s="195"/>
      <c r="C3" s="195"/>
      <c r="D3" s="195"/>
      <c r="E3" s="195"/>
      <c r="F3" s="195"/>
      <c r="G3" s="195"/>
      <c r="H3" s="195"/>
      <c r="I3" s="195"/>
      <c r="J3" s="195"/>
      <c r="K3" s="195"/>
      <c r="L3" s="195"/>
      <c r="M3" s="195"/>
      <c r="N3" s="195"/>
      <c r="O3" s="195"/>
      <c r="P3" s="195"/>
      <c r="Q3" s="195"/>
      <c r="R3" s="195"/>
      <c r="S3" s="195"/>
      <c r="T3" s="195"/>
      <c r="U3" s="195"/>
    </row>
    <row r="4" spans="1:31" ht="15" customHeight="1">
      <c r="A4" s="196"/>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row>
    <row r="5" spans="1:31" ht="15" customHeight="1">
      <c r="A5" s="1"/>
      <c r="B5" s="1"/>
      <c r="C5" s="1"/>
      <c r="D5" s="1"/>
      <c r="E5" s="1"/>
      <c r="F5" s="1"/>
      <c r="G5" s="1"/>
      <c r="H5" s="1"/>
      <c r="I5" s="1"/>
      <c r="J5" s="1"/>
      <c r="K5" s="1"/>
      <c r="L5" s="1"/>
      <c r="M5" s="1"/>
      <c r="N5" s="1"/>
      <c r="O5" s="1"/>
      <c r="P5" s="1"/>
      <c r="Q5" s="1"/>
      <c r="R5" s="1"/>
      <c r="S5" s="1"/>
      <c r="T5" s="1"/>
      <c r="U5" s="1"/>
      <c r="V5" s="1"/>
    </row>
    <row r="6" spans="1:31" ht="15" customHeight="1">
      <c r="A6" s="1"/>
      <c r="B6" s="1"/>
      <c r="C6" s="1"/>
      <c r="D6" s="1"/>
      <c r="E6" s="1"/>
      <c r="F6" s="1"/>
      <c r="G6" s="1"/>
      <c r="H6" s="1"/>
      <c r="I6" s="1"/>
      <c r="J6" s="1"/>
      <c r="K6" s="1"/>
      <c r="L6" s="1"/>
      <c r="M6" s="1"/>
      <c r="N6" s="1"/>
      <c r="O6" s="1"/>
      <c r="P6" s="1"/>
      <c r="Q6" s="1"/>
      <c r="R6" s="1"/>
      <c r="S6" s="1"/>
      <c r="T6" s="1"/>
      <c r="U6" s="1"/>
      <c r="V6" s="1"/>
    </row>
    <row r="7" spans="1:31" ht="15" customHeight="1" thickBot="1">
      <c r="A7" s="1"/>
      <c r="B7" s="191" t="s">
        <v>13</v>
      </c>
      <c r="C7" s="191"/>
      <c r="D7" s="191"/>
      <c r="E7" s="1"/>
      <c r="F7" s="191" t="s">
        <v>14</v>
      </c>
      <c r="G7" s="191"/>
      <c r="H7" s="191"/>
      <c r="I7" s="191"/>
      <c r="J7" s="191"/>
      <c r="K7" s="191"/>
      <c r="L7" s="191"/>
      <c r="M7" s="191"/>
      <c r="N7" s="191"/>
      <c r="O7" s="191"/>
      <c r="P7" s="191"/>
      <c r="Q7" s="191"/>
      <c r="S7" s="1"/>
      <c r="T7" s="1"/>
      <c r="U7" s="1"/>
      <c r="V7" s="1"/>
    </row>
    <row r="8" spans="1:31" ht="15" customHeight="1">
      <c r="A8" s="1"/>
      <c r="B8" s="1"/>
      <c r="C8" s="1"/>
      <c r="D8" s="1"/>
      <c r="E8" s="1"/>
      <c r="F8" s="2"/>
      <c r="G8" s="1"/>
      <c r="H8" s="1"/>
      <c r="I8" s="1"/>
      <c r="J8" s="1"/>
      <c r="K8" s="1"/>
      <c r="L8" s="1"/>
      <c r="M8" s="1"/>
      <c r="N8" s="1"/>
      <c r="O8" s="1"/>
      <c r="P8" s="1"/>
      <c r="Q8" s="1"/>
      <c r="S8" s="1"/>
      <c r="T8" s="1"/>
      <c r="U8" s="1"/>
      <c r="V8" s="1"/>
    </row>
    <row r="9" spans="1:31" ht="15" customHeight="1">
      <c r="A9" s="1"/>
      <c r="B9" s="194" t="s">
        <v>128</v>
      </c>
      <c r="C9" s="194"/>
      <c r="D9" s="194"/>
      <c r="E9" s="3"/>
      <c r="F9" s="192" t="s">
        <v>127</v>
      </c>
      <c r="G9" s="192"/>
      <c r="H9" s="192"/>
      <c r="I9" s="192"/>
      <c r="J9" s="192"/>
      <c r="K9" s="192"/>
      <c r="L9" s="192"/>
      <c r="M9" s="192"/>
      <c r="N9" s="192"/>
      <c r="O9" s="192"/>
      <c r="P9" s="192"/>
      <c r="Q9" s="192"/>
      <c r="S9" s="1"/>
      <c r="T9" s="1"/>
      <c r="U9" s="1"/>
      <c r="V9" s="1"/>
    </row>
    <row r="10" spans="1:31" ht="15" customHeight="1">
      <c r="A10" s="1"/>
      <c r="B10" s="4"/>
      <c r="C10" s="4"/>
      <c r="D10" s="4"/>
      <c r="E10" s="3"/>
      <c r="F10" s="3"/>
      <c r="G10" s="3"/>
      <c r="H10" s="3"/>
      <c r="I10" s="3"/>
      <c r="J10" s="3"/>
      <c r="K10" s="3"/>
      <c r="L10" s="3"/>
      <c r="M10" s="3"/>
      <c r="N10" s="3"/>
      <c r="O10" s="3"/>
      <c r="P10" s="3"/>
      <c r="Q10" s="3"/>
      <c r="S10" s="1"/>
      <c r="T10" s="1"/>
      <c r="U10" s="1"/>
      <c r="V10" s="1"/>
    </row>
    <row r="11" spans="1:31" ht="15" customHeight="1">
      <c r="A11" s="1"/>
      <c r="B11" s="194" t="s">
        <v>94</v>
      </c>
      <c r="C11" s="193"/>
      <c r="D11" s="193"/>
      <c r="E11" s="3"/>
      <c r="F11" s="192" t="s">
        <v>126</v>
      </c>
      <c r="G11" s="192"/>
      <c r="H11" s="192"/>
      <c r="I11" s="192"/>
      <c r="J11" s="192"/>
      <c r="K11" s="192"/>
      <c r="L11" s="192"/>
      <c r="M11" s="192"/>
      <c r="N11" s="192"/>
      <c r="O11" s="192"/>
      <c r="P11" s="192"/>
      <c r="Q11" s="192"/>
      <c r="S11" s="1"/>
      <c r="T11" s="1"/>
      <c r="U11" s="1"/>
      <c r="V11" s="1"/>
    </row>
    <row r="12" spans="1:31" ht="15" customHeight="1">
      <c r="A12" s="1"/>
      <c r="B12" s="4"/>
      <c r="C12" s="4"/>
      <c r="D12" s="4"/>
      <c r="E12" s="3"/>
      <c r="F12" s="3"/>
      <c r="G12" s="3"/>
      <c r="H12" s="3"/>
      <c r="I12" s="3"/>
      <c r="J12" s="3"/>
      <c r="K12" s="3"/>
      <c r="L12" s="3"/>
      <c r="M12" s="3"/>
      <c r="N12" s="3"/>
      <c r="O12" s="3"/>
      <c r="P12" s="3"/>
      <c r="Q12" s="3"/>
      <c r="S12" s="1"/>
      <c r="T12" s="1"/>
      <c r="U12" s="1"/>
      <c r="V12" s="1"/>
    </row>
    <row r="13" spans="1:31" ht="15" customHeight="1">
      <c r="A13" s="1"/>
      <c r="B13" s="193" t="s">
        <v>15</v>
      </c>
      <c r="C13" s="193"/>
      <c r="D13" s="193"/>
      <c r="E13" s="3"/>
      <c r="F13" s="192" t="s">
        <v>16</v>
      </c>
      <c r="G13" s="192"/>
      <c r="H13" s="192"/>
      <c r="I13" s="192"/>
      <c r="J13" s="192"/>
      <c r="K13" s="192"/>
      <c r="L13" s="192"/>
      <c r="M13" s="192"/>
      <c r="N13" s="192"/>
      <c r="O13" s="192"/>
      <c r="P13" s="192"/>
      <c r="Q13" s="192"/>
      <c r="S13" s="1"/>
      <c r="T13" s="1"/>
      <c r="U13" s="1"/>
      <c r="V13" s="1"/>
    </row>
    <row r="14" spans="1:31" ht="15" customHeight="1">
      <c r="A14" s="1"/>
      <c r="B14" s="4"/>
      <c r="C14" s="4"/>
      <c r="D14" s="4"/>
      <c r="E14" s="3"/>
      <c r="F14" s="3"/>
      <c r="G14" s="3"/>
      <c r="H14" s="3"/>
      <c r="I14" s="3"/>
      <c r="J14" s="3"/>
      <c r="K14" s="3"/>
      <c r="L14" s="3"/>
      <c r="M14" s="3"/>
      <c r="N14" s="3"/>
      <c r="O14" s="3"/>
      <c r="P14" s="3"/>
      <c r="Q14" s="3"/>
      <c r="S14" s="1"/>
      <c r="T14" s="1"/>
      <c r="U14" s="1"/>
      <c r="V14" s="1"/>
    </row>
    <row r="15" spans="1:31" ht="15" customHeight="1">
      <c r="A15" s="1"/>
      <c r="B15" s="193" t="s">
        <v>17</v>
      </c>
      <c r="C15" s="193"/>
      <c r="D15" s="193"/>
      <c r="E15" s="3"/>
      <c r="F15" s="192" t="s">
        <v>18</v>
      </c>
      <c r="G15" s="192"/>
      <c r="H15" s="192"/>
      <c r="I15" s="192"/>
      <c r="J15" s="192"/>
      <c r="K15" s="192"/>
      <c r="L15" s="192"/>
      <c r="M15" s="192"/>
      <c r="N15" s="192"/>
      <c r="O15" s="192"/>
      <c r="P15" s="192"/>
      <c r="Q15" s="192"/>
      <c r="S15" s="1"/>
      <c r="T15" s="1"/>
      <c r="U15" s="1"/>
      <c r="V15" s="1"/>
    </row>
    <row r="16" spans="1:31" ht="15" customHeight="1">
      <c r="A16" s="1"/>
      <c r="B16" s="4"/>
      <c r="C16" s="4"/>
      <c r="D16" s="4"/>
      <c r="E16" s="1"/>
      <c r="F16" s="2"/>
      <c r="G16" s="1"/>
      <c r="H16" s="1"/>
      <c r="I16" s="1"/>
      <c r="J16" s="1"/>
      <c r="K16" s="1"/>
      <c r="L16" s="1"/>
      <c r="M16" s="1"/>
      <c r="N16" s="1"/>
      <c r="O16" s="1"/>
      <c r="P16" s="1"/>
      <c r="Q16" s="1"/>
      <c r="S16" s="1"/>
      <c r="T16" s="1"/>
      <c r="U16" s="1"/>
      <c r="V16" s="1"/>
    </row>
    <row r="17" spans="1:22" ht="15" customHeight="1">
      <c r="A17" s="1"/>
      <c r="B17" s="1"/>
      <c r="H17" s="1"/>
      <c r="I17" s="6"/>
      <c r="J17" s="6"/>
      <c r="K17" s="6"/>
      <c r="L17" s="6"/>
      <c r="M17" s="6"/>
      <c r="N17" s="6"/>
      <c r="O17" s="6"/>
      <c r="P17" s="6"/>
      <c r="Q17" s="6"/>
      <c r="R17" s="6"/>
      <c r="S17" s="6"/>
      <c r="T17" s="6"/>
      <c r="U17" s="6"/>
      <c r="V17" s="1"/>
    </row>
    <row r="18" spans="1:22" ht="15" customHeight="1" thickBot="1">
      <c r="A18" s="1"/>
      <c r="B18" s="191" t="s">
        <v>37</v>
      </c>
      <c r="C18" s="191"/>
      <c r="D18" s="191"/>
      <c r="E18" s="5"/>
      <c r="F18" s="5"/>
      <c r="G18" s="5"/>
      <c r="H18" s="3"/>
      <c r="I18" s="3"/>
      <c r="J18" s="3"/>
      <c r="K18" s="3"/>
      <c r="L18" s="3"/>
      <c r="M18" s="3"/>
      <c r="N18" s="3"/>
      <c r="O18" s="3"/>
      <c r="P18" s="1"/>
      <c r="Q18" s="1"/>
      <c r="R18" s="1"/>
      <c r="S18" s="1"/>
      <c r="T18" s="1"/>
      <c r="U18" s="1"/>
      <c r="V18" s="1"/>
    </row>
    <row r="19" spans="1:22" ht="15" customHeight="1">
      <c r="A19" s="1"/>
      <c r="B19" s="192" t="s">
        <v>103</v>
      </c>
      <c r="C19" s="192"/>
      <c r="D19" s="192"/>
      <c r="E19" s="192"/>
      <c r="F19" s="192"/>
      <c r="G19" s="192"/>
      <c r="H19" s="192"/>
      <c r="I19" s="192"/>
      <c r="J19" s="192"/>
      <c r="K19" s="192"/>
      <c r="L19" s="192"/>
      <c r="M19" s="192"/>
      <c r="N19" s="192"/>
      <c r="O19" s="192"/>
      <c r="P19" s="192"/>
      <c r="Q19" s="1"/>
      <c r="R19" s="1"/>
      <c r="S19" s="1"/>
      <c r="T19" s="1"/>
      <c r="U19" s="1"/>
      <c r="V19" s="1"/>
    </row>
    <row r="20" spans="1:22" ht="15" customHeight="1">
      <c r="A20" s="1"/>
      <c r="B20" s="4"/>
      <c r="C20" s="4"/>
      <c r="D20" s="4"/>
      <c r="E20" s="4"/>
      <c r="F20" s="4"/>
      <c r="G20" s="4"/>
      <c r="H20" s="4"/>
      <c r="I20" s="4"/>
      <c r="J20" s="4"/>
      <c r="K20" s="4"/>
      <c r="L20" s="4"/>
      <c r="M20" s="4"/>
      <c r="N20" s="4"/>
      <c r="O20" s="4"/>
      <c r="P20" s="4"/>
      <c r="Q20" s="1"/>
      <c r="R20" s="1"/>
      <c r="S20" s="1"/>
      <c r="T20" s="1"/>
      <c r="U20" s="1"/>
      <c r="V20" s="1"/>
    </row>
    <row r="21" spans="1:22" ht="15" customHeight="1">
      <c r="A21" s="1"/>
      <c r="B21" s="1"/>
      <c r="C21" s="1"/>
      <c r="D21" s="1"/>
      <c r="E21" s="1"/>
      <c r="F21" s="1"/>
      <c r="G21" s="1"/>
      <c r="H21" s="1"/>
      <c r="J21" s="1"/>
      <c r="K21" s="1"/>
      <c r="L21" s="1"/>
      <c r="M21" s="1"/>
      <c r="N21" s="1"/>
      <c r="O21" s="1"/>
      <c r="P21" s="1"/>
      <c r="Q21" s="1"/>
      <c r="R21" s="1"/>
      <c r="S21" s="1"/>
      <c r="T21" s="1"/>
      <c r="U21" s="1"/>
      <c r="V21" s="1"/>
    </row>
    <row r="22" spans="1:22" ht="15" customHeight="1">
      <c r="A22" s="1"/>
      <c r="B22" s="1"/>
      <c r="J22" s="1"/>
      <c r="K22" s="1"/>
      <c r="L22" s="1"/>
      <c r="M22" s="1"/>
      <c r="N22" s="1"/>
      <c r="O22" s="1"/>
      <c r="P22" s="1"/>
      <c r="Q22" s="1"/>
      <c r="R22" s="1"/>
      <c r="S22" s="1"/>
      <c r="T22" s="1"/>
      <c r="U22" s="1"/>
      <c r="V22" s="1"/>
    </row>
    <row r="23" spans="1:22" ht="15" customHeight="1">
      <c r="A23" s="1"/>
      <c r="B23" s="1"/>
      <c r="J23" s="1"/>
      <c r="K23" s="1"/>
      <c r="L23" s="1"/>
      <c r="M23" s="1"/>
      <c r="N23" s="1"/>
      <c r="O23" s="1"/>
      <c r="P23" s="1"/>
      <c r="Q23" s="1"/>
      <c r="R23" s="1"/>
      <c r="S23" s="1"/>
      <c r="T23" s="1"/>
      <c r="U23" s="1"/>
      <c r="V23" s="1"/>
    </row>
    <row r="24" spans="1:22" ht="15" customHeight="1">
      <c r="A24" s="1"/>
      <c r="B24" s="1"/>
      <c r="J24" s="1"/>
      <c r="K24" s="1"/>
      <c r="L24" s="1"/>
      <c r="M24" s="1"/>
      <c r="N24" s="1"/>
      <c r="O24" s="1"/>
      <c r="P24" s="1"/>
      <c r="Q24" s="1"/>
      <c r="R24" s="1"/>
      <c r="S24" s="1"/>
      <c r="T24" s="1"/>
      <c r="U24" s="1"/>
      <c r="V24" s="1"/>
    </row>
    <row r="25" spans="1:22" ht="15" customHeight="1">
      <c r="A25" s="1"/>
      <c r="B25" s="1"/>
      <c r="J25" s="1"/>
      <c r="K25" s="1"/>
      <c r="L25" s="1"/>
      <c r="M25" s="1"/>
      <c r="N25" s="1"/>
      <c r="O25" s="1"/>
      <c r="P25" s="1"/>
      <c r="Q25" s="1"/>
      <c r="R25" s="1"/>
      <c r="S25" s="1"/>
      <c r="T25" s="1"/>
      <c r="U25" s="1"/>
      <c r="V25" s="1"/>
    </row>
    <row r="26" spans="1:22" ht="15" customHeight="1">
      <c r="A26" s="1"/>
      <c r="B26" s="1"/>
      <c r="C26" s="3"/>
      <c r="D26" s="1"/>
      <c r="E26" s="1"/>
      <c r="F26" s="1"/>
      <c r="G26" s="1"/>
      <c r="H26" s="1"/>
      <c r="I26" s="1"/>
      <c r="J26" s="1"/>
      <c r="K26" s="1"/>
      <c r="L26" s="1"/>
      <c r="M26" s="1"/>
      <c r="N26" s="1"/>
      <c r="O26" s="1"/>
      <c r="P26" s="1"/>
      <c r="Q26" s="1"/>
      <c r="R26" s="1"/>
      <c r="S26" s="1"/>
      <c r="T26" s="1"/>
      <c r="U26" s="1"/>
      <c r="V26" s="1"/>
    </row>
    <row r="27" spans="1:22" ht="15" customHeight="1">
      <c r="A27" s="1"/>
      <c r="B27" s="1"/>
      <c r="I27" s="1"/>
      <c r="J27" s="1"/>
      <c r="K27" s="1"/>
      <c r="L27" s="1"/>
      <c r="M27" s="1"/>
      <c r="N27" s="1"/>
      <c r="O27" s="1"/>
      <c r="P27" s="1"/>
      <c r="Q27" s="1"/>
      <c r="R27" s="1"/>
      <c r="S27" s="1"/>
      <c r="T27" s="1"/>
      <c r="U27" s="1"/>
      <c r="V27" s="1"/>
    </row>
    <row r="28" spans="1:22" ht="15" customHeight="1">
      <c r="A28" s="1"/>
      <c r="B28" s="1"/>
      <c r="I28" s="1"/>
      <c r="J28" s="1"/>
      <c r="K28" s="1"/>
      <c r="L28" s="1"/>
      <c r="M28" s="1"/>
      <c r="N28" s="1"/>
      <c r="O28" s="1"/>
      <c r="P28" s="1"/>
      <c r="Q28" s="1"/>
      <c r="R28" s="1"/>
      <c r="S28" s="1"/>
      <c r="T28" s="1"/>
      <c r="U28" s="1"/>
      <c r="V28" s="1"/>
    </row>
    <row r="29" spans="1:22" ht="15" customHeight="1">
      <c r="A29" s="1"/>
      <c r="B29" s="1"/>
      <c r="I29" s="1"/>
      <c r="J29" s="1"/>
      <c r="K29" s="1"/>
      <c r="L29" s="1"/>
      <c r="M29" s="1"/>
      <c r="N29" s="1"/>
      <c r="O29" s="1"/>
      <c r="P29" s="1"/>
      <c r="Q29" s="1"/>
      <c r="R29" s="1"/>
      <c r="S29" s="1"/>
      <c r="T29" s="1"/>
      <c r="U29" s="1"/>
      <c r="V29" s="1"/>
    </row>
    <row r="30" spans="1:22" ht="15" customHeight="1">
      <c r="A30" s="1"/>
      <c r="B30" s="1"/>
      <c r="I30" s="1"/>
      <c r="J30" s="1"/>
      <c r="K30" s="1"/>
      <c r="L30" s="1"/>
      <c r="M30" s="1"/>
      <c r="N30" s="1"/>
      <c r="O30" s="1"/>
      <c r="P30" s="1"/>
      <c r="Q30" s="1"/>
      <c r="R30" s="1"/>
      <c r="S30" s="1"/>
      <c r="T30" s="1"/>
      <c r="U30" s="1"/>
      <c r="V30" s="1"/>
    </row>
    <row r="31" spans="1:22" ht="15" customHeight="1">
      <c r="A31" s="1"/>
      <c r="B31" s="1"/>
      <c r="I31" s="1"/>
      <c r="J31" s="1"/>
      <c r="K31" s="1"/>
      <c r="L31" s="1"/>
      <c r="M31" s="1"/>
      <c r="N31" s="1"/>
      <c r="O31" s="1"/>
      <c r="P31" s="1"/>
      <c r="Q31" s="1"/>
      <c r="R31" s="1"/>
      <c r="S31" s="1"/>
      <c r="T31" s="1"/>
      <c r="U31" s="1"/>
      <c r="V31" s="1"/>
    </row>
    <row r="32" spans="1:22" ht="15" customHeight="1">
      <c r="A32" s="1"/>
      <c r="B32" s="1"/>
      <c r="I32" s="1"/>
      <c r="J32" s="1"/>
      <c r="K32" s="1"/>
      <c r="L32" s="1"/>
      <c r="M32" s="1"/>
      <c r="N32" s="1"/>
      <c r="O32" s="1"/>
      <c r="P32" s="1"/>
      <c r="Q32" s="1"/>
      <c r="R32" s="1"/>
      <c r="S32" s="1"/>
      <c r="T32" s="1"/>
      <c r="U32" s="1"/>
      <c r="V32" s="1"/>
    </row>
    <row r="33" spans="1:22" ht="15" customHeight="1">
      <c r="A33" s="1"/>
      <c r="B33" s="1"/>
      <c r="I33" s="1"/>
      <c r="J33" s="1"/>
      <c r="K33" s="1"/>
      <c r="L33" s="1"/>
      <c r="M33" s="1"/>
      <c r="N33" s="1"/>
      <c r="O33" s="1"/>
      <c r="P33" s="1"/>
      <c r="Q33" s="1"/>
      <c r="R33" s="1"/>
      <c r="S33" s="1"/>
      <c r="T33" s="1"/>
      <c r="U33" s="1"/>
      <c r="V33" s="1"/>
    </row>
    <row r="34" spans="1:22" ht="15" customHeight="1">
      <c r="A34" s="1"/>
      <c r="B34" s="1"/>
      <c r="I34" s="1"/>
      <c r="J34" s="1"/>
      <c r="K34" s="1"/>
      <c r="L34" s="1"/>
      <c r="M34" s="1"/>
      <c r="N34" s="1"/>
      <c r="O34" s="1"/>
      <c r="P34" s="1"/>
      <c r="Q34" s="1"/>
      <c r="R34" s="1"/>
      <c r="S34" s="1"/>
      <c r="T34" s="1"/>
      <c r="U34" s="1"/>
      <c r="V34" s="1"/>
    </row>
    <row r="35" spans="1:22" ht="15" customHeight="1">
      <c r="A35" s="1"/>
      <c r="B35" s="1"/>
      <c r="C35" s="1"/>
      <c r="D35" s="1"/>
      <c r="E35" s="1"/>
      <c r="F35" s="1"/>
      <c r="G35" s="1"/>
      <c r="H35" s="1"/>
      <c r="I35" s="1"/>
      <c r="J35" s="1"/>
      <c r="K35" s="1"/>
      <c r="L35" s="1"/>
      <c r="M35" s="1"/>
      <c r="N35" s="1"/>
      <c r="O35" s="1"/>
      <c r="P35" s="1"/>
      <c r="Q35" s="1"/>
      <c r="R35" s="1"/>
      <c r="S35" s="1"/>
      <c r="T35" s="1"/>
      <c r="U35" s="1"/>
      <c r="V35" s="1"/>
    </row>
    <row r="36" spans="1:22" ht="15" customHeight="1">
      <c r="A36" s="1"/>
      <c r="B36" s="1"/>
      <c r="C36" s="1"/>
      <c r="D36" s="1"/>
      <c r="E36" s="1"/>
      <c r="F36" s="1"/>
      <c r="G36" s="1"/>
      <c r="H36" s="1"/>
      <c r="I36" s="1"/>
      <c r="J36" s="1"/>
      <c r="K36" s="1"/>
      <c r="L36" s="1"/>
      <c r="M36" s="1"/>
      <c r="N36" s="1"/>
      <c r="O36" s="1"/>
      <c r="P36" s="1"/>
      <c r="Q36" s="1"/>
      <c r="R36" s="1"/>
      <c r="S36" s="1"/>
      <c r="T36" s="1"/>
      <c r="U36" s="1"/>
      <c r="V36" s="1"/>
    </row>
    <row r="37" spans="1:22" ht="15" customHeight="1">
      <c r="A37" s="1"/>
      <c r="B37" s="1"/>
      <c r="C37" s="1"/>
      <c r="D37" s="1"/>
      <c r="E37" s="1"/>
      <c r="F37" s="1"/>
      <c r="G37" s="1"/>
      <c r="H37" s="1"/>
      <c r="I37" s="1"/>
      <c r="J37" s="1"/>
      <c r="K37" s="1"/>
      <c r="L37" s="1"/>
      <c r="M37" s="1"/>
      <c r="N37" s="1"/>
      <c r="O37" s="1"/>
      <c r="P37" s="1"/>
      <c r="Q37" s="1"/>
      <c r="R37" s="1"/>
      <c r="S37" s="1"/>
      <c r="T37" s="1"/>
      <c r="U37" s="1"/>
      <c r="V37" s="1"/>
    </row>
    <row r="38" spans="1:22" ht="15" customHeight="1">
      <c r="A38" s="1"/>
      <c r="B38" s="1"/>
      <c r="C38" s="1"/>
      <c r="D38" s="1"/>
      <c r="E38" s="1"/>
      <c r="F38" s="1"/>
      <c r="G38" s="1"/>
      <c r="H38" s="1"/>
      <c r="I38" s="1"/>
      <c r="J38" s="1"/>
      <c r="K38" s="1"/>
      <c r="L38" s="1"/>
      <c r="M38" s="1"/>
      <c r="N38" s="1"/>
      <c r="O38" s="1"/>
      <c r="P38" s="1"/>
      <c r="Q38" s="1"/>
      <c r="R38" s="1"/>
      <c r="S38" s="1"/>
      <c r="T38" s="1"/>
      <c r="U38" s="1"/>
      <c r="V38" s="1"/>
    </row>
    <row r="39" spans="1:22" ht="15" customHeight="1">
      <c r="A39" s="1"/>
      <c r="B39" s="1"/>
      <c r="C39" s="1"/>
      <c r="D39" s="1"/>
      <c r="E39" s="1"/>
      <c r="F39" s="1"/>
      <c r="G39" s="1"/>
      <c r="H39" s="1"/>
      <c r="I39" s="1"/>
      <c r="J39" s="1"/>
      <c r="K39" s="1"/>
      <c r="L39" s="1"/>
      <c r="M39" s="1"/>
      <c r="N39" s="1"/>
      <c r="O39" s="1"/>
      <c r="P39" s="1"/>
      <c r="Q39" s="1"/>
      <c r="R39" s="1"/>
      <c r="S39" s="1"/>
      <c r="T39" s="1"/>
      <c r="U39" s="1"/>
      <c r="V39" s="1"/>
    </row>
    <row r="40" spans="1:22" ht="15" customHeight="1">
      <c r="A40" s="1"/>
      <c r="B40" s="1"/>
      <c r="C40" s="1"/>
      <c r="D40" s="1"/>
      <c r="E40" s="1"/>
      <c r="F40" s="1"/>
      <c r="G40" s="1"/>
      <c r="H40" s="1"/>
      <c r="I40" s="1"/>
      <c r="J40" s="1"/>
      <c r="K40" s="1"/>
      <c r="L40" s="1"/>
      <c r="M40" s="1"/>
      <c r="N40" s="1"/>
      <c r="O40" s="1"/>
      <c r="P40" s="1"/>
      <c r="Q40" s="1"/>
      <c r="R40" s="1"/>
      <c r="S40" s="1"/>
      <c r="T40" s="1"/>
      <c r="U40" s="1"/>
      <c r="V40" s="1"/>
    </row>
    <row r="41" spans="1:22" ht="15" customHeight="1">
      <c r="A41" s="1"/>
      <c r="B41" s="1"/>
      <c r="C41" s="1"/>
      <c r="D41" s="1"/>
      <c r="E41" s="1"/>
      <c r="F41" s="1"/>
      <c r="G41" s="1"/>
      <c r="H41" s="1"/>
      <c r="I41" s="1"/>
      <c r="J41" s="1"/>
      <c r="K41" s="1"/>
      <c r="L41" s="1"/>
      <c r="M41" s="1"/>
      <c r="N41" s="1"/>
      <c r="O41" s="1"/>
      <c r="P41" s="1"/>
      <c r="Q41" s="1"/>
      <c r="R41" s="1"/>
      <c r="S41" s="1"/>
      <c r="T41" s="1"/>
      <c r="U41" s="1"/>
      <c r="V41" s="1"/>
    </row>
    <row r="42" spans="1:22" ht="15" customHeight="1">
      <c r="A42" s="1"/>
      <c r="B42" s="1"/>
      <c r="C42" s="1"/>
      <c r="D42" s="1"/>
      <c r="E42" s="1"/>
      <c r="F42" s="1"/>
      <c r="G42" s="1"/>
      <c r="H42" s="1"/>
      <c r="I42" s="1"/>
      <c r="J42" s="1"/>
      <c r="K42" s="1"/>
      <c r="L42" s="1"/>
      <c r="M42" s="1"/>
      <c r="N42" s="1"/>
      <c r="O42" s="1"/>
      <c r="P42" s="1"/>
      <c r="Q42" s="1"/>
      <c r="R42" s="1"/>
      <c r="S42" s="1"/>
      <c r="T42" s="1"/>
      <c r="U42" s="1"/>
      <c r="V42" s="1"/>
    </row>
    <row r="43" spans="1:22" ht="15" customHeight="1">
      <c r="A43" s="1"/>
      <c r="B43" s="1"/>
      <c r="C43" s="1"/>
      <c r="D43" s="1"/>
      <c r="E43" s="1"/>
      <c r="F43" s="1"/>
      <c r="G43" s="1"/>
      <c r="H43" s="1"/>
      <c r="I43" s="1"/>
      <c r="J43" s="1"/>
      <c r="K43" s="1"/>
      <c r="L43" s="1"/>
      <c r="M43" s="1"/>
      <c r="N43" s="1"/>
      <c r="O43" s="1"/>
      <c r="P43" s="1"/>
      <c r="Q43" s="1"/>
      <c r="R43" s="1"/>
      <c r="S43" s="1"/>
      <c r="T43" s="1"/>
      <c r="U43" s="1"/>
      <c r="V43" s="1"/>
    </row>
    <row r="44" spans="1:22" ht="15" customHeight="1">
      <c r="A44" s="1"/>
      <c r="B44" s="1"/>
      <c r="C44" s="1"/>
      <c r="D44" s="1"/>
      <c r="E44" s="1"/>
      <c r="F44" s="1"/>
      <c r="G44" s="1"/>
      <c r="H44" s="1"/>
      <c r="I44" s="1"/>
      <c r="J44" s="1"/>
      <c r="K44" s="1"/>
      <c r="L44" s="1"/>
      <c r="M44" s="1"/>
      <c r="N44" s="1"/>
      <c r="O44" s="1"/>
      <c r="P44" s="1"/>
      <c r="Q44" s="1"/>
      <c r="R44" s="1"/>
      <c r="S44" s="1"/>
      <c r="T44" s="1"/>
      <c r="U44" s="1"/>
      <c r="V44" s="1"/>
    </row>
    <row r="45" spans="1:22" ht="15" customHeight="1">
      <c r="A45" s="1"/>
      <c r="B45" s="1"/>
      <c r="C45" s="1"/>
      <c r="D45" s="1"/>
      <c r="E45" s="1"/>
      <c r="F45" s="1"/>
      <c r="G45" s="1"/>
      <c r="H45" s="1"/>
      <c r="I45" s="1"/>
      <c r="J45" s="1"/>
      <c r="K45" s="1"/>
      <c r="L45" s="1"/>
      <c r="M45" s="1"/>
      <c r="N45" s="1"/>
      <c r="O45" s="1"/>
      <c r="P45" s="1"/>
      <c r="Q45" s="1"/>
      <c r="R45" s="1"/>
      <c r="S45" s="1"/>
      <c r="T45" s="1"/>
      <c r="U45" s="1"/>
      <c r="V45" s="1"/>
    </row>
    <row r="46" spans="1:22" ht="15" customHeight="1">
      <c r="A46" s="1"/>
      <c r="B46" s="1"/>
      <c r="C46" s="1"/>
      <c r="D46" s="1"/>
      <c r="E46" s="1"/>
      <c r="F46" s="1"/>
      <c r="G46" s="1"/>
      <c r="H46" s="1"/>
      <c r="I46" s="1"/>
      <c r="J46" s="1"/>
      <c r="K46" s="1"/>
      <c r="L46" s="1"/>
      <c r="M46" s="1"/>
      <c r="N46" s="1"/>
      <c r="O46" s="1"/>
      <c r="P46" s="1"/>
      <c r="Q46" s="1"/>
      <c r="R46" s="1"/>
      <c r="S46" s="1"/>
      <c r="T46" s="1"/>
      <c r="U46" s="1"/>
      <c r="V46" s="1"/>
    </row>
    <row r="47" spans="1:22" ht="15" customHeight="1">
      <c r="A47" s="1"/>
      <c r="B47" s="1"/>
      <c r="C47" s="1"/>
      <c r="D47" s="1"/>
      <c r="E47" s="1"/>
      <c r="F47" s="1"/>
      <c r="G47" s="1"/>
      <c r="H47" s="1"/>
      <c r="I47" s="1"/>
      <c r="J47" s="1"/>
      <c r="K47" s="1"/>
      <c r="L47" s="1"/>
      <c r="M47" s="1"/>
      <c r="N47" s="1"/>
      <c r="O47" s="1"/>
      <c r="P47" s="1"/>
      <c r="Q47" s="1"/>
      <c r="R47" s="1"/>
      <c r="S47" s="1"/>
      <c r="T47" s="1"/>
      <c r="U47" s="1"/>
      <c r="V47" s="1"/>
    </row>
    <row r="48" spans="1:22" ht="15" customHeight="1">
      <c r="A48" s="1"/>
      <c r="B48" s="1"/>
      <c r="C48" s="1"/>
      <c r="D48" s="1"/>
      <c r="E48" s="1"/>
      <c r="F48" s="1"/>
      <c r="G48" s="1"/>
      <c r="H48" s="1"/>
      <c r="I48" s="1"/>
      <c r="J48" s="1"/>
      <c r="K48" s="1"/>
      <c r="L48" s="1"/>
      <c r="M48" s="1"/>
      <c r="N48" s="1"/>
      <c r="O48" s="1"/>
      <c r="P48" s="1"/>
      <c r="Q48" s="1"/>
      <c r="R48" s="1"/>
      <c r="S48" s="1"/>
      <c r="T48" s="1"/>
      <c r="U48" s="1"/>
      <c r="V48" s="1"/>
    </row>
    <row r="49" spans="1:22" ht="15" customHeight="1">
      <c r="A49" s="1"/>
      <c r="B49" s="1"/>
      <c r="C49" s="1"/>
      <c r="D49" s="1"/>
      <c r="E49" s="1"/>
      <c r="F49" s="1"/>
      <c r="G49" s="1"/>
      <c r="H49" s="1"/>
      <c r="I49" s="1"/>
      <c r="J49" s="1"/>
      <c r="K49" s="1"/>
      <c r="L49" s="1"/>
      <c r="M49" s="1"/>
      <c r="N49" s="1"/>
      <c r="O49" s="1"/>
      <c r="P49" s="1"/>
      <c r="Q49" s="1"/>
      <c r="R49" s="1"/>
      <c r="S49" s="1"/>
      <c r="T49" s="1"/>
      <c r="U49" s="1"/>
      <c r="V49" s="1"/>
    </row>
    <row r="50" spans="1:22" ht="15" customHeight="1">
      <c r="A50" s="1"/>
      <c r="B50" s="1"/>
      <c r="C50" s="1"/>
      <c r="D50" s="1"/>
      <c r="E50" s="1"/>
      <c r="F50" s="1"/>
      <c r="G50" s="1"/>
      <c r="H50" s="1"/>
      <c r="I50" s="1"/>
      <c r="J50" s="1"/>
      <c r="K50" s="1"/>
      <c r="L50" s="1"/>
      <c r="M50" s="1"/>
      <c r="N50" s="1"/>
      <c r="O50" s="1"/>
      <c r="P50" s="1"/>
      <c r="Q50" s="1"/>
      <c r="R50" s="1"/>
      <c r="S50" s="1"/>
      <c r="T50" s="1"/>
      <c r="U50" s="1"/>
      <c r="V50" s="1"/>
    </row>
    <row r="51" spans="1:22" ht="15" customHeight="1">
      <c r="A51" s="1"/>
      <c r="B51" s="1"/>
      <c r="C51" s="1"/>
      <c r="D51" s="1"/>
      <c r="E51" s="1"/>
      <c r="F51" s="1"/>
      <c r="G51" s="1"/>
      <c r="H51" s="1"/>
      <c r="I51" s="1"/>
      <c r="J51" s="1"/>
      <c r="K51" s="1"/>
      <c r="L51" s="1"/>
      <c r="M51" s="1"/>
      <c r="N51" s="1"/>
      <c r="O51" s="1"/>
      <c r="P51" s="1"/>
      <c r="Q51" s="1"/>
      <c r="R51" s="1"/>
      <c r="S51" s="1"/>
      <c r="T51" s="1"/>
      <c r="U51" s="1"/>
      <c r="V51" s="1"/>
    </row>
    <row r="52" spans="1:22" ht="15" customHeight="1">
      <c r="A52" s="1"/>
      <c r="B52" s="1"/>
      <c r="C52" s="1"/>
      <c r="D52" s="1"/>
      <c r="E52" s="1"/>
      <c r="F52" s="1"/>
      <c r="G52" s="1"/>
      <c r="H52" s="1"/>
      <c r="I52" s="1"/>
      <c r="J52" s="1"/>
      <c r="K52" s="1"/>
      <c r="L52" s="1"/>
      <c r="M52" s="1"/>
      <c r="N52" s="1"/>
      <c r="O52" s="1"/>
      <c r="P52" s="1"/>
      <c r="Q52" s="1"/>
      <c r="R52" s="1"/>
      <c r="S52" s="1"/>
      <c r="T52" s="1"/>
      <c r="U52" s="1"/>
      <c r="V52" s="1"/>
    </row>
    <row r="53" spans="1:22">
      <c r="A53" s="1"/>
      <c r="B53" s="1"/>
      <c r="C53" s="1"/>
      <c r="D53" s="1"/>
      <c r="E53" s="1"/>
      <c r="F53" s="1"/>
      <c r="G53" s="1"/>
      <c r="H53" s="1"/>
      <c r="I53" s="1"/>
      <c r="J53" s="1"/>
      <c r="K53" s="1"/>
      <c r="L53" s="1"/>
      <c r="M53" s="1"/>
      <c r="N53" s="1"/>
      <c r="O53" s="1"/>
      <c r="P53" s="1"/>
      <c r="Q53" s="1"/>
      <c r="R53" s="1"/>
      <c r="S53" s="1"/>
      <c r="T53" s="1"/>
      <c r="U53" s="1"/>
      <c r="V53" s="1"/>
    </row>
    <row r="54" spans="1:22">
      <c r="A54" s="1"/>
      <c r="B54" s="1"/>
      <c r="C54" s="1"/>
      <c r="D54" s="1"/>
      <c r="E54" s="1"/>
      <c r="F54" s="1"/>
      <c r="G54" s="1"/>
      <c r="H54" s="1"/>
      <c r="I54" s="1"/>
      <c r="J54" s="1"/>
      <c r="K54" s="1"/>
      <c r="L54" s="1"/>
      <c r="M54" s="1"/>
      <c r="N54" s="1"/>
      <c r="O54" s="1"/>
      <c r="P54" s="1"/>
      <c r="Q54" s="1"/>
      <c r="R54" s="1"/>
      <c r="S54" s="1"/>
      <c r="T54" s="1"/>
      <c r="U54" s="1"/>
      <c r="V54" s="1"/>
    </row>
    <row r="55" spans="1:22">
      <c r="A55" s="1"/>
      <c r="B55" s="1"/>
      <c r="C55" s="1"/>
      <c r="D55" s="1"/>
      <c r="E55" s="1"/>
      <c r="F55" s="1"/>
      <c r="G55" s="1"/>
      <c r="H55" s="1"/>
      <c r="I55" s="1"/>
      <c r="J55" s="1"/>
      <c r="K55" s="1"/>
      <c r="L55" s="1"/>
      <c r="M55" s="1"/>
      <c r="N55" s="1"/>
      <c r="O55" s="1"/>
      <c r="P55" s="1"/>
      <c r="Q55" s="1"/>
      <c r="R55" s="1"/>
      <c r="S55" s="1"/>
      <c r="T55" s="1"/>
      <c r="U55" s="1"/>
      <c r="V55" s="1"/>
    </row>
    <row r="56" spans="1:22">
      <c r="A56" s="1"/>
      <c r="B56" s="1"/>
      <c r="C56" s="1"/>
      <c r="D56" s="1"/>
      <c r="E56" s="1"/>
      <c r="F56" s="1"/>
      <c r="G56" s="1"/>
      <c r="H56" s="1"/>
      <c r="I56" s="1"/>
      <c r="J56" s="1"/>
      <c r="K56" s="1"/>
      <c r="L56" s="1"/>
      <c r="M56" s="1"/>
      <c r="N56" s="1"/>
      <c r="O56" s="1"/>
      <c r="P56" s="1"/>
      <c r="Q56" s="1"/>
      <c r="R56" s="1"/>
      <c r="S56" s="1"/>
      <c r="T56" s="1"/>
      <c r="U56" s="1"/>
      <c r="V56" s="1"/>
    </row>
    <row r="57" spans="1:22">
      <c r="A57" s="1"/>
      <c r="B57" s="1"/>
      <c r="C57" s="1"/>
      <c r="D57" s="1"/>
      <c r="E57" s="1"/>
      <c r="F57" s="1"/>
      <c r="G57" s="1"/>
      <c r="H57" s="1"/>
      <c r="I57" s="1"/>
      <c r="J57" s="1"/>
      <c r="K57" s="1"/>
      <c r="L57" s="1"/>
      <c r="M57" s="1"/>
      <c r="N57" s="1"/>
      <c r="O57" s="1"/>
      <c r="P57" s="1"/>
      <c r="Q57" s="1"/>
      <c r="R57" s="1"/>
      <c r="S57" s="1"/>
      <c r="T57" s="1"/>
      <c r="U57" s="1"/>
      <c r="V57" s="1"/>
    </row>
    <row r="58" spans="1:22">
      <c r="A58" s="1"/>
      <c r="B58" s="1"/>
      <c r="C58" s="1"/>
      <c r="D58" s="1"/>
      <c r="E58" s="1"/>
      <c r="F58" s="1"/>
      <c r="G58" s="1"/>
      <c r="H58" s="1"/>
      <c r="I58" s="1"/>
      <c r="J58" s="1"/>
      <c r="K58" s="1"/>
      <c r="L58" s="1"/>
      <c r="M58" s="1"/>
      <c r="N58" s="1"/>
      <c r="O58" s="1"/>
      <c r="P58" s="1"/>
      <c r="Q58" s="1"/>
      <c r="R58" s="1"/>
      <c r="S58" s="1"/>
      <c r="T58" s="1"/>
      <c r="U58" s="1"/>
      <c r="V58" s="1"/>
    </row>
    <row r="59" spans="1:22">
      <c r="A59" s="1"/>
      <c r="B59" s="1"/>
      <c r="C59" s="1"/>
      <c r="D59" s="1"/>
      <c r="E59" s="1"/>
      <c r="F59" s="1"/>
      <c r="G59" s="1"/>
      <c r="H59" s="1"/>
      <c r="I59" s="1"/>
      <c r="J59" s="1"/>
      <c r="K59" s="1"/>
      <c r="L59" s="1"/>
      <c r="M59" s="1"/>
      <c r="N59" s="1"/>
      <c r="O59" s="1"/>
      <c r="P59" s="1"/>
      <c r="Q59" s="1"/>
      <c r="R59" s="1"/>
      <c r="S59" s="1"/>
      <c r="T59" s="1"/>
      <c r="U59" s="1"/>
      <c r="V59" s="1"/>
    </row>
    <row r="60" spans="1:22">
      <c r="A60" s="1"/>
      <c r="B60" s="1"/>
      <c r="C60" s="1"/>
      <c r="D60" s="1"/>
      <c r="E60" s="1"/>
      <c r="F60" s="1"/>
      <c r="G60" s="1"/>
      <c r="H60" s="1"/>
      <c r="I60" s="1"/>
      <c r="J60" s="1"/>
      <c r="K60" s="1"/>
      <c r="L60" s="1"/>
      <c r="M60" s="1"/>
      <c r="N60" s="1"/>
      <c r="O60" s="1"/>
      <c r="P60" s="1"/>
      <c r="Q60" s="1"/>
      <c r="R60" s="1"/>
      <c r="S60" s="1"/>
      <c r="T60" s="1"/>
      <c r="U60" s="1"/>
      <c r="V60" s="1"/>
    </row>
    <row r="61" spans="1:22">
      <c r="A61" s="1"/>
      <c r="B61" s="1"/>
      <c r="C61" s="1"/>
      <c r="D61" s="1"/>
      <c r="E61" s="1"/>
      <c r="F61" s="1"/>
      <c r="G61" s="1"/>
      <c r="H61" s="1"/>
      <c r="I61" s="1"/>
      <c r="J61" s="1"/>
      <c r="K61" s="1"/>
      <c r="L61" s="1"/>
      <c r="M61" s="1"/>
      <c r="N61" s="1"/>
      <c r="O61" s="1"/>
      <c r="P61" s="1"/>
      <c r="Q61" s="1"/>
      <c r="R61" s="1"/>
      <c r="S61" s="1"/>
      <c r="T61" s="1"/>
      <c r="U61" s="1"/>
      <c r="V61" s="1"/>
    </row>
    <row r="62" spans="1:22">
      <c r="A62" s="1"/>
      <c r="B62" s="1"/>
      <c r="C62" s="1"/>
      <c r="D62" s="1"/>
      <c r="E62" s="1"/>
      <c r="F62" s="1"/>
      <c r="G62" s="1"/>
      <c r="H62" s="1"/>
      <c r="I62" s="1"/>
      <c r="J62" s="1"/>
      <c r="K62" s="1"/>
      <c r="L62" s="1"/>
      <c r="M62" s="1"/>
      <c r="N62" s="1"/>
      <c r="O62" s="1"/>
      <c r="P62" s="1"/>
      <c r="Q62" s="1"/>
      <c r="R62" s="1"/>
      <c r="S62" s="1"/>
      <c r="T62" s="1"/>
      <c r="U62" s="1"/>
      <c r="V62" s="1"/>
    </row>
    <row r="63" spans="1:22">
      <c r="A63" s="1"/>
      <c r="B63" s="1"/>
      <c r="C63" s="1"/>
      <c r="D63" s="1"/>
      <c r="E63" s="1"/>
      <c r="F63" s="1"/>
      <c r="G63" s="1"/>
      <c r="H63" s="1"/>
      <c r="I63" s="1"/>
      <c r="J63" s="1"/>
      <c r="K63" s="1"/>
      <c r="L63" s="1"/>
      <c r="M63" s="1"/>
      <c r="N63" s="1"/>
      <c r="O63" s="1"/>
      <c r="P63" s="1"/>
      <c r="Q63" s="1"/>
      <c r="R63" s="1"/>
      <c r="S63" s="1"/>
      <c r="T63" s="1"/>
      <c r="U63" s="1"/>
      <c r="V63" s="1"/>
    </row>
    <row r="64" spans="1:22">
      <c r="A64" s="1"/>
      <c r="B64" s="1"/>
      <c r="C64" s="1"/>
      <c r="D64" s="1"/>
      <c r="E64" s="1"/>
      <c r="F64" s="1"/>
      <c r="G64" s="1"/>
      <c r="H64" s="1"/>
      <c r="I64" s="1"/>
      <c r="J64" s="1"/>
      <c r="K64" s="1"/>
      <c r="L64" s="1"/>
      <c r="M64" s="1"/>
      <c r="N64" s="1"/>
      <c r="O64" s="1"/>
      <c r="P64" s="1"/>
      <c r="Q64" s="1"/>
      <c r="R64" s="1"/>
      <c r="S64" s="1"/>
      <c r="T64" s="1"/>
      <c r="U64" s="1"/>
      <c r="V64" s="1"/>
    </row>
    <row r="65" spans="1:22">
      <c r="A65" s="1"/>
      <c r="B65" s="1"/>
      <c r="C65" s="1"/>
      <c r="D65" s="1"/>
      <c r="E65" s="1"/>
      <c r="F65" s="1"/>
      <c r="G65" s="1"/>
      <c r="H65" s="1"/>
      <c r="I65" s="1"/>
      <c r="J65" s="1"/>
      <c r="K65" s="1"/>
      <c r="L65" s="1"/>
      <c r="M65" s="1"/>
      <c r="N65" s="1"/>
      <c r="O65" s="1"/>
      <c r="P65" s="1"/>
      <c r="Q65" s="1"/>
      <c r="R65" s="1"/>
      <c r="S65" s="1"/>
      <c r="T65" s="1"/>
      <c r="U65" s="1"/>
      <c r="V65" s="1"/>
    </row>
    <row r="66" spans="1:22">
      <c r="A66" s="1"/>
      <c r="B66" s="1"/>
      <c r="C66" s="1"/>
      <c r="D66" s="1"/>
      <c r="E66" s="1"/>
      <c r="F66" s="1"/>
      <c r="G66" s="1"/>
      <c r="H66" s="1"/>
      <c r="I66" s="1"/>
      <c r="J66" s="1"/>
      <c r="K66" s="1"/>
      <c r="L66" s="1"/>
      <c r="M66" s="1"/>
      <c r="N66" s="1"/>
      <c r="O66" s="1"/>
      <c r="P66" s="1"/>
      <c r="Q66" s="1"/>
      <c r="R66" s="1"/>
      <c r="S66" s="1"/>
      <c r="T66" s="1"/>
      <c r="U66" s="1"/>
      <c r="V66" s="1"/>
    </row>
    <row r="67" spans="1:22">
      <c r="A67" s="1"/>
      <c r="B67" s="1"/>
      <c r="C67" s="1"/>
      <c r="D67" s="1"/>
      <c r="E67" s="1"/>
      <c r="F67" s="1"/>
      <c r="G67" s="1"/>
      <c r="H67" s="1"/>
      <c r="I67" s="1"/>
      <c r="J67" s="1"/>
      <c r="K67" s="1"/>
      <c r="L67" s="1"/>
      <c r="M67" s="1"/>
      <c r="N67" s="1"/>
      <c r="O67" s="1"/>
      <c r="P67" s="1"/>
      <c r="Q67" s="1"/>
      <c r="R67" s="1"/>
      <c r="S67" s="1"/>
      <c r="T67" s="1"/>
      <c r="U67" s="1"/>
      <c r="V67" s="1"/>
    </row>
    <row r="68" spans="1:22">
      <c r="A68" s="1"/>
      <c r="B68" s="1"/>
      <c r="C68" s="1"/>
      <c r="D68" s="1"/>
      <c r="E68" s="1"/>
      <c r="F68" s="1"/>
      <c r="G68" s="1"/>
      <c r="H68" s="1"/>
      <c r="I68" s="1"/>
      <c r="J68" s="1"/>
      <c r="K68" s="1"/>
      <c r="L68" s="1"/>
      <c r="M68" s="1"/>
      <c r="N68" s="1"/>
      <c r="O68" s="1"/>
      <c r="P68" s="1"/>
      <c r="Q68" s="1"/>
      <c r="R68" s="1"/>
      <c r="S68" s="1"/>
      <c r="T68" s="1"/>
      <c r="U68" s="1"/>
      <c r="V68" s="1"/>
    </row>
    <row r="69" spans="1:22">
      <c r="A69" s="1"/>
      <c r="B69" s="1"/>
      <c r="C69" s="1"/>
      <c r="D69" s="1"/>
      <c r="E69" s="1"/>
      <c r="F69" s="1"/>
      <c r="G69" s="1"/>
      <c r="H69" s="1"/>
      <c r="I69" s="1"/>
      <c r="J69" s="1"/>
      <c r="K69" s="1"/>
      <c r="L69" s="1"/>
      <c r="M69" s="1"/>
      <c r="N69" s="1"/>
      <c r="O69" s="1"/>
      <c r="P69" s="1"/>
      <c r="Q69" s="1"/>
      <c r="R69" s="1"/>
      <c r="S69" s="1"/>
      <c r="T69" s="1"/>
      <c r="U69" s="1"/>
      <c r="V69" s="1"/>
    </row>
    <row r="70" spans="1:22">
      <c r="A70" s="1"/>
      <c r="B70" s="1"/>
      <c r="C70" s="1"/>
      <c r="D70" s="1"/>
      <c r="E70" s="1"/>
      <c r="F70" s="1"/>
      <c r="G70" s="1"/>
      <c r="H70" s="1"/>
      <c r="I70" s="1"/>
      <c r="J70" s="1"/>
      <c r="K70" s="1"/>
      <c r="L70" s="1"/>
      <c r="M70" s="1"/>
      <c r="N70" s="1"/>
      <c r="O70" s="1"/>
      <c r="P70" s="1"/>
      <c r="Q70" s="1"/>
      <c r="R70" s="1"/>
      <c r="S70" s="1"/>
      <c r="T70" s="1"/>
      <c r="U70" s="1"/>
      <c r="V70" s="1"/>
    </row>
    <row r="71" spans="1:22">
      <c r="A71" s="1"/>
      <c r="B71" s="1"/>
      <c r="C71" s="1"/>
      <c r="D71" s="1"/>
      <c r="E71" s="1"/>
      <c r="F71" s="1"/>
      <c r="G71" s="1"/>
      <c r="H71" s="1"/>
      <c r="I71" s="1"/>
      <c r="J71" s="1"/>
      <c r="K71" s="1"/>
      <c r="L71" s="1"/>
      <c r="M71" s="1"/>
      <c r="N71" s="1"/>
      <c r="O71" s="1"/>
      <c r="P71" s="1"/>
      <c r="Q71" s="1"/>
      <c r="R71" s="1"/>
      <c r="S71" s="1"/>
      <c r="T71" s="1"/>
      <c r="U71" s="1"/>
      <c r="V71" s="1"/>
    </row>
    <row r="72" spans="1:22">
      <c r="A72" s="1"/>
      <c r="B72" s="1"/>
      <c r="C72" s="1"/>
      <c r="D72" s="1"/>
      <c r="E72" s="1"/>
      <c r="F72" s="1"/>
      <c r="G72" s="1"/>
      <c r="H72" s="1"/>
      <c r="I72" s="1"/>
      <c r="J72" s="1"/>
      <c r="K72" s="1"/>
      <c r="L72" s="1"/>
      <c r="M72" s="1"/>
      <c r="N72" s="1"/>
      <c r="O72" s="1"/>
      <c r="P72" s="1"/>
      <c r="Q72" s="1"/>
      <c r="R72" s="1"/>
      <c r="S72" s="1"/>
      <c r="T72" s="1"/>
      <c r="U72" s="1"/>
      <c r="V72" s="1"/>
    </row>
    <row r="73" spans="1:22">
      <c r="A73" s="1"/>
      <c r="B73" s="1"/>
      <c r="C73" s="1"/>
      <c r="D73" s="1"/>
      <c r="E73" s="1"/>
      <c r="F73" s="1"/>
      <c r="G73" s="1"/>
      <c r="H73" s="1"/>
      <c r="I73" s="1"/>
      <c r="J73" s="1"/>
      <c r="K73" s="1"/>
      <c r="L73" s="1"/>
      <c r="M73" s="1"/>
      <c r="N73" s="1"/>
      <c r="O73" s="1"/>
      <c r="P73" s="1"/>
      <c r="Q73" s="1"/>
      <c r="R73" s="1"/>
      <c r="S73" s="1"/>
      <c r="T73" s="1"/>
      <c r="U73" s="1"/>
      <c r="V73" s="1"/>
    </row>
    <row r="74" spans="1:22">
      <c r="A74" s="1"/>
      <c r="B74" s="1"/>
      <c r="C74" s="1"/>
      <c r="D74" s="1"/>
      <c r="E74" s="1"/>
      <c r="F74" s="1"/>
      <c r="G74" s="1"/>
      <c r="H74" s="1"/>
      <c r="I74" s="1"/>
      <c r="J74" s="1"/>
      <c r="K74" s="1"/>
      <c r="L74" s="1"/>
      <c r="M74" s="1"/>
      <c r="N74" s="1"/>
      <c r="O74" s="1"/>
      <c r="P74" s="1"/>
      <c r="Q74" s="1"/>
      <c r="R74" s="1"/>
      <c r="S74" s="1"/>
      <c r="T74" s="1"/>
      <c r="U74" s="1"/>
      <c r="V74" s="1"/>
    </row>
    <row r="75" spans="1:22">
      <c r="A75" s="1"/>
      <c r="B75" s="1"/>
      <c r="C75" s="1"/>
      <c r="D75" s="1"/>
      <c r="E75" s="1"/>
      <c r="F75" s="1"/>
      <c r="G75" s="1"/>
      <c r="H75" s="1"/>
      <c r="I75" s="1"/>
      <c r="J75" s="1"/>
      <c r="K75" s="1"/>
      <c r="L75" s="1"/>
      <c r="M75" s="1"/>
      <c r="N75" s="1"/>
      <c r="O75" s="1"/>
      <c r="P75" s="1"/>
      <c r="Q75" s="1"/>
      <c r="R75" s="1"/>
      <c r="S75" s="1"/>
      <c r="T75" s="1"/>
      <c r="U75" s="1"/>
      <c r="V75" s="1"/>
    </row>
    <row r="76" spans="1:22">
      <c r="A76" s="1"/>
      <c r="B76" s="1"/>
      <c r="C76" s="1"/>
      <c r="D76" s="1"/>
      <c r="E76" s="1"/>
      <c r="F76" s="1"/>
      <c r="G76" s="1"/>
      <c r="H76" s="1"/>
      <c r="I76" s="1"/>
      <c r="J76" s="1"/>
      <c r="K76" s="1"/>
      <c r="L76" s="1"/>
      <c r="M76" s="1"/>
      <c r="N76" s="1"/>
      <c r="O76" s="1"/>
      <c r="P76" s="1"/>
      <c r="Q76" s="1"/>
      <c r="R76" s="1"/>
      <c r="S76" s="1"/>
      <c r="T76" s="1"/>
      <c r="U76" s="1"/>
      <c r="V76" s="1"/>
    </row>
    <row r="77" spans="1:22">
      <c r="A77" s="1"/>
      <c r="B77" s="1"/>
      <c r="C77" s="1"/>
      <c r="D77" s="1"/>
      <c r="E77" s="1"/>
      <c r="F77" s="1"/>
      <c r="G77" s="1"/>
      <c r="H77" s="1"/>
      <c r="I77" s="1"/>
      <c r="J77" s="1"/>
      <c r="K77" s="1"/>
      <c r="L77" s="1"/>
      <c r="M77" s="1"/>
      <c r="N77" s="1"/>
      <c r="O77" s="1"/>
      <c r="P77" s="1"/>
      <c r="Q77" s="1"/>
      <c r="R77" s="1"/>
      <c r="S77" s="1"/>
      <c r="T77" s="1"/>
      <c r="U77" s="1"/>
      <c r="V77" s="1"/>
    </row>
    <row r="78" spans="1:22">
      <c r="A78" s="1"/>
      <c r="B78" s="1"/>
      <c r="C78" s="1"/>
      <c r="D78" s="1"/>
      <c r="E78" s="1"/>
      <c r="F78" s="1"/>
      <c r="G78" s="1"/>
      <c r="H78" s="1"/>
      <c r="I78" s="1"/>
      <c r="J78" s="1"/>
      <c r="K78" s="1"/>
      <c r="L78" s="1"/>
      <c r="M78" s="1"/>
      <c r="N78" s="1"/>
      <c r="O78" s="1"/>
      <c r="P78" s="1"/>
      <c r="Q78" s="1"/>
      <c r="R78" s="1"/>
      <c r="S78" s="1"/>
      <c r="T78" s="1"/>
      <c r="U78" s="1"/>
      <c r="V78" s="1"/>
    </row>
    <row r="79" spans="1:22">
      <c r="A79" s="1"/>
      <c r="B79" s="1"/>
      <c r="C79" s="1"/>
      <c r="D79" s="1"/>
      <c r="E79" s="1"/>
      <c r="F79" s="1"/>
      <c r="G79" s="1"/>
      <c r="H79" s="1"/>
      <c r="I79" s="1"/>
      <c r="J79" s="1"/>
      <c r="K79" s="1"/>
      <c r="L79" s="1"/>
      <c r="M79" s="1"/>
      <c r="N79" s="1"/>
      <c r="O79" s="1"/>
      <c r="P79" s="1"/>
      <c r="Q79" s="1"/>
      <c r="R79" s="1"/>
      <c r="S79" s="1"/>
      <c r="T79" s="1"/>
      <c r="U79" s="1"/>
      <c r="V79" s="1"/>
    </row>
    <row r="80" spans="1:22">
      <c r="A80" s="1"/>
      <c r="B80" s="1"/>
      <c r="C80" s="1"/>
      <c r="D80" s="1"/>
      <c r="E80" s="1"/>
      <c r="F80" s="1"/>
      <c r="G80" s="1"/>
      <c r="H80" s="1"/>
      <c r="I80" s="1"/>
      <c r="J80" s="1"/>
      <c r="K80" s="1"/>
      <c r="L80" s="1"/>
      <c r="M80" s="1"/>
      <c r="N80" s="1"/>
      <c r="O80" s="1"/>
      <c r="P80" s="1"/>
      <c r="Q80" s="1"/>
      <c r="R80" s="1"/>
      <c r="S80" s="1"/>
      <c r="T80" s="1"/>
      <c r="U80" s="1"/>
      <c r="V80" s="1"/>
    </row>
    <row r="81" spans="1:22">
      <c r="A81" s="1"/>
      <c r="B81" s="1"/>
      <c r="C81" s="1"/>
      <c r="D81" s="1"/>
      <c r="E81" s="1"/>
      <c r="F81" s="1"/>
      <c r="G81" s="1"/>
      <c r="H81" s="1"/>
      <c r="I81" s="1"/>
      <c r="J81" s="1"/>
      <c r="K81" s="1"/>
      <c r="L81" s="1"/>
      <c r="M81" s="1"/>
      <c r="N81" s="1"/>
      <c r="O81" s="1"/>
      <c r="P81" s="1"/>
      <c r="Q81" s="1"/>
      <c r="R81" s="1"/>
      <c r="S81" s="1"/>
      <c r="T81" s="1"/>
      <c r="U81" s="1"/>
      <c r="V81" s="1"/>
    </row>
    <row r="82" spans="1:22">
      <c r="A82" s="1"/>
      <c r="B82" s="1"/>
      <c r="C82" s="1"/>
      <c r="D82" s="1"/>
      <c r="E82" s="1"/>
      <c r="F82" s="1"/>
      <c r="G82" s="1"/>
      <c r="H82" s="1"/>
      <c r="I82" s="1"/>
      <c r="J82" s="1"/>
      <c r="K82" s="1"/>
      <c r="L82" s="1"/>
      <c r="M82" s="1"/>
      <c r="N82" s="1"/>
      <c r="O82" s="1"/>
      <c r="P82" s="1"/>
      <c r="Q82" s="1"/>
      <c r="R82" s="1"/>
      <c r="S82" s="1"/>
      <c r="T82" s="1"/>
      <c r="U82" s="1"/>
      <c r="V82" s="1"/>
    </row>
    <row r="83" spans="1:22">
      <c r="A83" s="1"/>
      <c r="B83" s="1"/>
      <c r="C83" s="1"/>
      <c r="D83" s="1"/>
      <c r="E83" s="1"/>
      <c r="F83" s="1"/>
      <c r="G83" s="1"/>
      <c r="H83" s="1"/>
      <c r="I83" s="1"/>
      <c r="J83" s="1"/>
      <c r="K83" s="1"/>
      <c r="L83" s="1"/>
      <c r="M83" s="1"/>
      <c r="N83" s="1"/>
      <c r="O83" s="1"/>
      <c r="P83" s="1"/>
      <c r="Q83" s="1"/>
      <c r="R83" s="1"/>
      <c r="S83" s="1"/>
      <c r="T83" s="1"/>
      <c r="U83" s="1"/>
      <c r="V83" s="1"/>
    </row>
    <row r="84" spans="1:22">
      <c r="A84" s="1"/>
      <c r="B84" s="1"/>
      <c r="C84" s="1"/>
      <c r="D84" s="1"/>
      <c r="E84" s="1"/>
      <c r="F84" s="1"/>
      <c r="G84" s="1"/>
      <c r="H84" s="1"/>
      <c r="I84" s="1"/>
      <c r="J84" s="1"/>
      <c r="K84" s="1"/>
      <c r="L84" s="1"/>
      <c r="M84" s="1"/>
      <c r="N84" s="1"/>
      <c r="O84" s="1"/>
      <c r="P84" s="1"/>
      <c r="Q84" s="1"/>
      <c r="R84" s="1"/>
      <c r="S84" s="1"/>
      <c r="T84" s="1"/>
      <c r="U84" s="1"/>
      <c r="V84" s="1"/>
    </row>
    <row r="85" spans="1:22">
      <c r="A85" s="1"/>
      <c r="B85" s="1"/>
      <c r="C85" s="1"/>
      <c r="D85" s="1"/>
      <c r="E85" s="1"/>
      <c r="F85" s="1"/>
      <c r="G85" s="1"/>
      <c r="H85" s="1"/>
      <c r="I85" s="1"/>
      <c r="J85" s="1"/>
      <c r="K85" s="1"/>
      <c r="L85" s="1"/>
      <c r="M85" s="1"/>
      <c r="N85" s="1"/>
      <c r="O85" s="1"/>
      <c r="P85" s="1"/>
      <c r="Q85" s="1"/>
      <c r="R85" s="1"/>
      <c r="S85" s="1"/>
      <c r="T85" s="1"/>
      <c r="U85" s="1"/>
      <c r="V85" s="1"/>
    </row>
    <row r="86" spans="1:22">
      <c r="A86" s="1"/>
      <c r="B86" s="1"/>
      <c r="C86" s="1"/>
      <c r="D86" s="1"/>
      <c r="E86" s="1"/>
      <c r="F86" s="1"/>
      <c r="G86" s="1"/>
      <c r="H86" s="1"/>
      <c r="I86" s="1"/>
      <c r="J86" s="1"/>
      <c r="K86" s="1"/>
      <c r="L86" s="1"/>
      <c r="M86" s="1"/>
      <c r="N86" s="1"/>
      <c r="O86" s="1"/>
      <c r="P86" s="1"/>
      <c r="Q86" s="1"/>
      <c r="R86" s="1"/>
      <c r="S86" s="1"/>
      <c r="T86" s="1"/>
      <c r="U86" s="1"/>
      <c r="V86" s="1"/>
    </row>
    <row r="87" spans="1:22">
      <c r="A87" s="1"/>
      <c r="B87" s="1"/>
      <c r="C87" s="1"/>
      <c r="D87" s="1"/>
      <c r="E87" s="1"/>
      <c r="F87" s="1"/>
      <c r="G87" s="1"/>
      <c r="H87" s="1"/>
      <c r="I87" s="1"/>
      <c r="J87" s="1"/>
      <c r="K87" s="1"/>
      <c r="L87" s="1"/>
      <c r="M87" s="1"/>
      <c r="N87" s="1"/>
      <c r="O87" s="1"/>
      <c r="P87" s="1"/>
      <c r="Q87" s="1"/>
      <c r="R87" s="1"/>
      <c r="S87" s="1"/>
      <c r="T87" s="1"/>
      <c r="U87" s="1"/>
      <c r="V87" s="1"/>
    </row>
  </sheetData>
  <mergeCells count="14">
    <mergeCell ref="B9:D9"/>
    <mergeCell ref="F13:Q13"/>
    <mergeCell ref="A1:U3"/>
    <mergeCell ref="B7:D7"/>
    <mergeCell ref="F7:Q7"/>
    <mergeCell ref="F9:Q9"/>
    <mergeCell ref="A4:AE4"/>
    <mergeCell ref="B11:D11"/>
    <mergeCell ref="F11:Q11"/>
    <mergeCell ref="B18:D18"/>
    <mergeCell ref="B19:P19"/>
    <mergeCell ref="F15:Q15"/>
    <mergeCell ref="B15:D15"/>
    <mergeCell ref="B13:D13"/>
  </mergeCells>
  <phoneticPr fontId="27"/>
  <hyperlinks>
    <hyperlink ref="B9" location="'PGA1 Input Range'!A1" display="PGA1 Input Range"/>
    <hyperlink ref="B13" location="About!A1" display="About"/>
    <hyperlink ref="B15" location="'PGA1 Input Range'!A1" display="PGA1 Input Range"/>
    <hyperlink ref="B13:D13" location="About!L5" display="About"/>
    <hyperlink ref="B15:D15" location="Help!R5" display="Help"/>
    <hyperlink ref="B9:D9" location="'Voltage Sense Calculator'!I8" display="Voltage Sense Calculator"/>
    <hyperlink ref="B11:D11" location="'Device Comparison'!O5" display="Device Compariso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9"/>
  <sheetViews>
    <sheetView showGridLines="0" showRowColHeaders="0" zoomScale="85" zoomScaleNormal="85" workbookViewId="0">
      <selection activeCell="F23" sqref="F23"/>
    </sheetView>
  </sheetViews>
  <sheetFormatPr defaultRowHeight="15"/>
  <cols>
    <col min="1" max="1" width="4.28515625" customWidth="1"/>
    <col min="2" max="2" width="49.140625" customWidth="1"/>
    <col min="3" max="4" width="18.7109375" customWidth="1"/>
    <col min="5" max="6" width="33.7109375" customWidth="1"/>
    <col min="7" max="7" width="15" customWidth="1"/>
    <col min="8" max="8" width="16.7109375" customWidth="1"/>
    <col min="9" max="9" width="22.28515625" bestFit="1" customWidth="1"/>
    <col min="10" max="10" width="16.85546875" customWidth="1"/>
    <col min="11" max="11" width="16.42578125" customWidth="1"/>
    <col min="12" max="12" width="15.7109375" customWidth="1"/>
    <col min="13" max="14" width="10.7109375" customWidth="1"/>
    <col min="15" max="15" width="9" customWidth="1"/>
    <col min="16" max="16" width="13" customWidth="1"/>
    <col min="17" max="17" width="11.85546875" bestFit="1" customWidth="1"/>
    <col min="18" max="18" width="21" customWidth="1"/>
    <col min="19" max="19" width="19.28515625" customWidth="1"/>
    <col min="20" max="20" width="29.140625" customWidth="1"/>
    <col min="21" max="21" width="11.28515625" bestFit="1" customWidth="1"/>
  </cols>
  <sheetData>
    <row r="1" spans="1:21" ht="15" customHeight="1">
      <c r="A1" s="204"/>
      <c r="B1" s="204"/>
      <c r="C1" s="204"/>
      <c r="D1" s="204"/>
      <c r="E1" s="204"/>
      <c r="F1" s="204"/>
      <c r="G1" s="204"/>
      <c r="H1" s="204"/>
      <c r="I1" s="204"/>
      <c r="J1" s="204"/>
      <c r="K1" s="204"/>
    </row>
    <row r="2" spans="1:21" ht="15" customHeight="1">
      <c r="A2" s="204"/>
      <c r="B2" s="204"/>
      <c r="C2" s="204"/>
      <c r="D2" s="204"/>
      <c r="E2" s="204"/>
      <c r="F2" s="204"/>
      <c r="G2" s="204"/>
      <c r="H2" s="204"/>
      <c r="I2" s="204"/>
      <c r="J2" s="204"/>
      <c r="K2" s="204"/>
    </row>
    <row r="3" spans="1:21" ht="15" customHeight="1">
      <c r="A3" s="204"/>
      <c r="B3" s="204"/>
      <c r="C3" s="204"/>
      <c r="D3" s="204"/>
      <c r="E3" s="204"/>
      <c r="F3" s="204"/>
      <c r="G3" s="204"/>
      <c r="H3" s="204"/>
      <c r="I3" s="204"/>
      <c r="J3" s="204"/>
      <c r="K3" s="204"/>
    </row>
    <row r="4" spans="1:21" ht="15" customHeight="1">
      <c r="A4" s="205"/>
      <c r="B4" s="205"/>
      <c r="C4" s="205"/>
      <c r="D4" s="205"/>
      <c r="E4" s="205"/>
      <c r="F4" s="205"/>
      <c r="G4" s="205"/>
      <c r="H4" s="205"/>
      <c r="I4" s="205"/>
      <c r="J4" s="205"/>
      <c r="K4" s="205"/>
      <c r="L4" s="205"/>
      <c r="M4" s="205"/>
      <c r="N4" s="205"/>
      <c r="O4" s="205"/>
      <c r="P4" s="205"/>
      <c r="Q4" s="205"/>
      <c r="R4" s="205"/>
      <c r="S4" s="205"/>
      <c r="T4" s="205"/>
      <c r="U4" s="205"/>
    </row>
    <row r="5" spans="1:21" ht="15" customHeight="1">
      <c r="I5" s="88" t="s">
        <v>23</v>
      </c>
    </row>
    <row r="6" spans="1:21" ht="15" customHeight="1" thickBot="1">
      <c r="B6" s="206" t="str">
        <f>IF(I8="[Select Configuration]","selectConfig",IF(I8="Differential without R3'","withoutR3",IF(I8="Differential with R3'","withR3",IF(I8="Single-Ended","single"," "))))</f>
        <v>withoutR3</v>
      </c>
      <c r="C6" s="206"/>
      <c r="D6" s="206"/>
    </row>
    <row r="7" spans="1:21" ht="15" customHeight="1" thickBot="1">
      <c r="B7" s="206"/>
      <c r="C7" s="206"/>
      <c r="D7" s="206"/>
      <c r="F7" s="201" t="s">
        <v>43</v>
      </c>
      <c r="G7" s="202"/>
      <c r="H7" s="202"/>
      <c r="I7" s="203"/>
    </row>
    <row r="8" spans="1:21" ht="15" customHeight="1">
      <c r="B8" s="206"/>
      <c r="C8" s="206"/>
      <c r="D8" s="206"/>
      <c r="F8" s="197" t="s">
        <v>107</v>
      </c>
      <c r="G8" s="198"/>
      <c r="H8" s="151"/>
      <c r="I8" s="152" t="s">
        <v>110</v>
      </c>
    </row>
    <row r="9" spans="1:21" ht="15" customHeight="1" thickBot="1">
      <c r="B9" s="206"/>
      <c r="C9" s="206"/>
      <c r="D9" s="206"/>
      <c r="F9" s="199" t="s">
        <v>108</v>
      </c>
      <c r="G9" s="200"/>
      <c r="H9" s="153"/>
      <c r="I9" s="154" t="s">
        <v>38</v>
      </c>
    </row>
    <row r="10" spans="1:21" ht="15" customHeight="1">
      <c r="B10" s="206"/>
      <c r="C10" s="206"/>
      <c r="D10" s="206"/>
      <c r="F10" s="197" t="s">
        <v>84</v>
      </c>
      <c r="G10" s="198"/>
      <c r="H10" s="155"/>
      <c r="I10" s="156">
        <v>500</v>
      </c>
    </row>
    <row r="11" spans="1:21" ht="15" customHeight="1">
      <c r="B11" s="206"/>
      <c r="C11" s="206"/>
      <c r="D11" s="206"/>
      <c r="F11" s="209" t="s">
        <v>83</v>
      </c>
      <c r="G11" s="210"/>
      <c r="H11" s="155"/>
      <c r="I11" s="157">
        <v>200000</v>
      </c>
    </row>
    <row r="12" spans="1:21" ht="15" customHeight="1">
      <c r="B12" s="206"/>
      <c r="C12" s="206"/>
      <c r="D12" s="206"/>
      <c r="F12" s="209" t="s">
        <v>82</v>
      </c>
      <c r="G12" s="210"/>
      <c r="H12" s="155"/>
      <c r="I12" s="157">
        <v>200000</v>
      </c>
    </row>
    <row r="13" spans="1:21" ht="15" customHeight="1">
      <c r="B13" s="206"/>
      <c r="C13" s="206"/>
      <c r="D13" s="206"/>
      <c r="F13" s="209" t="s">
        <v>81</v>
      </c>
      <c r="G13" s="210"/>
      <c r="H13" s="155"/>
      <c r="I13" s="157">
        <v>200</v>
      </c>
      <c r="M13" s="32"/>
      <c r="N13" s="23"/>
      <c r="O13" s="23"/>
      <c r="P13" s="23"/>
    </row>
    <row r="14" spans="1:21" ht="15" customHeight="1">
      <c r="B14" s="206"/>
      <c r="C14" s="206"/>
      <c r="D14" s="206"/>
      <c r="F14" s="209" t="s">
        <v>80</v>
      </c>
      <c r="G14" s="210"/>
      <c r="H14" s="155"/>
      <c r="I14" s="158">
        <v>50</v>
      </c>
      <c r="M14" s="32"/>
      <c r="N14" s="23"/>
      <c r="O14" s="23"/>
      <c r="P14" s="23"/>
    </row>
    <row r="15" spans="1:21" ht="15" customHeight="1">
      <c r="B15" s="206"/>
      <c r="C15" s="206"/>
      <c r="D15" s="206"/>
      <c r="F15" s="209" t="s">
        <v>92</v>
      </c>
      <c r="G15" s="210"/>
      <c r="H15" s="155"/>
      <c r="I15" s="159">
        <v>25</v>
      </c>
      <c r="J15" s="207" t="str">
        <f>IF(I15&lt;VLOOKUP(I9, Devices[], COLUMN(Devices[Temp Min]), 0), " Input exceeds recommended operating minimum temperature.", "")</f>
        <v/>
      </c>
      <c r="K15" s="208"/>
      <c r="L15" s="208"/>
      <c r="M15" s="208"/>
      <c r="N15" s="23"/>
      <c r="O15" s="23"/>
      <c r="P15" s="23"/>
    </row>
    <row r="16" spans="1:21" ht="15" customHeight="1">
      <c r="B16" s="206"/>
      <c r="C16" s="206"/>
      <c r="D16" s="206"/>
      <c r="F16" s="227" t="s">
        <v>93</v>
      </c>
      <c r="G16" s="228"/>
      <c r="H16" s="160"/>
      <c r="I16" s="161">
        <v>125</v>
      </c>
      <c r="J16" s="235" t="str">
        <f>IF(I16&gt;VLOOKUP(I9, Devices[], COLUMN(Devices[Temp Max]), 0), " Input exceeds recommended operating maximum temperature.", "")</f>
        <v/>
      </c>
      <c r="K16" s="236"/>
      <c r="L16" s="236"/>
      <c r="M16" s="236"/>
      <c r="N16" s="23"/>
      <c r="O16" s="23"/>
      <c r="P16" s="23"/>
    </row>
    <row r="17" spans="2:16" ht="15" customHeight="1">
      <c r="B17" s="206"/>
      <c r="C17" s="206"/>
      <c r="D17" s="206"/>
      <c r="F17" s="233" t="s">
        <v>77</v>
      </c>
      <c r="G17" s="234"/>
      <c r="H17" s="162"/>
      <c r="I17" s="163">
        <f>IF(OR(I9="[Select Device]", I8="[Select Configuration]"), " ", (I10/(I11+I12+I13)*I13))</f>
        <v>0.24987506246876562</v>
      </c>
      <c r="L17" s="32"/>
      <c r="M17" s="32"/>
      <c r="N17" s="32"/>
      <c r="O17" s="32"/>
      <c r="P17" s="32"/>
    </row>
    <row r="18" spans="2:16" ht="15" customHeight="1" thickBot="1">
      <c r="B18" s="206"/>
      <c r="C18" s="206"/>
      <c r="D18" s="206"/>
      <c r="F18" s="199" t="s">
        <v>76</v>
      </c>
      <c r="G18" s="200"/>
      <c r="H18" s="153"/>
      <c r="I18" s="164">
        <f>IF(OR(I9="[Select Device]", I8="[Select Configuration]"), " ", ((I10)^2/(I11+I12+I13))*10^3)</f>
        <v>624.687656171914</v>
      </c>
      <c r="L18" s="27"/>
      <c r="M18" s="27"/>
      <c r="N18" s="27"/>
      <c r="O18" s="24"/>
      <c r="P18" s="27"/>
    </row>
    <row r="19" spans="2:16" ht="15" customHeight="1">
      <c r="B19" s="206"/>
      <c r="C19" s="206"/>
      <c r="D19" s="206"/>
      <c r="P19" s="27"/>
    </row>
    <row r="20" spans="2:16" ht="15" customHeight="1">
      <c r="B20" s="206"/>
      <c r="C20" s="206"/>
      <c r="D20" s="206"/>
    </row>
    <row r="21" spans="2:16" ht="15" customHeight="1">
      <c r="B21" s="206"/>
      <c r="C21" s="206"/>
      <c r="D21" s="206"/>
      <c r="H21" s="237" t="s">
        <v>85</v>
      </c>
      <c r="I21" s="237"/>
    </row>
    <row r="22" spans="2:16" ht="15" customHeight="1">
      <c r="B22" s="206"/>
      <c r="C22" s="206"/>
      <c r="D22" s="206"/>
      <c r="H22" s="50" t="s">
        <v>86</v>
      </c>
      <c r="I22" s="100" t="s">
        <v>25</v>
      </c>
    </row>
    <row r="23" spans="2:16" ht="15" customHeight="1">
      <c r="B23" s="206"/>
      <c r="C23" s="206"/>
      <c r="D23" s="206"/>
      <c r="H23" s="50" t="s">
        <v>87</v>
      </c>
      <c r="I23" s="101" t="s">
        <v>25</v>
      </c>
    </row>
    <row r="24" spans="2:16" ht="15" customHeight="1">
      <c r="B24" s="206"/>
      <c r="C24" s="206"/>
      <c r="D24" s="206"/>
      <c r="H24" s="50" t="s">
        <v>88</v>
      </c>
      <c r="I24" s="99" t="s">
        <v>25</v>
      </c>
    </row>
    <row r="25" spans="2:16" ht="15" customHeight="1">
      <c r="B25" s="106"/>
      <c r="C25" s="106"/>
      <c r="D25" s="106"/>
      <c r="J25" s="90"/>
    </row>
    <row r="26" spans="2:16" ht="15" customHeight="1">
      <c r="B26" s="136" t="str">
        <f>IF(I8="Differential without R3'","Above: A sample diagram of a circuit with an AMC1301 part",IF(I8="Differential with R3'","Above: A sample diagram of a circuit with an AMC1301 part"," "))</f>
        <v>Above: A sample diagram of a circuit with an AMC1301 part</v>
      </c>
      <c r="E26" s="28"/>
    </row>
    <row r="27" spans="2:16" ht="15" customHeight="1">
      <c r="B27" s="136" t="str">
        <f>IF(I8="Differential without R3'","Note that all errors are input referred to the Full-Scale (FS) input value in cell F31",IF(I8="Differential with R3'","Note that all errors are input referred to the Full-Scale (FS) input value in cell F31"," "))</f>
        <v>Note that all errors are input referred to the Full-Scale (FS) input value in cell F31</v>
      </c>
      <c r="C27" s="106"/>
      <c r="D27" s="106"/>
      <c r="E27" s="31"/>
    </row>
    <row r="28" spans="2:16" ht="15" customHeight="1">
      <c r="B28" s="136" t="str">
        <f>IF(I8="Differential without R3'","This assumes the circuit does not include R3' which eliminates the offset errors",IF(I8="Differential with R3'","This assumes the circuit includes R3' which removes the offset term associated with the resistor divider"," "))</f>
        <v>This assumes the circuit does not include R3' which eliminates the offset errors</v>
      </c>
    </row>
    <row r="29" spans="2:16" ht="15" customHeight="1" thickBot="1">
      <c r="B29" s="23"/>
      <c r="C29" s="23"/>
      <c r="L29" s="33"/>
    </row>
    <row r="30" spans="2:16" ht="21" customHeight="1" thickBot="1">
      <c r="B30" s="241" t="str">
        <f>"Worst-Case Error Across Temperature ( " &amp; I15 &amp; "°C to +" &amp; I16 &amp; "°C) at VIN= +FS (Full-Scale)"</f>
        <v>Worst-Case Error Across Temperature ( 25°C to +125°C) at VIN= +FS (Full-Scale)</v>
      </c>
      <c r="C30" s="242"/>
      <c r="D30" s="242"/>
      <c r="E30" s="242"/>
      <c r="F30" s="242"/>
      <c r="G30" s="242"/>
      <c r="H30" s="242"/>
      <c r="I30" s="242"/>
      <c r="J30" s="242"/>
      <c r="K30" s="243"/>
    </row>
    <row r="31" spans="2:16" ht="15" customHeight="1" thickBot="1">
      <c r="B31" s="244" t="s">
        <v>78</v>
      </c>
      <c r="C31" s="245"/>
      <c r="D31" s="49">
        <f>IF(OR(I9="[Select Device]", I9=" "), " ", VLOOKUP(I9, Devices[], COLUMN(Devices[±Input Voltage Range]),0)*0.001)</f>
        <v>0.25</v>
      </c>
      <c r="E31" s="165" t="s">
        <v>79</v>
      </c>
      <c r="F31" s="166">
        <f>IF(OR(I9="[Select Device]",I8="[Select Configuration]")," ",(I10/(I11+I12+I13)*I13))</f>
        <v>0.24987506246876562</v>
      </c>
      <c r="G31" s="246" t="str">
        <f>IF(I8="[Select Configuration]", "Please select a configuration in the User Inputs.", IF(I9="[Select Device]", "Please select a device in the User Inputs.", IF(I9=" ", "Please select a valid device in the User Inputs.", IF(I17&gt;D31,"Not a valid full-scale range for the selected part!",""))))</f>
        <v/>
      </c>
      <c r="H31" s="247"/>
      <c r="I31" s="247"/>
      <c r="J31" s="247"/>
      <c r="K31" s="248"/>
      <c r="L31" s="22"/>
    </row>
    <row r="32" spans="2:16" ht="31.5" customHeight="1" thickBot="1">
      <c r="B32" s="167" t="s">
        <v>0</v>
      </c>
      <c r="C32" s="168" t="s">
        <v>58</v>
      </c>
      <c r="D32" s="168" t="s">
        <v>59</v>
      </c>
      <c r="E32" s="168" t="s">
        <v>70</v>
      </c>
      <c r="F32" s="168" t="s">
        <v>71</v>
      </c>
      <c r="G32" s="250" t="s">
        <v>1</v>
      </c>
      <c r="H32" s="251"/>
      <c r="I32" s="251"/>
      <c r="J32" s="251"/>
      <c r="K32" s="252"/>
    </row>
    <row r="33" spans="2:13" ht="15" customHeight="1">
      <c r="B33" s="51" t="s">
        <v>2</v>
      </c>
      <c r="C33" s="56">
        <f>IF(I8="[Select Configuration]", " ", IF(I9="[Select Device]", " Please select a devic", VLOOKUP(I9, Devices[], COLUMN(Devices[Gain Error Typ]), 0)))</f>
        <v>4.0000000000000001E-3</v>
      </c>
      <c r="D33" s="56">
        <f>IF(I8="[Select Configuration]", " ", IF(I9="[Select Device]", "e in the User Inputs.  ", VLOOKUP(I9, Devices[], COLUMN(Devices[Gain Error Max]), 0)))</f>
        <v>0.01</v>
      </c>
      <c r="E33" s="57">
        <f>IF(OR(I9="[Select Device]", I8="[Select Configuration]")," ", (C33*F31)*1000)</f>
        <v>0.99950024987506247</v>
      </c>
      <c r="F33" s="57">
        <f>IF(OR(I9="[Select Device]", I8="[Select Configuration]")," ",(D33*F31)*1000)</f>
        <v>2.4987506246876565</v>
      </c>
      <c r="G33" s="217"/>
      <c r="H33" s="215"/>
      <c r="I33" s="215"/>
      <c r="J33" s="215"/>
      <c r="K33" s="218"/>
    </row>
    <row r="34" spans="2:13" ht="15" customHeight="1">
      <c r="B34" s="52" t="s">
        <v>3</v>
      </c>
      <c r="C34" s="58">
        <f>IF(OR(I9="[Select Device]", I8="[Select Configuration]"), " ", VLOOKUP(I9, Devices[], COLUMN(Devices[Gain Drift Typ]), 0))</f>
        <v>50</v>
      </c>
      <c r="D34" s="58">
        <f>IF(OR(I9="[Select Device]", I8="[Select Configuration]"), " ", VLOOKUP(I9, Devices[], COLUMN(Devices[Gain Drift Max]), 0))</f>
        <v>150</v>
      </c>
      <c r="E34" s="59">
        <f>IF(OR(I9="[Select Device]", I8="[Select Configuration]"), " ", Temp_Range*C34*10^-6*F31*10^3)</f>
        <v>1.2493753123438283</v>
      </c>
      <c r="F34" s="60">
        <f>IF(OR(I9="[Select Device]", I8="[Select Configuration]"), " ", Temp_Range*D34*10^-6*F31*10^3)</f>
        <v>3.7481259370314843</v>
      </c>
      <c r="G34" s="222" t="str">
        <f>"Worst-Case Drift from " &amp; I15 &amp; "°C to " &amp; I16 &amp; "°C"</f>
        <v>Worst-Case Drift from 25°C to 125°C</v>
      </c>
      <c r="H34" s="220"/>
      <c r="I34" s="220"/>
      <c r="J34" s="220"/>
      <c r="K34" s="223"/>
      <c r="M34" s="25"/>
    </row>
    <row r="35" spans="2:13" ht="15" customHeight="1">
      <c r="B35" s="52" t="s">
        <v>4</v>
      </c>
      <c r="C35" s="61">
        <f>IF(OR(I9="[Select Device]", I8="[Select Configuration]"), " ", VLOOKUP(I9, Devices[], COLUMN(Devices[Offset Error Typ]), 0))</f>
        <v>0.01</v>
      </c>
      <c r="D35" s="61">
        <f>IF(OR(I9="[Select Device]", I8="[Select Configuration]"), " ", VLOOKUP(I9, Devices[], COLUMN(Devices[Offset Error Max]), 0))</f>
        <v>2</v>
      </c>
      <c r="E35" s="59">
        <f>IF(OR(I9="[Select Device]", I8="[Select Configuration]"), " ", C35)</f>
        <v>0.01</v>
      </c>
      <c r="F35" s="60">
        <f>IF(OR(I9="[Select Device]", I8="[Select Configuration]"), " ", D35)</f>
        <v>2</v>
      </c>
      <c r="G35" s="222"/>
      <c r="H35" s="220"/>
      <c r="I35" s="220"/>
      <c r="J35" s="220"/>
      <c r="K35" s="223"/>
      <c r="M35" s="25"/>
    </row>
    <row r="36" spans="2:13" ht="15" customHeight="1">
      <c r="B36" s="52" t="s">
        <v>5</v>
      </c>
      <c r="C36" s="62">
        <f>IF(OR(I9="[Select Device]", I8="[Select Configuration]"), " ", VLOOKUP(I9, Devices[], COLUMN(Devices[Offset Drift Typ]), 0))</f>
        <v>1.3</v>
      </c>
      <c r="D36" s="62">
        <f>IF(OR(I9="[Select Device]", I8="[Select Configuration]"), " ", VLOOKUP(I9, Devices[], COLUMN(Devices[Offset Drift Max]), 0))</f>
        <v>4</v>
      </c>
      <c r="E36" s="59">
        <f>IF(OR(I9="[Select Device]", I8="[Select Configuration]"), " ", Temp_Range*C36*10^-3)</f>
        <v>0.13</v>
      </c>
      <c r="F36" s="60">
        <f>IF(OR(I9="[Select Device]", I8="[Select Configuration]"), " ", Temp_Range*D36*10^-3)</f>
        <v>0.4</v>
      </c>
      <c r="G36" s="222" t="str">
        <f>"Worst-Case Drift from " &amp; I15 &amp; "°C to " &amp; I16 &amp; "°C"</f>
        <v>Worst-Case Drift from 25°C to 125°C</v>
      </c>
      <c r="H36" s="220"/>
      <c r="I36" s="220"/>
      <c r="J36" s="220"/>
      <c r="K36" s="223"/>
      <c r="M36" s="25"/>
    </row>
    <row r="37" spans="2:13" ht="15" customHeight="1">
      <c r="B37" s="52" t="s">
        <v>6</v>
      </c>
      <c r="C37" s="63">
        <f>IF(OR(I9="[Select Device]", I8="[Select Configuration]"), " ", VLOOKUP(I9, Devices[], COLUMN(Devices[INL Typ]), 0))</f>
        <v>1E-4</v>
      </c>
      <c r="D37" s="63">
        <f>IF(OR(I9="[Select Device]", I8="[Select Configuration]"), " ", VLOOKUP(I9, Devices[], COLUMN(Devices[INL Max]), 0))</f>
        <v>2.9999999999999997E-4</v>
      </c>
      <c r="E37" s="59">
        <f>IF(OR(I9="[Select Device]", I8="[Select Configuration]")," ", (C37*F31)*1000)</f>
        <v>2.4987506246876564E-2</v>
      </c>
      <c r="F37" s="60">
        <f>IF(OR(I9="[Select Device]", I8="[Select Configuration]")," ",(D37*F31)*1000)</f>
        <v>7.4962518740629674E-2</v>
      </c>
      <c r="G37" s="222"/>
      <c r="H37" s="220"/>
      <c r="I37" s="220"/>
      <c r="J37" s="220"/>
      <c r="K37" s="223"/>
      <c r="L37" s="23"/>
      <c r="M37" s="24"/>
    </row>
    <row r="38" spans="2:13" ht="15" customHeight="1">
      <c r="B38" s="52" t="s">
        <v>7</v>
      </c>
      <c r="C38" s="58">
        <f>IF(OR(I9="[Select Device]", I8="[Select Configuration]"), " ", VLOOKUP(I9, Devices[], COLUMN(Devices[INL Drift Typ]), 0))</f>
        <v>1</v>
      </c>
      <c r="D38" s="58">
        <f>IF(OR(I9="[Select Device]", I8="[Select Configuration]"), " ", VLOOKUP(I9, Devices[], COLUMN(Devices[INL Drift Max]), 0))</f>
        <v>3</v>
      </c>
      <c r="E38" s="59">
        <f>IF(OR(I9="[Select Device]", I8="[Select Configuration]"), " ", Temp_Range*10^-6*F31*C38*10^3)</f>
        <v>2.498750624687656E-2</v>
      </c>
      <c r="F38" s="60">
        <f>IF(OR(I9="[Select Device]", I8="[Select Configuration]"), " ", Temp_Range*10^-6*F31*D38*10^3)</f>
        <v>7.4962518740629674E-2</v>
      </c>
      <c r="G38" s="229" t="str">
        <f>"Worst-Case Drift from " &amp; I15 &amp; "°C to " &amp; I16 &amp; "°C, Worst Case = 3 * Typical if no max in datasheet"</f>
        <v>Worst-Case Drift from 25°C to 125°C, Worst Case = 3 * Typical if no max in datasheet</v>
      </c>
      <c r="H38" s="229"/>
      <c r="I38" s="229"/>
      <c r="J38" s="229"/>
      <c r="K38" s="230"/>
      <c r="M38" s="25"/>
    </row>
    <row r="39" spans="2:13" ht="15" customHeight="1">
      <c r="B39" s="52" t="s">
        <v>10</v>
      </c>
      <c r="C39" s="249">
        <f>IF(OR(I9="[Select Device]", I8="[Select Configuration]"), " ", ((I11+I12)*I13)/((I11+I12)+I13))</f>
        <v>199.90004997501251</v>
      </c>
      <c r="D39" s="249"/>
      <c r="E39" s="60"/>
      <c r="F39" s="60"/>
      <c r="G39" s="229" t="s">
        <v>147</v>
      </c>
      <c r="H39" s="229"/>
      <c r="I39" s="229"/>
      <c r="J39" s="229"/>
      <c r="K39" s="230"/>
      <c r="L39" s="23"/>
    </row>
    <row r="40" spans="2:13" ht="15" customHeight="1">
      <c r="B40" s="52" t="s">
        <v>9</v>
      </c>
      <c r="C40" s="238">
        <f>IF(OR(I9="[Select Device]", I8="[Select Configuration]"), " ", IF(OR(I8="Differential without R3'", I8="Single-Ended"), C39/(VLOOKUP(I9, Devices[], COLUMN(Devices[Single-Ended Input Resistance]), 0)), IF(I8="Differential with R3'", 1-((VLOOKUP(I9, Devices[], COLUMN(Devices[Input Resistor (R4)]), 0))/((VLOOKUP(I9, Devices[], COLUMN(Devices[Input Resistor (R4)]), 0))+C39)), 0)))</f>
        <v>1.0521055261842764E-2</v>
      </c>
      <c r="D40" s="238"/>
      <c r="E40" s="59">
        <f>IF(OR(I9="[Select Device]", I8="[Select Configuration]"), " ", C40*F31*1000)</f>
        <v>2.628949340790296</v>
      </c>
      <c r="F40" s="60">
        <f>IF(OR(I9="[Select Device]", I8="[Select Configuration]"), " ", C40*F31*1000)</f>
        <v>2.628949340790296</v>
      </c>
      <c r="G40" s="229" t="str">
        <f>IF(OR(I8="Differential without R3'", I8="Single-Ended"), "Calculation from datasheet:  GE = R_divider / R_in", IF(I8="Differential with R3'", "Calculation from datasheet:  GE = 1 - (R_4 / (R_4 + R_divider))", " "))</f>
        <v>Calculation from datasheet:  GE = R_divider / R_in</v>
      </c>
      <c r="H40" s="229"/>
      <c r="I40" s="229"/>
      <c r="J40" s="229"/>
      <c r="K40" s="230"/>
      <c r="L40" s="23"/>
    </row>
    <row r="41" spans="2:13" ht="15" customHeight="1">
      <c r="B41" s="52" t="s">
        <v>11</v>
      </c>
      <c r="C41" s="239">
        <f>IF(OR(I9="[Select Device]", I8="[Select Configuration]"), " ", I14)</f>
        <v>50</v>
      </c>
      <c r="D41" s="239"/>
      <c r="E41" s="59">
        <f>IF(OR(I9="[Select Device]", I8="[Select Configuration]"), " ", Temp_Range*C41*10^-6*F31*10^3)</f>
        <v>1.2493753123438283</v>
      </c>
      <c r="F41" s="60">
        <f>IF(OR(I9="[Select Device]", I8="[Select Configuration]"), " ", Temp_Range*C41*10^-6*F31*10^3)</f>
        <v>1.2493753123438283</v>
      </c>
      <c r="G41" s="229" t="s">
        <v>12</v>
      </c>
      <c r="H41" s="229"/>
      <c r="I41" s="229"/>
      <c r="J41" s="229"/>
      <c r="K41" s="230"/>
    </row>
    <row r="42" spans="2:13" ht="15" customHeight="1">
      <c r="B42" s="52" t="s">
        <v>8</v>
      </c>
      <c r="C42" s="240">
        <f>IF(OR(I9="[Select Device]", I8="[Select Configuration]"), " ", IF(I8="Differential with R3'", "N/A", (C39*(10^-6)*VLOOKUP(I9, Devices[], COLUMN(Devices[Bias Current]), 0))/F31))</f>
        <v>2.4E-2</v>
      </c>
      <c r="D42" s="240"/>
      <c r="E42" s="60">
        <f>IF(OR(I9="[Select Device]", I8="[Select Configuration]")," ",IF(I8="Differential with R3'"," ",1000*C42*F31))</f>
        <v>5.9970014992503753</v>
      </c>
      <c r="F42" s="60">
        <f>IF(OR(I9="[Select Device]", I8="[Select Configuration]"), " ",IF(I8="Differential with R3'"," ",1000*C42*F31))</f>
        <v>5.9970014992503753</v>
      </c>
      <c r="G42" s="229" t="str">
        <f>IF(I8="Differential with R3'", "R3' cancels the offset from the resistor divider", IF(I8="Differential without R3'", "Offset from bias current and voltage divider resistance (R_divider * I_bias)", " "))</f>
        <v>Offset from bias current and voltage divider resistance (R_divider * I_bias)</v>
      </c>
      <c r="H42" s="229"/>
      <c r="I42" s="229"/>
      <c r="J42" s="229"/>
      <c r="K42" s="230"/>
    </row>
    <row r="43" spans="2:13" ht="15" customHeight="1" thickBot="1">
      <c r="B43" s="53" t="str">
        <f>IF(I8="Differential with R3'", " ", "Offset Rdivider drift")</f>
        <v>Offset Rdivider drift</v>
      </c>
      <c r="C43" s="226">
        <f>IF(OR(I9="[Select Device]", I8="[Select Configuration]"), " ", IF(I8="Differential with R3'", " ", I14))</f>
        <v>50</v>
      </c>
      <c r="D43" s="226"/>
      <c r="E43" s="64">
        <f>IF(OR(I9="[Select Device]", I8="[Select Configuration]")," ",IF(I8="Differential with R3'"," ",Temp_Range*C43*10^-6*F31*10^3))</f>
        <v>1.2493753123438283</v>
      </c>
      <c r="F43" s="64">
        <f>IF(OR(I9="[Select Device]", I8="[Select Configuration]"), " ",IF(I8="Differential with R3'"," ",Temp_Range*C43*10^-6*F31*10^3))</f>
        <v>1.2493753123438283</v>
      </c>
      <c r="G43" s="231" t="str">
        <f>IF(I8="Differential without R3'", "Offset drift from Ibias drift due to input resistance drift", " ")</f>
        <v>Offset drift from Ibias drift due to input resistance drift</v>
      </c>
      <c r="H43" s="231"/>
      <c r="I43" s="231"/>
      <c r="J43" s="231"/>
      <c r="K43" s="232"/>
    </row>
    <row r="44" spans="2:13" ht="15" customHeight="1" thickBot="1">
      <c r="B44" s="54" t="s">
        <v>45</v>
      </c>
      <c r="C44" s="55"/>
      <c r="D44" s="55"/>
      <c r="E44" s="55"/>
      <c r="F44" s="55"/>
      <c r="G44" s="55"/>
      <c r="H44" s="55"/>
      <c r="I44" s="55"/>
      <c r="J44" s="55"/>
      <c r="K44" s="55"/>
      <c r="L44" s="22"/>
    </row>
    <row r="45" spans="2:13" ht="15" customHeight="1">
      <c r="B45" s="214" t="s">
        <v>48</v>
      </c>
      <c r="C45" s="215"/>
      <c r="D45" s="216"/>
      <c r="E45" s="65">
        <f>IF(OR(I8="[Select Configuration]", I9="[Select Device]", I9=" "), " ", F45/(F31*10^3))</f>
        <v>2.7892380247851734E-2</v>
      </c>
      <c r="F45" s="66">
        <f>IF(OR(I8="[Select Configuration]", I9="[Select Device]", I9=" "), " ",SQRT(SUMSQ(E33:E43)))</f>
        <v>6.9696102568345157</v>
      </c>
      <c r="G45" s="217" t="s">
        <v>46</v>
      </c>
      <c r="H45" s="215"/>
      <c r="I45" s="215"/>
      <c r="J45" s="215"/>
      <c r="K45" s="218"/>
      <c r="L45" s="22"/>
    </row>
    <row r="46" spans="2:13" ht="15" customHeight="1">
      <c r="B46" s="219" t="s">
        <v>49</v>
      </c>
      <c r="C46" s="220"/>
      <c r="D46" s="221"/>
      <c r="E46" s="67">
        <f>IF(OR(I8="[Select Configuration]", I9="[Select Device]", I9=" "), " ",F46/($F$31*10^3))</f>
        <v>1.4212081982959054E-2</v>
      </c>
      <c r="F46" s="68">
        <f>IF(OR(I8="[Select Configuration]", I9="[Select Device]", I9=" "), " ",SQRT(SUMSQ(E33,E34,E36,E37,E38,E40,E41,E43)))</f>
        <v>3.5512448733031117</v>
      </c>
      <c r="G46" s="222" t="s">
        <v>46</v>
      </c>
      <c r="H46" s="220"/>
      <c r="I46" s="220"/>
      <c r="J46" s="220"/>
      <c r="K46" s="223"/>
      <c r="L46" s="22"/>
    </row>
    <row r="47" spans="2:13" ht="15" customHeight="1">
      <c r="B47" s="219" t="s">
        <v>50</v>
      </c>
      <c r="C47" s="220"/>
      <c r="D47" s="221"/>
      <c r="E47" s="67">
        <f>IF(OR(I8="[Select Configuration]", I9="[Select Device]", I9=" "), " ",F47/($F$31*10^3))</f>
        <v>8.6770196765709844E-3</v>
      </c>
      <c r="F47" s="68">
        <f>IF(OR(I8="[Select Configuration]", I9="[Select Device]", I9=" "), " ",SQRT(SUMSQ(E34,E36,E37,E38,E41,E43)))</f>
        <v>2.1681708337258829</v>
      </c>
      <c r="G47" s="222" t="s">
        <v>46</v>
      </c>
      <c r="H47" s="220"/>
      <c r="I47" s="220"/>
      <c r="J47" s="220"/>
      <c r="K47" s="223"/>
    </row>
    <row r="48" spans="2:13" ht="15" customHeight="1" thickBot="1">
      <c r="B48" s="211" t="s">
        <v>51</v>
      </c>
      <c r="C48" s="212"/>
      <c r="D48" s="213"/>
      <c r="E48" s="69">
        <f>IF(OR(I8="[Select Configuration]", I9="[Select Device]", I9=" "), " ",F48/($F$31*10^3))</f>
        <v>1.4142135623730954E-4</v>
      </c>
      <c r="F48" s="70">
        <f>IF(OR(I8="[Select Configuration]", I9="[Select Device]", I9=" "), " ",SQRT(SUMSQ(E38,E37)))</f>
        <v>3.5337670224215273E-2</v>
      </c>
      <c r="G48" s="224" t="s">
        <v>46</v>
      </c>
      <c r="H48" s="212"/>
      <c r="I48" s="212"/>
      <c r="J48" s="212"/>
      <c r="K48" s="225"/>
    </row>
    <row r="49" spans="2:12" ht="15" customHeight="1">
      <c r="B49" s="214" t="s">
        <v>52</v>
      </c>
      <c r="C49" s="215"/>
      <c r="D49" s="216"/>
      <c r="E49" s="65">
        <f>IF(OR(I8="[Select Configuration]", I9="[Select Device]", I9=" "), " ",F49/($F$31*10^3))</f>
        <v>3.3593141866499317E-2</v>
      </c>
      <c r="F49" s="66">
        <f>IF(OR(I8="[Select Configuration]", I9="[Select Device]", I9=" "), " ",SQRT(SUMSQ(F33:F43)))</f>
        <v>8.3940884224136223</v>
      </c>
      <c r="G49" s="98" t="s">
        <v>47</v>
      </c>
      <c r="H49" s="96"/>
      <c r="I49" s="96"/>
      <c r="J49" s="96"/>
      <c r="K49" s="97"/>
      <c r="L49" s="22"/>
    </row>
    <row r="50" spans="2:12" ht="15" customHeight="1">
      <c r="B50" s="219" t="s">
        <v>53</v>
      </c>
      <c r="C50" s="220"/>
      <c r="D50" s="221"/>
      <c r="E50" s="67">
        <f>IF(OR(I8="[Select Configuration]", I9="[Select Device]", I9=" "), " ",F50/($F$31*10^3))</f>
        <v>2.2100569324403147E-2</v>
      </c>
      <c r="F50" s="68">
        <f>IF(OR(I8="[Select Configuration]", I9="[Select Device]", I9=" "), " ",SQRT(SUMSQ(F33,F34,F36,F37,F38,F40,F41,F43)))</f>
        <v>5.5223811405305216</v>
      </c>
      <c r="G50" s="91" t="s">
        <v>47</v>
      </c>
      <c r="H50" s="92"/>
      <c r="I50" s="92"/>
      <c r="J50" s="92"/>
      <c r="K50" s="93"/>
    </row>
    <row r="51" spans="2:12" ht="15" customHeight="1">
      <c r="B51" s="219" t="s">
        <v>54</v>
      </c>
      <c r="C51" s="220"/>
      <c r="D51" s="221"/>
      <c r="E51" s="67">
        <f>IF(OR(I8="[Select Configuration]", I9="[Select Device]", I9=" "), " ",F51/($F$31*10^3))</f>
        <v>1.6665610119044549E-2</v>
      </c>
      <c r="F51" s="68">
        <f>IF(OR(I8="[Select Configuration]", I9="[Select Device]", I9=" "), " ",SQRT(SUMSQ(F34,F36,F37,F38,F41,F43)))</f>
        <v>4.1643203695763491</v>
      </c>
      <c r="G51" s="91" t="s">
        <v>47</v>
      </c>
      <c r="H51" s="92"/>
      <c r="I51" s="92"/>
      <c r="J51" s="92"/>
      <c r="K51" s="93"/>
    </row>
    <row r="52" spans="2:12" ht="15" customHeight="1" thickBot="1">
      <c r="B52" s="211" t="s">
        <v>55</v>
      </c>
      <c r="C52" s="212"/>
      <c r="D52" s="213"/>
      <c r="E52" s="69">
        <f>IF(OR(I8="[Select Configuration]", I9="[Select Device]", I9=" "), " ",F52/($F$31*10^3))</f>
        <v>4.242640687119285E-4</v>
      </c>
      <c r="F52" s="70">
        <f>IF(OR(I8="[Select Configuration]", I9="[Select Device]", I9=" "), " ",SQRT(SUMSQ(F38,F37)))</f>
        <v>0.10601301067264579</v>
      </c>
      <c r="G52" s="94" t="s">
        <v>47</v>
      </c>
      <c r="H52" s="95"/>
      <c r="I52" s="95"/>
      <c r="J52" s="95"/>
      <c r="K52" s="71"/>
    </row>
    <row r="53" spans="2:12" ht="15" customHeight="1"/>
    <row r="54" spans="2:12">
      <c r="B54" s="21"/>
    </row>
    <row r="55" spans="2:12">
      <c r="B55" s="21"/>
    </row>
    <row r="56" spans="2:12">
      <c r="B56" s="21"/>
    </row>
    <row r="57" spans="2:12">
      <c r="B57" s="21"/>
    </row>
    <row r="58" spans="2:12">
      <c r="B58" s="21"/>
    </row>
    <row r="59" spans="2:12">
      <c r="B59" s="21"/>
    </row>
  </sheetData>
  <mergeCells count="50">
    <mergeCell ref="G37:K37"/>
    <mergeCell ref="B30:K30"/>
    <mergeCell ref="B31:C31"/>
    <mergeCell ref="G31:K31"/>
    <mergeCell ref="C39:D39"/>
    <mergeCell ref="G38:K38"/>
    <mergeCell ref="G39:K39"/>
    <mergeCell ref="G32:K32"/>
    <mergeCell ref="G33:K33"/>
    <mergeCell ref="G34:K34"/>
    <mergeCell ref="G35:K35"/>
    <mergeCell ref="C43:D43"/>
    <mergeCell ref="F12:G12"/>
    <mergeCell ref="F16:G16"/>
    <mergeCell ref="G40:K40"/>
    <mergeCell ref="G41:K41"/>
    <mergeCell ref="G42:K42"/>
    <mergeCell ref="G43:K43"/>
    <mergeCell ref="F17:G17"/>
    <mergeCell ref="F18:G18"/>
    <mergeCell ref="J16:M16"/>
    <mergeCell ref="H21:I21"/>
    <mergeCell ref="C40:D40"/>
    <mergeCell ref="C41:D41"/>
    <mergeCell ref="C42:D42"/>
    <mergeCell ref="F15:G15"/>
    <mergeCell ref="G36:K36"/>
    <mergeCell ref="B52:D52"/>
    <mergeCell ref="B45:D45"/>
    <mergeCell ref="G45:K45"/>
    <mergeCell ref="B46:D46"/>
    <mergeCell ref="G46:K46"/>
    <mergeCell ref="B47:D47"/>
    <mergeCell ref="G47:K47"/>
    <mergeCell ref="B48:D48"/>
    <mergeCell ref="G48:K48"/>
    <mergeCell ref="B49:D49"/>
    <mergeCell ref="B50:D50"/>
    <mergeCell ref="B51:D51"/>
    <mergeCell ref="F8:G8"/>
    <mergeCell ref="F9:G9"/>
    <mergeCell ref="F7:I7"/>
    <mergeCell ref="A1:K3"/>
    <mergeCell ref="A4:U4"/>
    <mergeCell ref="B6:D24"/>
    <mergeCell ref="J15:M15"/>
    <mergeCell ref="F14:G14"/>
    <mergeCell ref="F13:G13"/>
    <mergeCell ref="F10:G10"/>
    <mergeCell ref="F11:G11"/>
  </mergeCells>
  <phoneticPr fontId="27"/>
  <conditionalFormatting sqref="F31 I17">
    <cfRule type="cellIs" dxfId="14" priority="16" stopIfTrue="1" operator="between">
      <formula>0</formula>
      <formula>$D$31</formula>
    </cfRule>
    <cfRule type="cellIs" dxfId="13" priority="17" operator="greaterThan">
      <formula>$D$31</formula>
    </cfRule>
  </conditionalFormatting>
  <conditionalFormatting sqref="C42:C43">
    <cfRule type="containsText" dxfId="12" priority="18" operator="containsText" text="N/A">
      <formula>NOT(ISERROR(SEARCH("N/A",C42)))</formula>
    </cfRule>
  </conditionalFormatting>
  <conditionalFormatting sqref="C43:D43">
    <cfRule type="containsBlanks" dxfId="11" priority="12">
      <formula>LEN(TRIM(C43))=0</formula>
    </cfRule>
  </conditionalFormatting>
  <conditionalFormatting sqref="E45:F52">
    <cfRule type="containsBlanks" dxfId="10" priority="11">
      <formula>LEN(TRIM(E45))=0</formula>
    </cfRule>
  </conditionalFormatting>
  <conditionalFormatting sqref="C33:C42">
    <cfRule type="containsBlanks" dxfId="9" priority="19">
      <formula>LEN(TRIM(C33))=0</formula>
    </cfRule>
  </conditionalFormatting>
  <conditionalFormatting sqref="C33">
    <cfRule type="beginsWith" dxfId="8" priority="9" operator="beginsWith" text=" Please">
      <formula>LEFT(C33,LEN(" Please"))=" Please"</formula>
    </cfRule>
  </conditionalFormatting>
  <conditionalFormatting sqref="D33">
    <cfRule type="containsBlanks" dxfId="7" priority="1">
      <formula>LEN(TRIM(D33))=0</formula>
    </cfRule>
    <cfRule type="beginsWith" dxfId="6" priority="8" operator="beginsWith" text="e in">
      <formula>LEFT(D33,LEN("e in"))="e in"</formula>
    </cfRule>
  </conditionalFormatting>
  <conditionalFormatting sqref="C39:D43">
    <cfRule type="beginsWith" dxfId="5" priority="7" operator="beginsWith" text="Please">
      <formula>LEFT(C39,LEN("Please"))="Please"</formula>
    </cfRule>
  </conditionalFormatting>
  <conditionalFormatting sqref="F31">
    <cfRule type="containsBlanks" dxfId="4" priority="6">
      <formula>LEN(TRIM(F31))=0</formula>
    </cfRule>
  </conditionalFormatting>
  <conditionalFormatting sqref="I17:I18">
    <cfRule type="containsBlanks" dxfId="3" priority="5">
      <formula>LEN(TRIM(I17))=0</formula>
    </cfRule>
  </conditionalFormatting>
  <conditionalFormatting sqref="G31:K31">
    <cfRule type="containsText" dxfId="2" priority="4" operator="containsText" text="Please">
      <formula>NOT(ISERROR(SEARCH("Please",G31)))</formula>
    </cfRule>
  </conditionalFormatting>
  <conditionalFormatting sqref="D34:D38">
    <cfRule type="containsBlanks" dxfId="1" priority="3">
      <formula>LEN(TRIM(D34))=0</formula>
    </cfRule>
  </conditionalFormatting>
  <conditionalFormatting sqref="J15:M16">
    <cfRule type="notContainsBlanks" dxfId="0" priority="2">
      <formula>LEN(TRIM(J15))&gt;0</formula>
    </cfRule>
  </conditionalFormatting>
  <dataValidations count="2">
    <dataValidation type="list" errorStyle="warning" showErrorMessage="1" error="This device does not support the selected configuration. Please select another device." sqref="I9">
      <formula1>IF($I$8="Single-Ended", Device_List_SE, IF(OR($I$8="Differential without R3'", $I$8="Differential with R3'"), Device_List_D, Device_List_N))</formula1>
    </dataValidation>
    <dataValidation type="list" allowBlank="1" sqref="I8">
      <formula1>Configs</formula1>
    </dataValidation>
  </dataValidations>
  <hyperlinks>
    <hyperlink ref="I5" location="'Table of Contents'!B17" display="Table of Contents"/>
  </hyperlink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04"/>
  <sheetViews>
    <sheetView showGridLines="0" showRowColHeaders="0" zoomScale="130" zoomScaleNormal="130" workbookViewId="0">
      <selection activeCell="B30" sqref="B30"/>
    </sheetView>
  </sheetViews>
  <sheetFormatPr defaultRowHeight="15"/>
  <cols>
    <col min="1" max="1" width="14.42578125" bestFit="1" customWidth="1"/>
    <col min="2" max="2" width="12.7109375" bestFit="1" customWidth="1"/>
    <col min="3" max="3" width="13.5703125" bestFit="1" customWidth="1"/>
    <col min="4" max="4" width="14.28515625" bestFit="1" customWidth="1"/>
    <col min="5" max="5" width="13.28515625" bestFit="1" customWidth="1"/>
    <col min="6" max="6" width="14" bestFit="1" customWidth="1"/>
    <col min="7" max="7" width="15" bestFit="1" customWidth="1"/>
    <col min="8" max="8" width="15.7109375" customWidth="1"/>
    <col min="9" max="9" width="14.7109375" bestFit="1" customWidth="1"/>
    <col min="10" max="10" width="15.42578125" bestFit="1" customWidth="1"/>
    <col min="11" max="11" width="7.42578125" bestFit="1" customWidth="1"/>
    <col min="12" max="12" width="8.140625" bestFit="1" customWidth="1"/>
    <col min="13" max="13" width="11.85546875" bestFit="1" customWidth="1"/>
    <col min="14" max="14" width="12.5703125" bestFit="1" customWidth="1"/>
    <col min="15" max="15" width="20.140625" bestFit="1" customWidth="1"/>
    <col min="16" max="16" width="10" bestFit="1" customWidth="1"/>
    <col min="17" max="17" width="10.28515625" bestFit="1" customWidth="1"/>
    <col min="18" max="18" width="17.5703125" customWidth="1"/>
    <col min="19" max="19" width="28.28515625" bestFit="1" customWidth="1"/>
    <col min="20" max="20" width="11.7109375" bestFit="1" customWidth="1"/>
    <col min="21" max="21" width="9.5703125" hidden="1" customWidth="1"/>
    <col min="22" max="22" width="9.7109375" hidden="1" customWidth="1"/>
    <col min="23" max="23" width="10.42578125" hidden="1" customWidth="1"/>
    <col min="24" max="24" width="9.85546875" hidden="1" customWidth="1"/>
    <col min="25" max="25" width="5.42578125" hidden="1" customWidth="1"/>
    <col min="26" max="26" width="6.140625" hidden="1" customWidth="1"/>
    <col min="27" max="27" width="5.5703125" hidden="1" customWidth="1"/>
    <col min="28" max="30" width="14.42578125" hidden="1" customWidth="1"/>
    <col min="31" max="33" width="9.140625" hidden="1" customWidth="1"/>
    <col min="34" max="34" width="12.7109375" hidden="1" customWidth="1"/>
    <col min="35" max="35" width="9.140625" hidden="1" customWidth="1"/>
    <col min="75" max="75" width="22.140625" bestFit="1" customWidth="1"/>
    <col min="76" max="76" width="83.7109375" customWidth="1"/>
  </cols>
  <sheetData>
    <row r="1" spans="1:46" ht="15" customHeight="1">
      <c r="A1" s="204"/>
      <c r="B1" s="204"/>
      <c r="C1" s="204"/>
      <c r="D1" s="204"/>
      <c r="E1" s="204"/>
      <c r="F1" s="204"/>
      <c r="G1" s="204"/>
      <c r="H1" s="204"/>
      <c r="I1" s="204"/>
      <c r="J1" s="204"/>
      <c r="K1" s="204"/>
      <c r="L1" s="204"/>
    </row>
    <row r="2" spans="1:46" ht="15" customHeight="1">
      <c r="A2" s="204"/>
      <c r="B2" s="204"/>
      <c r="C2" s="204"/>
      <c r="D2" s="204"/>
      <c r="E2" s="204"/>
      <c r="F2" s="204"/>
      <c r="G2" s="204"/>
      <c r="H2" s="204"/>
      <c r="I2" s="204"/>
      <c r="J2" s="204"/>
      <c r="K2" s="204"/>
      <c r="L2" s="204"/>
    </row>
    <row r="3" spans="1:46" ht="15" customHeight="1">
      <c r="A3" s="204"/>
      <c r="B3" s="204"/>
      <c r="C3" s="204"/>
      <c r="D3" s="204"/>
      <c r="E3" s="204"/>
      <c r="F3" s="204"/>
      <c r="G3" s="204"/>
      <c r="H3" s="204"/>
      <c r="I3" s="204"/>
      <c r="J3" s="204"/>
      <c r="K3" s="204"/>
      <c r="L3" s="204"/>
    </row>
    <row r="4" spans="1:46" ht="15" customHeight="1">
      <c r="A4" s="205"/>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row>
    <row r="5" spans="1:46" ht="15" customHeight="1">
      <c r="A5" s="254" t="s">
        <v>75</v>
      </c>
      <c r="B5" s="254"/>
      <c r="C5" s="254"/>
      <c r="D5" s="254"/>
      <c r="E5" s="254"/>
      <c r="F5" s="254"/>
      <c r="G5" s="254"/>
      <c r="H5" s="254"/>
      <c r="I5" s="27"/>
      <c r="J5" s="27"/>
      <c r="K5" s="25"/>
      <c r="L5" s="27"/>
      <c r="O5" s="88" t="s">
        <v>23</v>
      </c>
      <c r="P5" s="88"/>
      <c r="Q5" s="88"/>
    </row>
    <row r="6" spans="1:46" ht="15" customHeight="1">
      <c r="A6" s="134" t="s">
        <v>42</v>
      </c>
      <c r="B6" s="170" t="s">
        <v>104</v>
      </c>
      <c r="C6" s="170" t="s">
        <v>57</v>
      </c>
      <c r="D6" s="170" t="s">
        <v>56</v>
      </c>
      <c r="E6" s="170" t="s">
        <v>60</v>
      </c>
      <c r="F6" s="170" t="s">
        <v>61</v>
      </c>
      <c r="G6" s="170" t="s">
        <v>62</v>
      </c>
      <c r="H6" s="170" t="s">
        <v>65</v>
      </c>
      <c r="I6" s="133" t="s">
        <v>66</v>
      </c>
      <c r="J6" s="133" t="s">
        <v>63</v>
      </c>
      <c r="K6" s="133" t="s">
        <v>64</v>
      </c>
      <c r="L6" s="133" t="s">
        <v>67</v>
      </c>
      <c r="M6" s="133" t="s">
        <v>68</v>
      </c>
      <c r="N6" s="133" t="s">
        <v>69</v>
      </c>
      <c r="O6" s="133" t="s">
        <v>74</v>
      </c>
      <c r="P6" s="170" t="s">
        <v>141</v>
      </c>
      <c r="Q6" s="170" t="s">
        <v>142</v>
      </c>
      <c r="R6" s="133" t="s">
        <v>44</v>
      </c>
      <c r="S6" s="133" t="s">
        <v>72</v>
      </c>
      <c r="T6" s="135" t="s">
        <v>73</v>
      </c>
      <c r="U6" s="26" t="s">
        <v>116</v>
      </c>
      <c r="V6" s="26" t="s">
        <v>117</v>
      </c>
      <c r="W6" s="26" t="s">
        <v>118</v>
      </c>
      <c r="X6" s="26" t="s">
        <v>125</v>
      </c>
      <c r="Y6" s="26" t="s">
        <v>119</v>
      </c>
      <c r="Z6" s="26" t="s">
        <v>120</v>
      </c>
      <c r="AA6" s="26" t="s">
        <v>124</v>
      </c>
      <c r="AB6" s="26" t="s">
        <v>121</v>
      </c>
      <c r="AC6" s="26" t="s">
        <v>122</v>
      </c>
      <c r="AD6" s="142" t="s">
        <v>123</v>
      </c>
    </row>
    <row r="7" spans="1:46" ht="15" hidden="1" customHeight="1">
      <c r="A7" s="108" t="s">
        <v>114</v>
      </c>
      <c r="B7" s="110">
        <v>0</v>
      </c>
      <c r="C7" s="120">
        <v>0</v>
      </c>
      <c r="D7" s="120">
        <v>0</v>
      </c>
      <c r="E7" s="120">
        <v>0</v>
      </c>
      <c r="F7" s="120">
        <v>0</v>
      </c>
      <c r="G7" s="120">
        <v>0</v>
      </c>
      <c r="H7" s="120">
        <v>0</v>
      </c>
      <c r="I7" s="120">
        <v>0</v>
      </c>
      <c r="J7" s="120">
        <v>0</v>
      </c>
      <c r="K7" s="120">
        <v>0</v>
      </c>
      <c r="L7" s="120">
        <v>0</v>
      </c>
      <c r="M7" s="120">
        <v>0</v>
      </c>
      <c r="N7" s="120">
        <v>0</v>
      </c>
      <c r="O7" s="120">
        <v>0</v>
      </c>
      <c r="P7" s="176">
        <v>-40</v>
      </c>
      <c r="Q7" s="176">
        <v>125</v>
      </c>
      <c r="R7" s="120">
        <v>1</v>
      </c>
      <c r="S7" s="138">
        <v>1</v>
      </c>
      <c r="T7" s="121">
        <v>0</v>
      </c>
      <c r="U7" s="139">
        <f t="shared" ref="U7:U22" si="0">ROW()-6</f>
        <v>1</v>
      </c>
      <c r="V7" s="139">
        <f>IF(OR($AH$12=Devices[[#This Row],[Input Type]], 0=Devices[[#This Row],[Input Type]]), Devices[[#This Row],[Row Num]], " ")</f>
        <v>1</v>
      </c>
      <c r="W7" s="139">
        <f>IF(OR($AH$13=Devices[[#This Row],[Input Type]], 0=Devices[[#This Row],[Input Type]]), Devices[[#This Row],[Row Num]], " ")</f>
        <v>1</v>
      </c>
      <c r="X7" s="139">
        <f>IF(0=Devices[[#This Row],[Input Type]], Devices[[#This Row],[Row Num]], " ")</f>
        <v>1</v>
      </c>
      <c r="Y7" s="140">
        <f>IFERROR(SMALL(Devices[Row Sel D], Devices[[#This Row],[Row Num]]), " ")</f>
        <v>1</v>
      </c>
      <c r="Z7" s="140">
        <f>IFERROR(SMALL(Devices[Row Sel SE], Devices[[#This Row],[Row Num]]), " ")</f>
        <v>1</v>
      </c>
      <c r="AA7" s="140">
        <f>IFERROR(SMALL(Devices[Row Sel N], Devices[[#This Row],[Row Num]]), " ")</f>
        <v>1</v>
      </c>
      <c r="AB7" s="140" t="str">
        <f>IFERROR(INDEX(Devices[Part], Devices[[#This Row],[Sel D]], 1), "")</f>
        <v>[Select Device]</v>
      </c>
      <c r="AC7" s="140" t="str">
        <f>IFERROR(INDEX(Devices[Part], Devices[[#This Row],[Sel SE]], 1), "")</f>
        <v>[Select Device]</v>
      </c>
      <c r="AD7" s="141" t="str">
        <f>IFERROR(INDEX(Devices[Part], Devices[[#This Row],[Sel N]], 1), "")</f>
        <v>[Select Device]</v>
      </c>
      <c r="AF7" s="150"/>
    </row>
    <row r="8" spans="1:46" ht="15" customHeight="1">
      <c r="A8" s="102" t="s">
        <v>38</v>
      </c>
      <c r="B8" s="109" t="s">
        <v>105</v>
      </c>
      <c r="C8" s="112">
        <v>4.0000000000000001E-3</v>
      </c>
      <c r="D8" s="112">
        <v>0.01</v>
      </c>
      <c r="E8" s="113">
        <v>50</v>
      </c>
      <c r="F8" s="113">
        <v>150</v>
      </c>
      <c r="G8" s="114">
        <v>0.01</v>
      </c>
      <c r="H8" s="114">
        <v>2</v>
      </c>
      <c r="I8" s="115">
        <v>1.3</v>
      </c>
      <c r="J8" s="115">
        <v>4</v>
      </c>
      <c r="K8" s="116">
        <v>1E-4</v>
      </c>
      <c r="L8" s="116">
        <v>2.9999999999999997E-4</v>
      </c>
      <c r="M8" s="113">
        <v>1</v>
      </c>
      <c r="N8" s="113">
        <v>3</v>
      </c>
      <c r="O8" s="117">
        <v>250</v>
      </c>
      <c r="P8" s="171">
        <v>-40</v>
      </c>
      <c r="Q8" s="171">
        <v>125</v>
      </c>
      <c r="R8" s="79">
        <v>12500</v>
      </c>
      <c r="S8" s="118">
        <v>19000</v>
      </c>
      <c r="T8" s="122">
        <v>30</v>
      </c>
      <c r="U8" s="139">
        <f t="shared" si="0"/>
        <v>2</v>
      </c>
      <c r="V8" s="139">
        <f>IF(OR($AH$12=Devices[[#This Row],[Input Type]], 0=Devices[[#This Row],[Input Type]]), Devices[[#This Row],[Row Num]], " ")</f>
        <v>2</v>
      </c>
      <c r="W8" s="139" t="str">
        <f>IF(OR($AH$13=Devices[[#This Row],[Input Type]], 0=Devices[[#This Row],[Input Type]]), Devices[[#This Row],[Row Num]], " ")</f>
        <v xml:space="preserve"> </v>
      </c>
      <c r="X8" s="139" t="str">
        <f>IF(0=Devices[[#This Row],[Input Type]], Devices[[#This Row],[Row Num]], " ")</f>
        <v xml:space="preserve"> </v>
      </c>
      <c r="Y8" s="140">
        <f>IFERROR(SMALL(Devices[Row Sel D], Devices[[#This Row],[Row Num]]), " ")</f>
        <v>2</v>
      </c>
      <c r="Z8" s="140">
        <f>IFERROR(SMALL(Devices[Row Sel SE], Devices[[#This Row],[Row Num]]), " ")</f>
        <v>9</v>
      </c>
      <c r="AA8" s="140" t="str">
        <f>IFERROR(SMALL(Devices[Row Sel N], Devices[[#This Row],[Row Num]]), " ")</f>
        <v xml:space="preserve"> </v>
      </c>
      <c r="AB8" s="140" t="str">
        <f>IFERROR(INDEX(Devices[Part], Devices[[#This Row],[Sel D]], 1), "")</f>
        <v>AMC1300</v>
      </c>
      <c r="AC8" s="140" t="str">
        <f>IFERROR(INDEX(Devices[Part], Devices[[#This Row],[Sel SE]], 1), "")</f>
        <v>AMC1311</v>
      </c>
      <c r="AD8" s="141" t="str">
        <f>IFERROR(INDEX(Devices[Part], Devices[[#This Row],[Sel N]], 1), "")</f>
        <v/>
      </c>
    </row>
    <row r="9" spans="1:46" ht="15" customHeight="1">
      <c r="A9" s="44" t="s">
        <v>130</v>
      </c>
      <c r="B9" s="131" t="s">
        <v>105</v>
      </c>
      <c r="C9" s="129">
        <v>5.0000000000000001E-4</v>
      </c>
      <c r="D9" s="30">
        <v>3.0000000000000001E-3</v>
      </c>
      <c r="E9" s="38">
        <v>15</v>
      </c>
      <c r="F9" s="38">
        <v>50</v>
      </c>
      <c r="G9" s="40">
        <v>0.01</v>
      </c>
      <c r="H9" s="40">
        <v>0.2</v>
      </c>
      <c r="I9" s="42">
        <v>1</v>
      </c>
      <c r="J9" s="42">
        <v>3</v>
      </c>
      <c r="K9" s="30">
        <v>1.0000000000000001E-5</v>
      </c>
      <c r="L9" s="30">
        <v>2.9999999999999997E-4</v>
      </c>
      <c r="M9" s="38">
        <v>1</v>
      </c>
      <c r="N9" s="38">
        <v>3</v>
      </c>
      <c r="O9" s="83">
        <v>250</v>
      </c>
      <c r="P9" s="172">
        <v>-55</v>
      </c>
      <c r="Q9" s="172">
        <v>125</v>
      </c>
      <c r="R9" s="79">
        <v>12500</v>
      </c>
      <c r="S9" s="79">
        <v>19000</v>
      </c>
      <c r="T9" s="130">
        <v>30</v>
      </c>
      <c r="U9" s="140">
        <f>ROW()-6</f>
        <v>3</v>
      </c>
      <c r="V9" s="140">
        <f>IF(OR($AH$12=Devices[[#This Row],[Input Type]], 0=Devices[[#This Row],[Input Type]]), Devices[[#This Row],[Row Num]], " ")</f>
        <v>3</v>
      </c>
      <c r="W9" s="140" t="str">
        <f>IF(OR($AH$13=Devices[[#This Row],[Input Type]], 0=Devices[[#This Row],[Input Type]]), Devices[[#This Row],[Row Num]], " ")</f>
        <v xml:space="preserve"> </v>
      </c>
      <c r="X9" s="140" t="str">
        <f>IF(0=Devices[[#This Row],[Input Type]], Devices[[#This Row],[Row Num]], " ")</f>
        <v xml:space="preserve"> </v>
      </c>
      <c r="Y9" s="140">
        <f>IFERROR(SMALL(Devices[Row Sel D], Devices[[#This Row],[Row Num]]), " ")</f>
        <v>3</v>
      </c>
      <c r="Z9" s="140">
        <f>IFERROR(SMALL(Devices[Row Sel SE], Devices[[#This Row],[Row Num]]), " ")</f>
        <v>10</v>
      </c>
      <c r="AA9" s="140" t="str">
        <f>IFERROR(SMALL(Devices[Row Sel N], Devices[[#This Row],[Row Num]]), " ")</f>
        <v xml:space="preserve"> </v>
      </c>
      <c r="AB9" s="140" t="str">
        <f>IFERROR(INDEX(Devices[Part], Devices[[#This Row],[Sel D]], 1), "")</f>
        <v>AMC1300B</v>
      </c>
      <c r="AC9" s="140" t="str">
        <f>IFERROR(INDEX(Devices[Part], Devices[[#This Row],[Sel SE]], 1), "")</f>
        <v>AMC1311B</v>
      </c>
      <c r="AD9" s="140" t="str">
        <f>IFERROR(INDEX(Devices[Part], Devices[[#This Row],[Sel N]], 1), "")</f>
        <v/>
      </c>
    </row>
    <row r="10" spans="1:46" ht="15" customHeight="1">
      <c r="A10" s="102" t="s">
        <v>115</v>
      </c>
      <c r="B10" s="109" t="s">
        <v>105</v>
      </c>
      <c r="C10" s="112">
        <v>4.0000000000000001E-3</v>
      </c>
      <c r="D10" s="112">
        <v>0.01</v>
      </c>
      <c r="E10" s="113">
        <v>50</v>
      </c>
      <c r="F10" s="113">
        <v>150</v>
      </c>
      <c r="G10" s="114">
        <v>0.01</v>
      </c>
      <c r="H10" s="114">
        <v>2</v>
      </c>
      <c r="I10" s="115">
        <v>1.3</v>
      </c>
      <c r="J10" s="115">
        <v>4</v>
      </c>
      <c r="K10" s="116">
        <v>1E-4</v>
      </c>
      <c r="L10" s="116">
        <v>2.9999999999999997E-4</v>
      </c>
      <c r="M10" s="113">
        <v>1</v>
      </c>
      <c r="N10" s="113">
        <v>3</v>
      </c>
      <c r="O10" s="117">
        <v>250</v>
      </c>
      <c r="P10" s="171">
        <v>-40</v>
      </c>
      <c r="Q10" s="171">
        <v>125</v>
      </c>
      <c r="R10" s="79">
        <v>12500</v>
      </c>
      <c r="S10" s="118">
        <v>19000</v>
      </c>
      <c r="T10" s="122">
        <v>30</v>
      </c>
      <c r="U10" s="139">
        <f t="shared" si="0"/>
        <v>4</v>
      </c>
      <c r="V10" s="139">
        <f>IF(OR($AH$12=Devices[[#This Row],[Input Type]], 0=Devices[[#This Row],[Input Type]]), Devices[[#This Row],[Row Num]], " ")</f>
        <v>4</v>
      </c>
      <c r="W10" s="139" t="str">
        <f>IF(OR($AH$13=Devices[[#This Row],[Input Type]], 0=Devices[[#This Row],[Input Type]]), Devices[[#This Row],[Row Num]], " ")</f>
        <v xml:space="preserve"> </v>
      </c>
      <c r="X10" s="139" t="str">
        <f>IF(0=Devices[[#This Row],[Input Type]], Devices[[#This Row],[Row Num]], " ")</f>
        <v xml:space="preserve"> </v>
      </c>
      <c r="Y10" s="140">
        <f>IFERROR(SMALL(Devices[Row Sel D], Devices[[#This Row],[Row Num]]), " ")</f>
        <v>4</v>
      </c>
      <c r="Z10" s="140">
        <f>IFERROR(SMALL(Devices[Row Sel SE], Devices[[#This Row],[Row Num]]), " ")</f>
        <v>11</v>
      </c>
      <c r="AA10" s="140" t="str">
        <f>IFERROR(SMALL(Devices[Row Sel N], Devices[[#This Row],[Row Num]]), " ")</f>
        <v xml:space="preserve"> </v>
      </c>
      <c r="AB10" s="140" t="str">
        <f>IFERROR(INDEX(Devices[Part], Devices[[#This Row],[Sel D]], 1), "")</f>
        <v>AMC1300-Q1</v>
      </c>
      <c r="AC10" s="140" t="str">
        <f>IFERROR(INDEX(Devices[Part], Devices[[#This Row],[Sel SE]], 1), "")</f>
        <v>AMC1311-Q1</v>
      </c>
      <c r="AD10" s="141" t="str">
        <f>IFERROR(INDEX(Devices[Part], Devices[[#This Row],[Sel N]], 1), "")</f>
        <v/>
      </c>
      <c r="AH10" t="s">
        <v>104</v>
      </c>
    </row>
    <row r="11" spans="1:46" ht="15" customHeight="1">
      <c r="A11" s="102" t="s">
        <v>39</v>
      </c>
      <c r="B11" s="110" t="s">
        <v>105</v>
      </c>
      <c r="C11" s="30">
        <v>5.0000000000000001E-4</v>
      </c>
      <c r="D11" s="30">
        <v>3.0000000000000001E-3</v>
      </c>
      <c r="E11" s="38">
        <v>15</v>
      </c>
      <c r="F11" s="38">
        <v>50</v>
      </c>
      <c r="G11" s="40">
        <v>0.05</v>
      </c>
      <c r="H11" s="40">
        <v>0.2</v>
      </c>
      <c r="I11" s="42">
        <v>1</v>
      </c>
      <c r="J11" s="42">
        <v>3</v>
      </c>
      <c r="K11" s="30">
        <v>1E-4</v>
      </c>
      <c r="L11" s="30">
        <v>2.9999999999999997E-4</v>
      </c>
      <c r="M11" s="38">
        <v>1</v>
      </c>
      <c r="N11" s="38">
        <v>3</v>
      </c>
      <c r="O11" s="83">
        <v>250</v>
      </c>
      <c r="P11" s="172">
        <v>-40</v>
      </c>
      <c r="Q11" s="172">
        <v>125</v>
      </c>
      <c r="R11" s="79">
        <v>12500</v>
      </c>
      <c r="S11" s="79">
        <v>18000</v>
      </c>
      <c r="T11" s="123">
        <v>30</v>
      </c>
      <c r="U11" s="139">
        <f t="shared" si="0"/>
        <v>5</v>
      </c>
      <c r="V11" s="139">
        <f>IF(OR($AH$12=Devices[[#This Row],[Input Type]], 0=Devices[[#This Row],[Input Type]]), Devices[[#This Row],[Row Num]], " ")</f>
        <v>5</v>
      </c>
      <c r="W11" s="139" t="str">
        <f>IF(OR($AH$13=Devices[[#This Row],[Input Type]], 0=Devices[[#This Row],[Input Type]]), Devices[[#This Row],[Row Num]], " ")</f>
        <v xml:space="preserve"> </v>
      </c>
      <c r="X11" s="139" t="str">
        <f>IF(0=Devices[[#This Row],[Input Type]], Devices[[#This Row],[Row Num]], " ")</f>
        <v xml:space="preserve"> </v>
      </c>
      <c r="Y11" s="140">
        <f>IFERROR(SMALL(Devices[Row Sel D], Devices[[#This Row],[Row Num]]), " ")</f>
        <v>5</v>
      </c>
      <c r="Z11" s="140">
        <f>IFERROR(SMALL(Devices[Row Sel SE], Devices[[#This Row],[Row Num]]), " ")</f>
        <v>12</v>
      </c>
      <c r="AA11" s="140" t="str">
        <f>IFERROR(SMALL(Devices[Row Sel N], Devices[[#This Row],[Row Num]]), " ")</f>
        <v xml:space="preserve"> </v>
      </c>
      <c r="AB11" s="140" t="str">
        <f>IFERROR(INDEX(Devices[Part], Devices[[#This Row],[Sel D]], 1), "")</f>
        <v>AMC1301</v>
      </c>
      <c r="AC11" s="140" t="str">
        <f>IFERROR(INDEX(Devices[Part], Devices[[#This Row],[Sel SE]], 1), "")</f>
        <v>AMC1311B-Q1</v>
      </c>
      <c r="AD11" s="141" t="str">
        <f>IFERROR(INDEX(Devices[Part], Devices[[#This Row],[Sel N]], 1), "")</f>
        <v/>
      </c>
    </row>
    <row r="12" spans="1:46" ht="15" customHeight="1">
      <c r="A12" s="44" t="s">
        <v>129</v>
      </c>
      <c r="B12" s="119" t="s">
        <v>105</v>
      </c>
      <c r="C12" s="129">
        <v>5.0000000000000001E-4</v>
      </c>
      <c r="D12" s="30">
        <v>3.0000000000000001E-3</v>
      </c>
      <c r="E12" s="38">
        <v>15</v>
      </c>
      <c r="F12" s="38">
        <v>60</v>
      </c>
      <c r="G12" s="40">
        <v>0.05</v>
      </c>
      <c r="H12" s="40">
        <v>0.2</v>
      </c>
      <c r="I12" s="42">
        <v>1</v>
      </c>
      <c r="J12" s="42">
        <v>4</v>
      </c>
      <c r="K12" s="30">
        <v>1E-4</v>
      </c>
      <c r="L12" s="30">
        <v>2.9999999999999997E-4</v>
      </c>
      <c r="M12" s="38">
        <v>1</v>
      </c>
      <c r="N12" s="38">
        <v>3</v>
      </c>
      <c r="O12" s="83">
        <v>250</v>
      </c>
      <c r="P12" s="172">
        <v>-55</v>
      </c>
      <c r="Q12" s="172">
        <v>125</v>
      </c>
      <c r="R12" s="79">
        <v>12500</v>
      </c>
      <c r="S12" s="79">
        <v>18000</v>
      </c>
      <c r="T12" s="130">
        <v>30</v>
      </c>
      <c r="U12" s="140">
        <f>ROW()-6</f>
        <v>6</v>
      </c>
      <c r="V12" s="140">
        <f>IF(OR($AH$12=Devices[[#This Row],[Input Type]], 0=Devices[[#This Row],[Input Type]]), Devices[[#This Row],[Row Num]], " ")</f>
        <v>6</v>
      </c>
      <c r="W12" s="140" t="str">
        <f>IF(OR($AH$13=Devices[[#This Row],[Input Type]], 0=Devices[[#This Row],[Input Type]]), Devices[[#This Row],[Row Num]], " ")</f>
        <v xml:space="preserve"> </v>
      </c>
      <c r="X12" s="140" t="str">
        <f>IF(0=Devices[[#This Row],[Input Type]], Devices[[#This Row],[Row Num]], " ")</f>
        <v xml:space="preserve"> </v>
      </c>
      <c r="Y12" s="140">
        <f>IFERROR(SMALL(Devices[Row Sel D], Devices[[#This Row],[Row Num]]), " ")</f>
        <v>6</v>
      </c>
      <c r="Z12" s="140">
        <f>IFERROR(SMALL(Devices[Row Sel SE], Devices[[#This Row],[Row Num]]), " ")</f>
        <v>13</v>
      </c>
      <c r="AA12" s="140" t="str">
        <f>IFERROR(SMALL(Devices[Row Sel N], Devices[[#This Row],[Row Num]]), " ")</f>
        <v xml:space="preserve"> </v>
      </c>
      <c r="AB12" s="140" t="str">
        <f>IFERROR(INDEX(Devices[Part], Devices[[#This Row],[Sel D]], 1), "")</f>
        <v>AMC1301S</v>
      </c>
      <c r="AC12" s="140" t="str">
        <f>IFERROR(INDEX(Devices[Part], Devices[[#This Row],[Sel SE]], 1), "")</f>
        <v>AMC1211-Q1</v>
      </c>
      <c r="AD12" s="140" t="str">
        <f>IFERROR(INDEX(Devices[Part], Devices[[#This Row],[Sel N]], 1), "")</f>
        <v/>
      </c>
      <c r="AH12" t="s">
        <v>105</v>
      </c>
    </row>
    <row r="13" spans="1:46" ht="15" customHeight="1">
      <c r="A13" s="102" t="s">
        <v>41</v>
      </c>
      <c r="B13" s="110" t="s">
        <v>105</v>
      </c>
      <c r="C13" s="30">
        <v>5.0000000000000001E-4</v>
      </c>
      <c r="D13" s="30">
        <v>3.0000000000000001E-3</v>
      </c>
      <c r="E13" s="38">
        <v>15</v>
      </c>
      <c r="F13" s="38">
        <v>50</v>
      </c>
      <c r="G13" s="40">
        <v>0.05</v>
      </c>
      <c r="H13" s="40">
        <v>0.2</v>
      </c>
      <c r="I13" s="42">
        <v>1</v>
      </c>
      <c r="J13" s="42">
        <v>3</v>
      </c>
      <c r="K13" s="30">
        <v>1E-4</v>
      </c>
      <c r="L13" s="30">
        <v>2.9999999999999997E-4</v>
      </c>
      <c r="M13" s="38">
        <v>1</v>
      </c>
      <c r="N13" s="38">
        <v>3</v>
      </c>
      <c r="O13" s="83">
        <v>250</v>
      </c>
      <c r="P13" s="172">
        <v>-40</v>
      </c>
      <c r="Q13" s="172">
        <v>125</v>
      </c>
      <c r="R13" s="79">
        <v>12500</v>
      </c>
      <c r="S13" s="79">
        <v>18000</v>
      </c>
      <c r="T13" s="123">
        <v>30</v>
      </c>
      <c r="U13" s="139">
        <f t="shared" si="0"/>
        <v>7</v>
      </c>
      <c r="V13" s="139">
        <f>IF(OR($AH$12=Devices[[#This Row],[Input Type]], 0=Devices[[#This Row],[Input Type]]), Devices[[#This Row],[Row Num]], " ")</f>
        <v>7</v>
      </c>
      <c r="W13" s="139" t="str">
        <f>IF(OR($AH$13=Devices[[#This Row],[Input Type]], 0=Devices[[#This Row],[Input Type]]), Devices[[#This Row],[Row Num]], " ")</f>
        <v xml:space="preserve"> </v>
      </c>
      <c r="X13" s="139" t="str">
        <f>IF(0=Devices[[#This Row],[Input Type]], Devices[[#This Row],[Row Num]], " ")</f>
        <v xml:space="preserve"> </v>
      </c>
      <c r="Y13" s="140">
        <f>IFERROR(SMALL(Devices[Row Sel D], Devices[[#This Row],[Row Num]]), " ")</f>
        <v>7</v>
      </c>
      <c r="Z13" s="140">
        <f>IFERROR(SMALL(Devices[Row Sel SE], Devices[[#This Row],[Row Num]]), " ")</f>
        <v>16</v>
      </c>
      <c r="AA13" s="140" t="str">
        <f>IFERROR(SMALL(Devices[Row Sel N], Devices[[#This Row],[Row Num]]), " ")</f>
        <v xml:space="preserve"> </v>
      </c>
      <c r="AB13" s="140" t="str">
        <f>IFERROR(INDEX(Devices[Part], Devices[[#This Row],[Sel D]], 1), "")</f>
        <v>AMC1301-Q1</v>
      </c>
      <c r="AC13" s="140" t="str">
        <f>IFERROR(INDEX(Devices[Part], Devices[[#This Row],[Sel SE]], 1), "")</f>
        <v>ISO224A</v>
      </c>
      <c r="AD13" s="141" t="str">
        <f>IFERROR(INDEX(Devices[Part], Devices[[#This Row],[Sel N]], 1), "")</f>
        <v/>
      </c>
      <c r="AH13" t="s">
        <v>106</v>
      </c>
    </row>
    <row r="14" spans="1:46" ht="15" customHeight="1">
      <c r="A14" s="103" t="s">
        <v>40</v>
      </c>
      <c r="B14" s="110" t="s">
        <v>105</v>
      </c>
      <c r="C14" s="30">
        <v>5.0000000000000001E-4</v>
      </c>
      <c r="D14" s="37">
        <v>3.0000000000000001E-3</v>
      </c>
      <c r="E14" s="39">
        <v>15</v>
      </c>
      <c r="F14" s="39">
        <v>50</v>
      </c>
      <c r="G14" s="41">
        <v>0.01</v>
      </c>
      <c r="H14" s="41">
        <v>0.1</v>
      </c>
      <c r="I14" s="43">
        <v>0.15</v>
      </c>
      <c r="J14" s="43">
        <v>0.8</v>
      </c>
      <c r="K14" s="37">
        <v>1E-4</v>
      </c>
      <c r="L14" s="37">
        <v>2.9999999999999997E-4</v>
      </c>
      <c r="M14" s="39">
        <v>1</v>
      </c>
      <c r="N14" s="39">
        <v>3</v>
      </c>
      <c r="O14" s="84">
        <v>50</v>
      </c>
      <c r="P14" s="173">
        <v>-55</v>
      </c>
      <c r="Q14" s="173">
        <v>125</v>
      </c>
      <c r="R14" s="79">
        <v>2500</v>
      </c>
      <c r="S14" s="80">
        <v>4750</v>
      </c>
      <c r="T14" s="124">
        <v>36</v>
      </c>
      <c r="U14" s="139">
        <f t="shared" si="0"/>
        <v>8</v>
      </c>
      <c r="V14" s="139">
        <f>IF(OR($AH$12=Devices[[#This Row],[Input Type]], 0=Devices[[#This Row],[Input Type]]), Devices[[#This Row],[Row Num]], " ")</f>
        <v>8</v>
      </c>
      <c r="W14" s="139" t="str">
        <f>IF(OR($AH$13=Devices[[#This Row],[Input Type]], 0=Devices[[#This Row],[Input Type]]), Devices[[#This Row],[Row Num]], " ")</f>
        <v xml:space="preserve"> </v>
      </c>
      <c r="X14" s="139" t="str">
        <f>IF(0=Devices[[#This Row],[Input Type]], Devices[[#This Row],[Row Num]], " ")</f>
        <v xml:space="preserve"> </v>
      </c>
      <c r="Y14" s="140">
        <f>IFERROR(SMALL(Devices[Row Sel D], Devices[[#This Row],[Row Num]]), " ")</f>
        <v>8</v>
      </c>
      <c r="Z14" s="140">
        <f>IFERROR(SMALL(Devices[Row Sel SE], Devices[[#This Row],[Row Num]]), " ")</f>
        <v>17</v>
      </c>
      <c r="AA14" s="140" t="str">
        <f>IFERROR(SMALL(Devices[Row Sel N], Devices[[#This Row],[Row Num]]), " ")</f>
        <v xml:space="preserve"> </v>
      </c>
      <c r="AB14" s="140" t="str">
        <f>IFERROR(INDEX(Devices[Part], Devices[[#This Row],[Sel D]], 1), "")</f>
        <v>AMC1302</v>
      </c>
      <c r="AC14" s="140" t="str">
        <f>IFERROR(INDEX(Devices[Part], Devices[[#This Row],[Sel SE]], 1), "")</f>
        <v>ISO224B</v>
      </c>
      <c r="AD14" s="141" t="str">
        <f>IFERROR(INDEX(Devices[Part], Devices[[#This Row],[Sel N]], 1), "")</f>
        <v/>
      </c>
    </row>
    <row r="15" spans="1:46" ht="15" customHeight="1">
      <c r="A15" s="104" t="s">
        <v>89</v>
      </c>
      <c r="B15" s="111" t="s">
        <v>106</v>
      </c>
      <c r="C15" s="72">
        <v>4.0000000000000002E-4</v>
      </c>
      <c r="D15" s="72">
        <v>0.01</v>
      </c>
      <c r="E15" s="73">
        <v>30</v>
      </c>
      <c r="F15" s="73">
        <v>90</v>
      </c>
      <c r="G15" s="74">
        <v>0.4</v>
      </c>
      <c r="H15" s="74">
        <v>9.9</v>
      </c>
      <c r="I15" s="75">
        <v>20</v>
      </c>
      <c r="J15" s="75">
        <v>60</v>
      </c>
      <c r="K15" s="72">
        <v>1E-4</v>
      </c>
      <c r="L15" s="72">
        <v>4.0000000000000002E-4</v>
      </c>
      <c r="M15" s="73">
        <v>1</v>
      </c>
      <c r="N15" s="73">
        <v>3</v>
      </c>
      <c r="O15" s="85">
        <v>2000</v>
      </c>
      <c r="P15" s="174">
        <v>-40</v>
      </c>
      <c r="Q15" s="174">
        <v>125</v>
      </c>
      <c r="R15" s="107"/>
      <c r="S15" s="81">
        <v>1000000000</v>
      </c>
      <c r="T15" s="144">
        <v>3.5000000000000001E-3</v>
      </c>
      <c r="U15" s="139">
        <f t="shared" si="0"/>
        <v>9</v>
      </c>
      <c r="V15" s="139" t="str">
        <f>IF(OR($AH$12=Devices[[#This Row],[Input Type]], 0=Devices[[#This Row],[Input Type]]), Devices[[#This Row],[Row Num]], " ")</f>
        <v xml:space="preserve"> </v>
      </c>
      <c r="W15" s="139">
        <f>IF(OR($AH$13=Devices[[#This Row],[Input Type]], 0=Devices[[#This Row],[Input Type]]), Devices[[#This Row],[Row Num]], " ")</f>
        <v>9</v>
      </c>
      <c r="X15" s="139" t="str">
        <f>IF(0=Devices[[#This Row],[Input Type]], Devices[[#This Row],[Row Num]], " ")</f>
        <v xml:space="preserve"> </v>
      </c>
      <c r="Y15" s="140">
        <f>IFERROR(SMALL(Devices[Row Sel D], Devices[[#This Row],[Row Num]]), " ")</f>
        <v>15</v>
      </c>
      <c r="Z15" s="140" t="str">
        <f>IFERROR(SMALL(Devices[Row Sel SE], Devices[[#This Row],[Row Num]]), " ")</f>
        <v xml:space="preserve"> </v>
      </c>
      <c r="AA15" s="140" t="str">
        <f>IFERROR(SMALL(Devices[Row Sel N], Devices[[#This Row],[Row Num]]), " ")</f>
        <v xml:space="preserve"> </v>
      </c>
      <c r="AB15" s="140" t="str">
        <f>IFERROR(INDEX(Devices[Part], Devices[[#This Row],[Sel D]], 1), "")</f>
        <v>AMC3301</v>
      </c>
      <c r="AC15" s="140" t="str">
        <f>IFERROR(INDEX(Devices[Part], Devices[[#This Row],[Sel SE]], 1), "")</f>
        <v/>
      </c>
      <c r="AD15" s="141" t="str">
        <f>IFERROR(INDEX(Devices[Part], Devices[[#This Row],[Sel N]], 1), "")</f>
        <v/>
      </c>
    </row>
    <row r="16" spans="1:46" ht="15" customHeight="1">
      <c r="A16" s="76" t="s">
        <v>131</v>
      </c>
      <c r="B16" s="132" t="s">
        <v>106</v>
      </c>
      <c r="C16" s="129">
        <v>5.0000000000000001E-4</v>
      </c>
      <c r="D16" s="30">
        <v>3.0000000000000001E-3</v>
      </c>
      <c r="E16" s="38">
        <v>5</v>
      </c>
      <c r="F16" s="38">
        <v>45</v>
      </c>
      <c r="G16" s="40">
        <v>1.1000000000000001</v>
      </c>
      <c r="H16" s="40">
        <v>2.5</v>
      </c>
      <c r="I16" s="42">
        <v>3</v>
      </c>
      <c r="J16" s="42">
        <v>15</v>
      </c>
      <c r="K16" s="30">
        <v>1E-4</v>
      </c>
      <c r="L16" s="30">
        <v>4.0000000000000002E-4</v>
      </c>
      <c r="M16" s="38">
        <v>1</v>
      </c>
      <c r="N16" s="38">
        <v>3</v>
      </c>
      <c r="O16" s="83">
        <v>2000</v>
      </c>
      <c r="P16" s="172">
        <v>-55</v>
      </c>
      <c r="Q16" s="172">
        <v>125</v>
      </c>
      <c r="R16" s="143"/>
      <c r="S16" s="79">
        <v>1000000000</v>
      </c>
      <c r="T16" s="145">
        <v>3.5000000000000001E-3</v>
      </c>
      <c r="U16" s="140">
        <f>ROW()-6</f>
        <v>10</v>
      </c>
      <c r="V16" s="140" t="str">
        <f>IF(OR($AH$12=Devices[[#This Row],[Input Type]], 0=Devices[[#This Row],[Input Type]]), Devices[[#This Row],[Row Num]], " ")</f>
        <v xml:space="preserve"> </v>
      </c>
      <c r="W16" s="140">
        <f>IF(OR($AH$13=Devices[[#This Row],[Input Type]], 0=Devices[[#This Row],[Input Type]]), Devices[[#This Row],[Row Num]], " ")</f>
        <v>10</v>
      </c>
      <c r="X16" s="140" t="str">
        <f>IF(0=Devices[[#This Row],[Input Type]], Devices[[#This Row],[Row Num]], " ")</f>
        <v xml:space="preserve"> </v>
      </c>
      <c r="Y16" s="140" t="str">
        <f>IFERROR(SMALL(Devices[Row Sel D], Devices[[#This Row],[Row Num]]), " ")</f>
        <v xml:space="preserve"> </v>
      </c>
      <c r="Z16" s="140" t="str">
        <f>IFERROR(SMALL(Devices[Row Sel SE], Devices[[#This Row],[Row Num]]), " ")</f>
        <v xml:space="preserve"> </v>
      </c>
      <c r="AA16" s="140" t="str">
        <f>IFERROR(SMALL(Devices[Row Sel N], Devices[[#This Row],[Row Num]]), " ")</f>
        <v xml:space="preserve"> </v>
      </c>
      <c r="AB16" s="140" t="str">
        <f>IFERROR(INDEX(Devices[Part], Devices[[#This Row],[Sel D]], 1), "")</f>
        <v/>
      </c>
      <c r="AC16" s="140" t="str">
        <f>IFERROR(INDEX(Devices[Part], Devices[[#This Row],[Sel SE]], 1), "")</f>
        <v/>
      </c>
      <c r="AD16" s="140" t="str">
        <f>IFERROR(INDEX(Devices[Part], Devices[[#This Row],[Sel N]], 1), "")</f>
        <v/>
      </c>
    </row>
    <row r="17" spans="1:30" ht="15" customHeight="1">
      <c r="A17" s="104" t="s">
        <v>90</v>
      </c>
      <c r="B17" s="111" t="s">
        <v>106</v>
      </c>
      <c r="C17" s="105">
        <v>4.0000000000000002E-4</v>
      </c>
      <c r="D17" s="72">
        <v>0.01</v>
      </c>
      <c r="E17" s="73">
        <v>30</v>
      </c>
      <c r="F17" s="73">
        <v>90</v>
      </c>
      <c r="G17" s="74">
        <v>0.4</v>
      </c>
      <c r="H17" s="74">
        <v>9.9</v>
      </c>
      <c r="I17" s="75">
        <v>20</v>
      </c>
      <c r="J17" s="75">
        <v>60</v>
      </c>
      <c r="K17" s="72">
        <v>1E-4</v>
      </c>
      <c r="L17" s="72">
        <v>4.0000000000000002E-4</v>
      </c>
      <c r="M17" s="73">
        <v>1</v>
      </c>
      <c r="N17" s="73">
        <v>3</v>
      </c>
      <c r="O17" s="85">
        <v>2000</v>
      </c>
      <c r="P17" s="174">
        <v>-40</v>
      </c>
      <c r="Q17" s="174">
        <v>125</v>
      </c>
      <c r="R17" s="107"/>
      <c r="S17" s="81">
        <v>1000000000</v>
      </c>
      <c r="T17" s="144">
        <v>3.5000000000000001E-3</v>
      </c>
      <c r="U17" s="139">
        <f t="shared" si="0"/>
        <v>11</v>
      </c>
      <c r="V17" s="139" t="str">
        <f>IF(OR($AH$12=Devices[[#This Row],[Input Type]], 0=Devices[[#This Row],[Input Type]]), Devices[[#This Row],[Row Num]], " ")</f>
        <v xml:space="preserve"> </v>
      </c>
      <c r="W17" s="139">
        <f>IF(OR($AH$13=Devices[[#This Row],[Input Type]], 0=Devices[[#This Row],[Input Type]]), Devices[[#This Row],[Row Num]], " ")</f>
        <v>11</v>
      </c>
      <c r="X17" s="139" t="str">
        <f>IF(0=Devices[[#This Row],[Input Type]], Devices[[#This Row],[Row Num]], " ")</f>
        <v xml:space="preserve"> </v>
      </c>
      <c r="Y17" s="140" t="str">
        <f>IFERROR(SMALL(Devices[Row Sel D], Devices[[#This Row],[Row Num]]), " ")</f>
        <v xml:space="preserve"> </v>
      </c>
      <c r="Z17" s="140" t="str">
        <f>IFERROR(SMALL(Devices[Row Sel SE], Devices[[#This Row],[Row Num]]), " ")</f>
        <v xml:space="preserve"> </v>
      </c>
      <c r="AA17" s="140" t="str">
        <f>IFERROR(SMALL(Devices[Row Sel N], Devices[[#This Row],[Row Num]]), " ")</f>
        <v xml:space="preserve"> </v>
      </c>
      <c r="AB17" s="140" t="str">
        <f>IFERROR(INDEX(Devices[Part], Devices[[#This Row],[Sel D]], 1), "")</f>
        <v/>
      </c>
      <c r="AC17" s="140" t="str">
        <f>IFERROR(INDEX(Devices[Part], Devices[[#This Row],[Sel SE]], 1), "")</f>
        <v/>
      </c>
      <c r="AD17" s="141" t="str">
        <f>IFERROR(INDEX(Devices[Part], Devices[[#This Row],[Sel N]], 1), "")</f>
        <v/>
      </c>
    </row>
    <row r="18" spans="1:30" ht="15" customHeight="1">
      <c r="A18" s="76" t="s">
        <v>132</v>
      </c>
      <c r="B18" s="132" t="s">
        <v>106</v>
      </c>
      <c r="C18" s="129">
        <v>5.0000000000000001E-4</v>
      </c>
      <c r="D18" s="30">
        <v>3.0000000000000001E-3</v>
      </c>
      <c r="E18" s="38">
        <v>5</v>
      </c>
      <c r="F18" s="38">
        <v>45</v>
      </c>
      <c r="G18" s="40">
        <v>1.1000000000000001</v>
      </c>
      <c r="H18" s="40">
        <v>2.5</v>
      </c>
      <c r="I18" s="42">
        <v>3</v>
      </c>
      <c r="J18" s="42">
        <v>15</v>
      </c>
      <c r="K18" s="30">
        <v>1E-4</v>
      </c>
      <c r="L18" s="30">
        <v>4.0000000000000002E-4</v>
      </c>
      <c r="M18" s="38">
        <v>1</v>
      </c>
      <c r="N18" s="38">
        <v>3</v>
      </c>
      <c r="O18" s="83">
        <v>2000</v>
      </c>
      <c r="P18" s="172">
        <v>-40</v>
      </c>
      <c r="Q18" s="172">
        <v>125</v>
      </c>
      <c r="R18" s="143"/>
      <c r="S18" s="81">
        <v>1000000000</v>
      </c>
      <c r="T18" s="144">
        <v>3.5000000000000001E-3</v>
      </c>
      <c r="U18" s="140">
        <f>ROW()-6</f>
        <v>12</v>
      </c>
      <c r="V18" s="140" t="str">
        <f>IF(OR($AH$12=Devices[[#This Row],[Input Type]], 0=Devices[[#This Row],[Input Type]]), Devices[[#This Row],[Row Num]], " ")</f>
        <v xml:space="preserve"> </v>
      </c>
      <c r="W18" s="140">
        <f>IF(OR($AH$13=Devices[[#This Row],[Input Type]], 0=Devices[[#This Row],[Input Type]]), Devices[[#This Row],[Row Num]], " ")</f>
        <v>12</v>
      </c>
      <c r="X18" s="140" t="str">
        <f>IF(0=Devices[[#This Row],[Input Type]], Devices[[#This Row],[Row Num]], " ")</f>
        <v xml:space="preserve"> </v>
      </c>
      <c r="Y18" s="140" t="str">
        <f>IFERROR(SMALL(Devices[Row Sel D], Devices[[#This Row],[Row Num]]), " ")</f>
        <v xml:space="preserve"> </v>
      </c>
      <c r="Z18" s="140" t="str">
        <f>IFERROR(SMALL(Devices[Row Sel SE], Devices[[#This Row],[Row Num]]), " ")</f>
        <v xml:space="preserve"> </v>
      </c>
      <c r="AA18" s="140" t="str">
        <f>IFERROR(SMALL(Devices[Row Sel N], Devices[[#This Row],[Row Num]]), " ")</f>
        <v xml:space="preserve"> </v>
      </c>
      <c r="AB18" s="140" t="str">
        <f>IFERROR(INDEX(Devices[Part], Devices[[#This Row],[Sel D]], 1), "")</f>
        <v/>
      </c>
      <c r="AC18" s="140" t="str">
        <f>IFERROR(INDEX(Devices[Part], Devices[[#This Row],[Sel SE]], 1), "")</f>
        <v/>
      </c>
      <c r="AD18" s="140" t="str">
        <f>IFERROR(INDEX(Devices[Part], Devices[[#This Row],[Sel N]], 1), "")</f>
        <v/>
      </c>
    </row>
    <row r="19" spans="1:30" s="190" customFormat="1" ht="15" customHeight="1">
      <c r="A19" s="146" t="s">
        <v>148</v>
      </c>
      <c r="B19" s="132" t="s">
        <v>106</v>
      </c>
      <c r="C19" s="268">
        <v>5.0000000000000001E-4</v>
      </c>
      <c r="D19" s="268">
        <v>3.0000000000000001E-3</v>
      </c>
      <c r="E19" s="269">
        <v>5</v>
      </c>
      <c r="F19" s="269">
        <v>45</v>
      </c>
      <c r="G19" s="270">
        <v>1.1000000000000001</v>
      </c>
      <c r="H19" s="270">
        <v>2.5</v>
      </c>
      <c r="I19" s="271">
        <v>3</v>
      </c>
      <c r="J19" s="271">
        <v>15</v>
      </c>
      <c r="K19" s="268">
        <v>1E-4</v>
      </c>
      <c r="L19" s="30">
        <v>4.0000000000000002E-4</v>
      </c>
      <c r="M19" s="38">
        <v>1</v>
      </c>
      <c r="N19" s="38">
        <v>3</v>
      </c>
      <c r="O19" s="272">
        <v>2000</v>
      </c>
      <c r="P19" s="172">
        <v>-40</v>
      </c>
      <c r="Q19" s="172">
        <v>125</v>
      </c>
      <c r="R19" s="273"/>
      <c r="S19" s="81">
        <v>1000000000</v>
      </c>
      <c r="T19" s="144">
        <v>3.5000000000000001E-3</v>
      </c>
      <c r="U19" s="141">
        <f>ROW()-6</f>
        <v>13</v>
      </c>
      <c r="V19" s="141" t="str">
        <f>IF(OR($AH$12=Devices[[#This Row],[Input Type]], 0=Devices[[#This Row],[Input Type]]), Devices[[#This Row],[Row Num]], " ")</f>
        <v xml:space="preserve"> </v>
      </c>
      <c r="W19" s="141">
        <f>IF(OR($AH$13=Devices[[#This Row],[Input Type]], 0=Devices[[#This Row],[Input Type]]), Devices[[#This Row],[Row Num]], " ")</f>
        <v>13</v>
      </c>
      <c r="X19" s="141" t="str">
        <f>IF(0=Devices[[#This Row],[Input Type]], Devices[[#This Row],[Row Num]], " ")</f>
        <v xml:space="preserve"> </v>
      </c>
      <c r="Y19" s="141" t="str">
        <f>IFERROR(SMALL(Devices[Row Sel D], Devices[[#This Row],[Row Num]]), " ")</f>
        <v xml:space="preserve"> </v>
      </c>
      <c r="Z19" s="141" t="str">
        <f>IFERROR(SMALL(Devices[Row Sel SE], Devices[[#This Row],[Row Num]]), " ")</f>
        <v xml:space="preserve"> </v>
      </c>
      <c r="AA19" s="141" t="str">
        <f>IFERROR(SMALL(Devices[Row Sel N], Devices[[#This Row],[Row Num]]), " ")</f>
        <v xml:space="preserve"> </v>
      </c>
      <c r="AB19" s="141" t="str">
        <f>IFERROR(INDEX(Devices[Part], Devices[[#This Row],[Sel D]], 1), "")</f>
        <v/>
      </c>
      <c r="AC19" s="141" t="str">
        <f>IFERROR(INDEX(Devices[Part], Devices[[#This Row],[Sel SE]], 1), "")</f>
        <v/>
      </c>
      <c r="AD19" s="141" t="str">
        <f>IFERROR(INDEX(Devices[Part], Devices[[#This Row],[Sel N]], 1), "")</f>
        <v/>
      </c>
    </row>
    <row r="20" spans="1:30" ht="15" hidden="1" customHeight="1">
      <c r="A20" s="146" t="s">
        <v>146</v>
      </c>
      <c r="B20" s="132" t="s">
        <v>143</v>
      </c>
      <c r="C20" s="129"/>
      <c r="D20" s="30">
        <v>4.0000000000000001E-3</v>
      </c>
      <c r="E20" s="38"/>
      <c r="F20" s="38">
        <v>60</v>
      </c>
      <c r="G20" s="40"/>
      <c r="H20" s="40">
        <v>0.5</v>
      </c>
      <c r="I20" s="42"/>
      <c r="J20" s="42">
        <v>5</v>
      </c>
      <c r="K20" s="30"/>
      <c r="L20" s="30">
        <v>7.5000000000000002E-4</v>
      </c>
      <c r="M20" s="38"/>
      <c r="N20" s="38">
        <v>1</v>
      </c>
      <c r="O20" s="83">
        <v>1000</v>
      </c>
      <c r="P20" s="172">
        <v>-40</v>
      </c>
      <c r="Q20" s="172">
        <v>125</v>
      </c>
      <c r="R20" s="143"/>
      <c r="S20" s="81">
        <v>1500000000</v>
      </c>
      <c r="T20" s="144">
        <v>2.3E-3</v>
      </c>
      <c r="U20" s="141">
        <f t="shared" ref="U20" si="1">ROW()-6</f>
        <v>14</v>
      </c>
      <c r="V20" s="141" t="str">
        <f>IF(OR($AH$12=Devices[[#This Row],[Input Type]], 0=Devices[[#This Row],[Input Type]]), Devices[[#This Row],[Row Num]], " ")</f>
        <v xml:space="preserve"> </v>
      </c>
      <c r="W20" s="141" t="str">
        <f>IF(OR($AH$13=Devices[[#This Row],[Input Type]], 0=Devices[[#This Row],[Input Type]]), Devices[[#This Row],[Row Num]], " ")</f>
        <v xml:space="preserve"> </v>
      </c>
      <c r="X20" s="141" t="str">
        <f>IF(0=Devices[[#This Row],[Input Type]], Devices[[#This Row],[Row Num]], " ")</f>
        <v xml:space="preserve"> </v>
      </c>
      <c r="Y20" s="141" t="str">
        <f>IFERROR(SMALL(Devices[Row Sel D], Devices[[#This Row],[Row Num]]), " ")</f>
        <v xml:space="preserve"> </v>
      </c>
      <c r="Z20" s="141" t="str">
        <f>IFERROR(SMALL(Devices[Row Sel SE], Devices[[#This Row],[Row Num]]), " ")</f>
        <v xml:space="preserve"> </v>
      </c>
      <c r="AA20" s="141" t="str">
        <f>IFERROR(SMALL(Devices[Row Sel N], Devices[[#This Row],[Row Num]]), " ")</f>
        <v xml:space="preserve"> </v>
      </c>
      <c r="AB20" s="141" t="str">
        <f>IFERROR(INDEX(Devices[Part], Devices[[#This Row],[Sel D]], 1), "")</f>
        <v/>
      </c>
      <c r="AC20" s="141" t="str">
        <f>IFERROR(INDEX(Devices[Part], Devices[[#This Row],[Sel SE]], 1), "")</f>
        <v/>
      </c>
      <c r="AD20" s="141" t="str">
        <f>IFERROR(INDEX(Devices[Part], Devices[[#This Row],[Sel N]], 1), "")</f>
        <v/>
      </c>
    </row>
    <row r="21" spans="1:30" ht="15" customHeight="1">
      <c r="A21" s="104" t="s">
        <v>91</v>
      </c>
      <c r="B21" s="111" t="s">
        <v>105</v>
      </c>
      <c r="C21" s="105">
        <v>1E-3</v>
      </c>
      <c r="D21" s="72">
        <v>4.0000000000000001E-3</v>
      </c>
      <c r="E21" s="73">
        <v>20</v>
      </c>
      <c r="F21" s="73">
        <v>60</v>
      </c>
      <c r="G21" s="74">
        <v>0.03</v>
      </c>
      <c r="H21" s="74">
        <v>0.2</v>
      </c>
      <c r="I21" s="75">
        <v>1.5</v>
      </c>
      <c r="J21" s="75">
        <v>5</v>
      </c>
      <c r="K21" s="72">
        <v>2.9999999999999997E-4</v>
      </c>
      <c r="L21" s="72">
        <v>7.5000000000000002E-4</v>
      </c>
      <c r="M21" s="73">
        <v>1</v>
      </c>
      <c r="N21" s="73">
        <v>3</v>
      </c>
      <c r="O21" s="85">
        <v>250</v>
      </c>
      <c r="P21" s="174">
        <v>-40</v>
      </c>
      <c r="Q21" s="174">
        <v>125</v>
      </c>
      <c r="R21" s="107">
        <v>12500</v>
      </c>
      <c r="S21" s="81">
        <v>18000</v>
      </c>
      <c r="T21" s="126">
        <v>30</v>
      </c>
      <c r="U21" s="139">
        <f t="shared" si="0"/>
        <v>15</v>
      </c>
      <c r="V21" s="139">
        <f>IF(OR($AH$12=Devices[[#This Row],[Input Type]], 0=Devices[[#This Row],[Input Type]]), Devices[[#This Row],[Row Num]], " ")</f>
        <v>15</v>
      </c>
      <c r="W21" s="139" t="str">
        <f>IF(OR($AH$13=Devices[[#This Row],[Input Type]], 0=Devices[[#This Row],[Input Type]]), Devices[[#This Row],[Row Num]], " ")</f>
        <v xml:space="preserve"> </v>
      </c>
      <c r="X21" s="139" t="str">
        <f>IF(0=Devices[[#This Row],[Input Type]], Devices[[#This Row],[Row Num]], " ")</f>
        <v xml:space="preserve"> </v>
      </c>
      <c r="Y21" s="140" t="str">
        <f>IFERROR(SMALL(Devices[Row Sel D], Devices[[#This Row],[Row Num]]), " ")</f>
        <v xml:space="preserve"> </v>
      </c>
      <c r="Z21" s="140" t="str">
        <f>IFERROR(SMALL(Devices[Row Sel SE], Devices[[#This Row],[Row Num]]), " ")</f>
        <v xml:space="preserve"> </v>
      </c>
      <c r="AA21" s="140" t="str">
        <f>IFERROR(SMALL(Devices[Row Sel N], Devices[[#This Row],[Row Num]]), " ")</f>
        <v xml:space="preserve"> </v>
      </c>
      <c r="AB21" s="140" t="str">
        <f>IFERROR(INDEX(Devices[Part], Devices[[#This Row],[Sel D]], 1), "")</f>
        <v/>
      </c>
      <c r="AC21" s="140" t="str">
        <f>IFERROR(INDEX(Devices[Part], Devices[[#This Row],[Sel SE]], 1), "")</f>
        <v/>
      </c>
      <c r="AD21" s="141" t="str">
        <f>IFERROR(INDEX(Devices[Part], Devices[[#This Row],[Sel N]], 1), "")</f>
        <v/>
      </c>
    </row>
    <row r="22" spans="1:30" ht="15" customHeight="1">
      <c r="A22" s="104" t="s">
        <v>134</v>
      </c>
      <c r="B22" s="111" t="s">
        <v>106</v>
      </c>
      <c r="C22" s="72">
        <v>4.0000000000000001E-3</v>
      </c>
      <c r="D22" s="72">
        <v>0.01</v>
      </c>
      <c r="E22" s="73">
        <v>20</v>
      </c>
      <c r="F22" s="73">
        <v>60</v>
      </c>
      <c r="G22" s="74">
        <v>1</v>
      </c>
      <c r="H22" s="74">
        <v>50</v>
      </c>
      <c r="I22" s="75">
        <v>12</v>
      </c>
      <c r="J22" s="75">
        <v>60</v>
      </c>
      <c r="K22" s="77">
        <v>3.0000000000000001E-5</v>
      </c>
      <c r="L22" s="72">
        <v>2.0000000000000001E-4</v>
      </c>
      <c r="M22" s="78">
        <v>0.1</v>
      </c>
      <c r="N22" s="78">
        <v>0.3</v>
      </c>
      <c r="O22" s="85">
        <v>12000</v>
      </c>
      <c r="P22" s="174">
        <v>-55</v>
      </c>
      <c r="Q22" s="174">
        <v>125</v>
      </c>
      <c r="R22" s="107"/>
      <c r="S22" s="81">
        <v>1250000</v>
      </c>
      <c r="T22" s="125">
        <v>1.4999999999999999E-2</v>
      </c>
      <c r="U22" s="139">
        <f t="shared" si="0"/>
        <v>16</v>
      </c>
      <c r="V22" s="139" t="str">
        <f>IF(OR($AH$12=Devices[[#This Row],[Input Type]], 0=Devices[[#This Row],[Input Type]]), Devices[[#This Row],[Row Num]], " ")</f>
        <v xml:space="preserve"> </v>
      </c>
      <c r="W22" s="139">
        <f>IF(OR($AH$13=Devices[[#This Row],[Input Type]], 0=Devices[[#This Row],[Input Type]]), Devices[[#This Row],[Row Num]], " ")</f>
        <v>16</v>
      </c>
      <c r="X22" s="139" t="str">
        <f>IF(0=Devices[[#This Row],[Input Type]], Devices[[#This Row],[Row Num]], " ")</f>
        <v xml:space="preserve"> </v>
      </c>
      <c r="Y22" s="140" t="str">
        <f>IFERROR(SMALL(Devices[Row Sel D], Devices[[#This Row],[Row Num]]), " ")</f>
        <v xml:space="preserve"> </v>
      </c>
      <c r="Z22" s="140" t="str">
        <f>IFERROR(SMALL(Devices[Row Sel SE], Devices[[#This Row],[Row Num]]), " ")</f>
        <v xml:space="preserve"> </v>
      </c>
      <c r="AA22" s="140" t="str">
        <f>IFERROR(SMALL(Devices[Row Sel N], Devices[[#This Row],[Row Num]]), " ")</f>
        <v xml:space="preserve"> </v>
      </c>
      <c r="AB22" s="140" t="str">
        <f>IFERROR(INDEX(Devices[Part], Devices[[#This Row],[Sel D]], 1), "")</f>
        <v/>
      </c>
      <c r="AC22" s="140" t="str">
        <f>IFERROR(INDEX(Devices[Part], Devices[[#This Row],[Sel SE]], 1), "")</f>
        <v/>
      </c>
      <c r="AD22" s="141" t="str">
        <f>IFERROR(INDEX(Devices[Part], Devices[[#This Row],[Sel N]], 1), "")</f>
        <v/>
      </c>
    </row>
    <row r="23" spans="1:30" ht="15" customHeight="1">
      <c r="A23" s="146" t="s">
        <v>133</v>
      </c>
      <c r="B23" s="111" t="s">
        <v>106</v>
      </c>
      <c r="C23" s="147">
        <v>5.0000000000000001E-4</v>
      </c>
      <c r="D23" s="37">
        <v>3.0000000000000001E-3</v>
      </c>
      <c r="E23" s="39">
        <v>10</v>
      </c>
      <c r="F23" s="39">
        <v>35</v>
      </c>
      <c r="G23" s="41">
        <v>1</v>
      </c>
      <c r="H23" s="41">
        <v>5</v>
      </c>
      <c r="I23" s="43">
        <v>3</v>
      </c>
      <c r="J23" s="43">
        <v>15</v>
      </c>
      <c r="K23" s="77">
        <v>3.0000000000000001E-5</v>
      </c>
      <c r="L23" s="37">
        <v>1E-4</v>
      </c>
      <c r="M23" s="78">
        <v>0.1</v>
      </c>
      <c r="N23" s="78">
        <v>0.3</v>
      </c>
      <c r="O23" s="84">
        <v>12000</v>
      </c>
      <c r="P23" s="173">
        <v>-55</v>
      </c>
      <c r="Q23" s="173">
        <v>125</v>
      </c>
      <c r="R23" s="148"/>
      <c r="S23" s="137">
        <v>1250000</v>
      </c>
      <c r="T23" s="125">
        <v>1.4999999999999999E-2</v>
      </c>
      <c r="U23" s="169">
        <f>ROW()-6</f>
        <v>17</v>
      </c>
      <c r="V23" s="149" t="str">
        <f>IF(OR($AH$12=Devices[[#This Row],[Input Type]], 0=Devices[[#This Row],[Input Type]]), Devices[[#This Row],[Row Num]], " ")</f>
        <v xml:space="preserve"> </v>
      </c>
      <c r="W23" s="149">
        <f>IF(OR($AH$13=Devices[[#This Row],[Input Type]], 0=Devices[[#This Row],[Input Type]]), Devices[[#This Row],[Row Num]], " ")</f>
        <v>17</v>
      </c>
      <c r="X23" s="149" t="str">
        <f>IF(0=Devices[[#This Row],[Input Type]], Devices[[#This Row],[Row Num]], " ")</f>
        <v xml:space="preserve"> </v>
      </c>
      <c r="Y23" s="149" t="str">
        <f>IFERROR(SMALL(Devices[Row Sel D], Devices[[#This Row],[Row Num]]), " ")</f>
        <v xml:space="preserve"> </v>
      </c>
      <c r="Z23" s="149" t="str">
        <f>IFERROR(SMALL(Devices[Row Sel SE], Devices[[#This Row],[Row Num]]), " ")</f>
        <v xml:space="preserve"> </v>
      </c>
      <c r="AA23" s="149" t="str">
        <f>IFERROR(SMALL(Devices[Row Sel N], Devices[[#This Row],[Row Num]]), " ")</f>
        <v xml:space="preserve"> </v>
      </c>
      <c r="AB23" s="149" t="str">
        <f>IFERROR(INDEX(Devices[Part], Devices[[#This Row],[Sel D]], 1), "")</f>
        <v/>
      </c>
      <c r="AC23" s="149" t="str">
        <f>IFERROR(INDEX(Devices[Part], Devices[[#This Row],[Sel SE]], 1), "")</f>
        <v/>
      </c>
      <c r="AD23" s="149" t="str">
        <f>IFERROR(INDEX(Devices[Part], Devices[[#This Row],[Sel N]], 1), "")</f>
        <v/>
      </c>
    </row>
    <row r="24" spans="1:30" ht="15" hidden="1" customHeight="1">
      <c r="A24" s="146" t="s">
        <v>144</v>
      </c>
      <c r="B24" s="132" t="s">
        <v>143</v>
      </c>
      <c r="C24" s="186">
        <v>5.0000000000000002E-5</v>
      </c>
      <c r="D24" s="180">
        <v>2E-3</v>
      </c>
      <c r="E24" s="181">
        <v>20</v>
      </c>
      <c r="F24" s="181">
        <v>40</v>
      </c>
      <c r="G24" s="187">
        <v>2.5000000000000001E-3</v>
      </c>
      <c r="H24" s="182">
        <v>0.05</v>
      </c>
      <c r="I24" s="183">
        <v>0.25</v>
      </c>
      <c r="J24" s="183">
        <v>1</v>
      </c>
      <c r="K24" s="188">
        <v>3.0000000000000001E-5</v>
      </c>
      <c r="L24" s="188">
        <v>1E-4</v>
      </c>
      <c r="M24" s="189">
        <v>0.1</v>
      </c>
      <c r="N24" s="189">
        <v>0.3</v>
      </c>
      <c r="O24" s="179">
        <v>250</v>
      </c>
      <c r="P24" s="173">
        <v>-40</v>
      </c>
      <c r="Q24" s="173">
        <v>125</v>
      </c>
      <c r="R24" s="148"/>
      <c r="S24" s="148">
        <v>4750</v>
      </c>
      <c r="T24" s="184">
        <v>36</v>
      </c>
      <c r="U24" s="185">
        <f>ROW()-6</f>
        <v>18</v>
      </c>
      <c r="V24" s="185" t="str">
        <f>IF(OR($AH$12=Devices[[#This Row],[Input Type]], 0=Devices[[#This Row],[Input Type]]), Devices[[#This Row],[Row Num]], " ")</f>
        <v xml:space="preserve"> </v>
      </c>
      <c r="W24" s="185" t="str">
        <f>IF(OR($AH$13=Devices[[#This Row],[Input Type]], 0=Devices[[#This Row],[Input Type]]), Devices[[#This Row],[Row Num]], " ")</f>
        <v xml:space="preserve"> </v>
      </c>
      <c r="X24" s="185" t="str">
        <f>IF(0=Devices[[#This Row],[Input Type]], Devices[[#This Row],[Row Num]], " ")</f>
        <v xml:space="preserve"> </v>
      </c>
      <c r="Y24" s="185" t="str">
        <f>IFERROR(SMALL(Devices[Row Sel D], Devices[[#This Row],[Row Num]]), " ")</f>
        <v xml:space="preserve"> </v>
      </c>
      <c r="Z24" s="185" t="str">
        <f>IFERROR(SMALL(Devices[Row Sel SE], Devices[[#This Row],[Row Num]]), " ")</f>
        <v xml:space="preserve"> </v>
      </c>
      <c r="AA24" s="185" t="str">
        <f>IFERROR(SMALL(Devices[Row Sel N], Devices[[#This Row],[Row Num]]), " ")</f>
        <v xml:space="preserve"> </v>
      </c>
      <c r="AB24" s="185" t="str">
        <f>IFERROR(INDEX(Devices[Part], Devices[[#This Row],[Sel D]], 1), "")</f>
        <v/>
      </c>
      <c r="AC24" s="185" t="str">
        <f>IFERROR(INDEX(Devices[Part], Devices[[#This Row],[Sel SE]], 1), "")</f>
        <v/>
      </c>
      <c r="AD24" s="185" t="str">
        <f>IFERROR(INDEX(Devices[Part], Devices[[#This Row],[Sel N]], 1), "")</f>
        <v/>
      </c>
    </row>
    <row r="25" spans="1:30" ht="15" hidden="1" customHeight="1">
      <c r="A25" s="146" t="s">
        <v>145</v>
      </c>
      <c r="B25" s="132" t="s">
        <v>143</v>
      </c>
      <c r="C25" s="186">
        <v>5.0000000000000002E-5</v>
      </c>
      <c r="D25" s="180">
        <v>2E-3</v>
      </c>
      <c r="E25" s="181">
        <v>20</v>
      </c>
      <c r="F25" s="181">
        <v>40</v>
      </c>
      <c r="G25" s="187">
        <v>4.4999999999999997E-3</v>
      </c>
      <c r="H25" s="182">
        <v>0.1</v>
      </c>
      <c r="I25" s="183">
        <v>0.15</v>
      </c>
      <c r="J25" s="183">
        <v>1</v>
      </c>
      <c r="K25" s="188">
        <v>3.0000000000000001E-5</v>
      </c>
      <c r="L25" s="188">
        <v>1E-4</v>
      </c>
      <c r="M25" s="189">
        <v>0.1</v>
      </c>
      <c r="N25" s="189">
        <v>0.3</v>
      </c>
      <c r="O25" s="179">
        <v>250</v>
      </c>
      <c r="P25" s="173">
        <v>-40</v>
      </c>
      <c r="Q25" s="173">
        <v>125</v>
      </c>
      <c r="R25" s="148"/>
      <c r="S25" s="148">
        <v>4750</v>
      </c>
      <c r="T25" s="184">
        <v>36</v>
      </c>
      <c r="U25" s="185">
        <f>ROW()-6</f>
        <v>19</v>
      </c>
      <c r="V25" s="185" t="str">
        <f>IF(OR($AH$12=Devices[[#This Row],[Input Type]], 0=Devices[[#This Row],[Input Type]]), Devices[[#This Row],[Row Num]], " ")</f>
        <v xml:space="preserve"> </v>
      </c>
      <c r="W25" s="185" t="str">
        <f>IF(OR($AH$13=Devices[[#This Row],[Input Type]], 0=Devices[[#This Row],[Input Type]]), Devices[[#This Row],[Row Num]], " ")</f>
        <v xml:space="preserve"> </v>
      </c>
      <c r="X25" s="185" t="str">
        <f>IF(0=Devices[[#This Row],[Input Type]], Devices[[#This Row],[Row Num]], " ")</f>
        <v xml:space="preserve"> </v>
      </c>
      <c r="Y25" s="185" t="str">
        <f>IFERROR(SMALL(Devices[Row Sel D], Devices[[#This Row],[Row Num]]), " ")</f>
        <v xml:space="preserve"> </v>
      </c>
      <c r="Z25" s="185" t="str">
        <f>IFERROR(SMALL(Devices[Row Sel SE], Devices[[#This Row],[Row Num]]), " ")</f>
        <v xml:space="preserve"> </v>
      </c>
      <c r="AA25" s="185" t="str">
        <f>IFERROR(SMALL(Devices[Row Sel N], Devices[[#This Row],[Row Num]]), " ")</f>
        <v xml:space="preserve"> </v>
      </c>
      <c r="AB25" s="185" t="str">
        <f>IFERROR(INDEX(Devices[Part], Devices[[#This Row],[Sel D]], 1), "")</f>
        <v/>
      </c>
      <c r="AC25" s="185" t="str">
        <f>IFERROR(INDEX(Devices[Part], Devices[[#This Row],[Sel SE]], 1), "")</f>
        <v/>
      </c>
      <c r="AD25" s="185" t="str">
        <f>IFERROR(INDEX(Devices[Part], Devices[[#This Row],[Sel N]], 1), "")</f>
        <v/>
      </c>
    </row>
    <row r="26" spans="1:30" ht="15" customHeight="1">
      <c r="A26" s="36"/>
      <c r="B26" s="35"/>
      <c r="C26" s="35"/>
      <c r="D26" s="45"/>
      <c r="E26" s="45"/>
      <c r="F26" s="46"/>
      <c r="G26" s="46"/>
      <c r="H26" s="47"/>
      <c r="I26" s="47"/>
      <c r="J26" s="35"/>
      <c r="K26" s="35"/>
      <c r="L26" s="45"/>
      <c r="M26" s="45"/>
      <c r="N26" s="86"/>
      <c r="O26" s="82"/>
      <c r="P26" s="175"/>
      <c r="Q26" s="175"/>
      <c r="R26" s="82"/>
      <c r="S26" s="48"/>
    </row>
    <row r="27" spans="1:30" ht="15" customHeight="1">
      <c r="A27" s="36"/>
      <c r="B27" s="35"/>
      <c r="C27" s="35"/>
      <c r="D27" s="45"/>
      <c r="E27" s="45"/>
      <c r="F27" s="46"/>
      <c r="G27" s="46"/>
      <c r="H27" s="47"/>
      <c r="I27" s="47"/>
      <c r="J27" s="35"/>
      <c r="K27" s="35"/>
      <c r="L27" s="45"/>
      <c r="M27" s="45"/>
      <c r="N27" s="86"/>
      <c r="O27" s="82"/>
      <c r="P27" s="175"/>
      <c r="Q27" s="175"/>
      <c r="R27" s="82"/>
      <c r="S27" s="48"/>
    </row>
    <row r="28" spans="1:30" ht="15" customHeight="1">
      <c r="A28" s="36"/>
      <c r="B28" s="35"/>
      <c r="C28" s="35"/>
      <c r="D28" s="45"/>
      <c r="E28" s="45"/>
      <c r="F28" s="46"/>
      <c r="G28" s="46"/>
      <c r="H28" s="47"/>
      <c r="I28" s="47"/>
      <c r="J28" s="35"/>
      <c r="K28" s="35"/>
      <c r="L28" s="45"/>
      <c r="M28" s="45"/>
      <c r="N28" s="86"/>
      <c r="O28" s="82"/>
      <c r="P28" s="175"/>
      <c r="Q28" s="175"/>
      <c r="R28" s="82"/>
      <c r="S28" s="48"/>
    </row>
    <row r="29" spans="1:30" ht="15" customHeight="1">
      <c r="A29" s="36"/>
      <c r="B29" s="35"/>
      <c r="C29" s="35"/>
      <c r="D29" s="45"/>
      <c r="E29" s="45"/>
      <c r="F29" s="46"/>
      <c r="G29" s="46"/>
      <c r="H29" s="47"/>
      <c r="I29" s="47"/>
      <c r="J29" s="35"/>
      <c r="K29" s="35"/>
      <c r="L29" s="45"/>
      <c r="M29" s="45"/>
      <c r="N29" s="86"/>
      <c r="O29" s="82"/>
      <c r="P29" s="175"/>
      <c r="Q29" s="175"/>
      <c r="R29" s="82"/>
      <c r="S29" s="48"/>
    </row>
    <row r="30" spans="1:30" ht="15" customHeight="1">
      <c r="A30" s="36"/>
      <c r="B30" s="35"/>
      <c r="C30" s="35"/>
      <c r="D30" s="45"/>
      <c r="E30" s="45"/>
      <c r="F30" s="46"/>
      <c r="G30" s="46"/>
      <c r="H30" s="47"/>
      <c r="I30" s="47"/>
      <c r="J30" s="35"/>
      <c r="K30" s="35"/>
      <c r="L30" s="45"/>
      <c r="M30" s="45"/>
      <c r="N30" s="86"/>
      <c r="O30" s="82"/>
      <c r="P30" s="175"/>
      <c r="Q30" s="175"/>
      <c r="R30" s="82"/>
      <c r="S30" s="48"/>
    </row>
    <row r="31" spans="1:30" ht="15" customHeight="1">
      <c r="A31" s="36"/>
      <c r="B31" s="35"/>
      <c r="C31" s="35"/>
      <c r="D31" s="45"/>
      <c r="E31" s="45"/>
      <c r="F31" s="46"/>
      <c r="G31" s="46"/>
      <c r="H31" s="47"/>
      <c r="I31" s="47"/>
      <c r="J31" s="35"/>
      <c r="K31" s="35"/>
      <c r="L31" s="45"/>
      <c r="M31" s="45"/>
      <c r="N31" s="86"/>
      <c r="O31" s="82"/>
      <c r="P31" s="175"/>
      <c r="Q31" s="175"/>
      <c r="R31" s="82"/>
      <c r="S31" s="48"/>
    </row>
    <row r="32" spans="1:30" ht="15" customHeight="1">
      <c r="A32" s="36"/>
      <c r="B32" s="35"/>
      <c r="C32" s="35"/>
      <c r="D32" s="45"/>
      <c r="E32" s="45"/>
      <c r="F32" s="46"/>
      <c r="G32" s="46"/>
      <c r="H32" s="47"/>
      <c r="I32" s="47"/>
      <c r="J32" s="35"/>
      <c r="K32" s="35"/>
      <c r="L32" s="45"/>
      <c r="M32" s="45"/>
      <c r="N32" s="86"/>
      <c r="O32" s="82"/>
      <c r="P32" s="175"/>
      <c r="Q32" s="175"/>
      <c r="R32" s="82"/>
      <c r="S32" s="48"/>
    </row>
    <row r="33" spans="1:19" ht="15" customHeight="1">
      <c r="A33" s="36"/>
      <c r="B33" s="35"/>
      <c r="C33" s="35"/>
      <c r="D33" s="45"/>
      <c r="E33" s="45"/>
      <c r="F33" s="46"/>
      <c r="G33" s="46"/>
      <c r="H33" s="47"/>
      <c r="I33" s="47"/>
      <c r="J33" s="35"/>
      <c r="K33" s="35"/>
      <c r="L33" s="45"/>
      <c r="M33" s="45"/>
      <c r="N33" s="86"/>
      <c r="O33" s="82"/>
      <c r="P33" s="175"/>
      <c r="Q33" s="175"/>
      <c r="R33" s="82"/>
      <c r="S33" s="48"/>
    </row>
    <row r="34" spans="1:19" ht="15" customHeight="1">
      <c r="A34" s="36"/>
      <c r="B34" s="35"/>
      <c r="C34" s="35"/>
      <c r="D34" s="45"/>
      <c r="E34" s="45"/>
      <c r="F34" s="46"/>
      <c r="G34" s="46"/>
      <c r="H34" s="47"/>
      <c r="I34" s="47"/>
      <c r="J34" s="35"/>
      <c r="K34" s="35"/>
      <c r="L34" s="45"/>
      <c r="M34" s="45"/>
      <c r="N34" s="86"/>
      <c r="O34" s="82"/>
      <c r="P34" s="175"/>
      <c r="Q34" s="175"/>
      <c r="R34" s="82"/>
      <c r="S34" s="48"/>
    </row>
    <row r="35" spans="1:19" ht="15" customHeight="1">
      <c r="A35" s="36"/>
      <c r="B35" s="35"/>
      <c r="C35" s="35"/>
      <c r="D35" s="45"/>
      <c r="E35" s="45"/>
      <c r="F35" s="46"/>
      <c r="G35" s="46"/>
      <c r="H35" s="47"/>
      <c r="I35" s="47"/>
      <c r="J35" s="35"/>
      <c r="K35" s="35"/>
      <c r="L35" s="45"/>
      <c r="M35" s="45"/>
      <c r="N35" s="86"/>
      <c r="O35" s="82"/>
      <c r="P35" s="175"/>
      <c r="Q35" s="175"/>
      <c r="R35" s="82"/>
      <c r="S35" s="48"/>
    </row>
    <row r="36" spans="1:19" ht="15" customHeight="1">
      <c r="A36" s="36"/>
      <c r="B36" s="35"/>
      <c r="C36" s="35"/>
      <c r="D36" s="45"/>
      <c r="E36" s="45"/>
      <c r="F36" s="46"/>
      <c r="G36" s="46"/>
      <c r="H36" s="47"/>
      <c r="I36" s="47"/>
      <c r="J36" s="35"/>
      <c r="K36" s="35"/>
      <c r="L36" s="45"/>
      <c r="M36" s="45"/>
      <c r="N36" s="86"/>
      <c r="O36" s="82"/>
      <c r="P36" s="175"/>
      <c r="Q36" s="175"/>
      <c r="R36" s="82"/>
      <c r="S36" s="48"/>
    </row>
    <row r="37" spans="1:19" ht="15" customHeight="1">
      <c r="A37" s="36"/>
      <c r="B37" s="35"/>
      <c r="C37" s="35"/>
      <c r="D37" s="45"/>
      <c r="E37" s="45"/>
      <c r="F37" s="46"/>
      <c r="G37" s="46"/>
      <c r="H37" s="47"/>
      <c r="I37" s="47"/>
      <c r="J37" s="35"/>
      <c r="K37" s="35"/>
      <c r="L37" s="45"/>
      <c r="M37" s="45"/>
      <c r="N37" s="86"/>
      <c r="O37" s="82"/>
      <c r="P37" s="175"/>
      <c r="Q37" s="175"/>
      <c r="R37" s="82"/>
      <c r="S37" s="48"/>
    </row>
    <row r="38" spans="1:19" ht="15" customHeight="1">
      <c r="A38" s="36"/>
      <c r="B38" s="35"/>
      <c r="C38" s="35"/>
      <c r="D38" s="45"/>
      <c r="E38" s="45"/>
      <c r="F38" s="46"/>
      <c r="G38" s="46"/>
      <c r="H38" s="47"/>
      <c r="I38" s="47"/>
      <c r="J38" s="35"/>
      <c r="K38" s="35"/>
      <c r="L38" s="45"/>
      <c r="M38" s="45"/>
      <c r="N38" s="86"/>
      <c r="O38" s="82"/>
      <c r="P38" s="175"/>
      <c r="Q38" s="175"/>
      <c r="R38" s="82"/>
      <c r="S38" s="48"/>
    </row>
    <row r="39" spans="1:19" ht="15" customHeight="1">
      <c r="A39" s="36"/>
      <c r="B39" s="35"/>
      <c r="C39" s="35"/>
      <c r="D39" s="45"/>
      <c r="E39" s="45"/>
      <c r="F39" s="46"/>
      <c r="G39" s="46"/>
      <c r="H39" s="47"/>
      <c r="I39" s="47"/>
      <c r="J39" s="35"/>
      <c r="K39" s="35"/>
      <c r="L39" s="45"/>
      <c r="M39" s="45"/>
      <c r="N39" s="86"/>
      <c r="O39" s="82"/>
      <c r="P39" s="175"/>
      <c r="Q39" s="175"/>
      <c r="R39" s="82"/>
      <c r="S39" s="48"/>
    </row>
    <row r="40" spans="1:19" ht="15" customHeight="1">
      <c r="A40" s="36"/>
      <c r="B40" s="35"/>
      <c r="C40" s="35"/>
      <c r="D40" s="45"/>
      <c r="E40" s="45"/>
      <c r="F40" s="46"/>
      <c r="G40" s="46"/>
      <c r="H40" s="47"/>
      <c r="I40" s="47"/>
      <c r="J40" s="35"/>
      <c r="K40" s="35"/>
      <c r="L40" s="45"/>
      <c r="M40" s="45"/>
      <c r="N40" s="86"/>
      <c r="O40" s="82"/>
      <c r="P40" s="175"/>
      <c r="Q40" s="175"/>
      <c r="R40" s="82"/>
      <c r="S40" s="48"/>
    </row>
    <row r="41" spans="1:19" ht="15" customHeight="1">
      <c r="A41" s="36"/>
      <c r="B41" s="35"/>
      <c r="C41" s="35"/>
      <c r="D41" s="45"/>
      <c r="E41" s="45"/>
      <c r="F41" s="46"/>
      <c r="G41" s="46"/>
      <c r="H41" s="47"/>
      <c r="I41" s="47"/>
      <c r="J41" s="35"/>
      <c r="K41" s="35"/>
      <c r="L41" s="45"/>
      <c r="M41" s="45"/>
      <c r="N41" s="86"/>
      <c r="O41" s="82"/>
      <c r="P41" s="175"/>
      <c r="Q41" s="175"/>
      <c r="R41" s="82"/>
      <c r="S41" s="48"/>
    </row>
    <row r="42" spans="1:19" ht="15" customHeight="1">
      <c r="A42" s="36"/>
      <c r="B42" s="35"/>
      <c r="C42" s="35"/>
      <c r="D42" s="45"/>
      <c r="E42" s="45"/>
      <c r="F42" s="46"/>
      <c r="G42" s="46"/>
      <c r="H42" s="47"/>
      <c r="I42" s="47"/>
      <c r="J42" s="35"/>
      <c r="K42" s="35"/>
      <c r="L42" s="45"/>
      <c r="M42" s="45"/>
      <c r="N42" s="86"/>
      <c r="O42" s="82"/>
      <c r="P42" s="175"/>
      <c r="Q42" s="175"/>
      <c r="R42" s="82"/>
      <c r="S42" s="48"/>
    </row>
    <row r="43" spans="1:19" ht="15" customHeight="1">
      <c r="A43" s="36"/>
      <c r="B43" s="35"/>
      <c r="C43" s="35"/>
      <c r="D43" s="45"/>
      <c r="E43" s="45"/>
      <c r="F43" s="46"/>
      <c r="G43" s="46"/>
      <c r="H43" s="47"/>
      <c r="I43" s="47"/>
      <c r="J43" s="35"/>
      <c r="K43" s="35"/>
      <c r="L43" s="45"/>
      <c r="M43" s="45"/>
      <c r="N43" s="86"/>
      <c r="O43" s="82"/>
      <c r="P43" s="175"/>
      <c r="Q43" s="175"/>
      <c r="R43" s="82"/>
      <c r="S43" s="48"/>
    </row>
    <row r="44" spans="1:19" ht="15" customHeight="1">
      <c r="A44" s="36"/>
      <c r="B44" s="35"/>
      <c r="C44" s="35"/>
      <c r="D44" s="45"/>
      <c r="E44" s="45"/>
      <c r="F44" s="46"/>
      <c r="G44" s="46"/>
      <c r="H44" s="47"/>
      <c r="I44" s="47"/>
      <c r="J44" s="35"/>
      <c r="K44" s="35"/>
      <c r="L44" s="45"/>
      <c r="M44" s="45"/>
      <c r="N44" s="86"/>
      <c r="O44" s="82"/>
      <c r="P44" s="175"/>
      <c r="Q44" s="175"/>
      <c r="R44" s="82"/>
      <c r="S44" s="48"/>
    </row>
    <row r="45" spans="1:19" ht="15" customHeight="1">
      <c r="A45" s="36"/>
      <c r="B45" s="35"/>
      <c r="C45" s="35"/>
      <c r="D45" s="45"/>
      <c r="E45" s="45"/>
      <c r="F45" s="46"/>
      <c r="G45" s="46"/>
      <c r="H45" s="47"/>
      <c r="I45" s="47"/>
      <c r="J45" s="35"/>
      <c r="K45" s="35"/>
      <c r="L45" s="45"/>
      <c r="M45" s="45"/>
      <c r="N45" s="86"/>
      <c r="O45" s="82"/>
      <c r="P45" s="175"/>
      <c r="Q45" s="175"/>
      <c r="R45" s="82"/>
      <c r="S45" s="48"/>
    </row>
    <row r="46" spans="1:19" ht="15" customHeight="1">
      <c r="A46" s="36"/>
      <c r="B46" s="35"/>
      <c r="C46" s="35"/>
      <c r="D46" s="45"/>
      <c r="E46" s="45"/>
      <c r="F46" s="46"/>
      <c r="G46" s="46"/>
      <c r="H46" s="47"/>
      <c r="I46" s="47"/>
      <c r="J46" s="35"/>
      <c r="K46" s="35"/>
      <c r="L46" s="45"/>
      <c r="M46" s="45"/>
      <c r="N46" s="86"/>
      <c r="O46" s="82"/>
      <c r="P46" s="175"/>
      <c r="Q46" s="175"/>
      <c r="R46" s="82"/>
      <c r="S46" s="48"/>
    </row>
    <row r="47" spans="1:19" ht="15" customHeight="1">
      <c r="A47" s="36"/>
      <c r="B47" s="35"/>
      <c r="C47" s="35"/>
      <c r="D47" s="45"/>
      <c r="E47" s="45"/>
      <c r="F47" s="46"/>
      <c r="G47" s="46"/>
      <c r="H47" s="47"/>
      <c r="I47" s="47"/>
      <c r="J47" s="35"/>
      <c r="K47" s="35"/>
      <c r="L47" s="45"/>
      <c r="M47" s="45"/>
      <c r="N47" s="86"/>
      <c r="O47" s="82"/>
      <c r="P47" s="175"/>
      <c r="Q47" s="175"/>
      <c r="R47" s="82"/>
      <c r="S47" s="48"/>
    </row>
    <row r="48" spans="1:19" ht="15" customHeight="1">
      <c r="A48" s="36"/>
      <c r="B48" s="35"/>
      <c r="C48" s="35"/>
      <c r="D48" s="45"/>
      <c r="E48" s="45"/>
      <c r="F48" s="46"/>
      <c r="G48" s="46"/>
      <c r="H48" s="47"/>
      <c r="I48" s="47"/>
      <c r="J48" s="35"/>
      <c r="K48" s="35"/>
      <c r="L48" s="45"/>
      <c r="M48" s="45"/>
      <c r="N48" s="86"/>
      <c r="O48" s="82"/>
      <c r="P48" s="175"/>
      <c r="Q48" s="175"/>
      <c r="R48" s="82"/>
      <c r="S48" s="48"/>
    </row>
    <row r="49" spans="1:19" ht="15" customHeight="1">
      <c r="A49" s="36"/>
      <c r="B49" s="35"/>
      <c r="C49" s="35"/>
      <c r="D49" s="45"/>
      <c r="E49" s="45"/>
      <c r="F49" s="46"/>
      <c r="G49" s="46"/>
      <c r="H49" s="47"/>
      <c r="I49" s="47"/>
      <c r="J49" s="35"/>
      <c r="K49" s="35"/>
      <c r="L49" s="45"/>
      <c r="M49" s="45"/>
      <c r="N49" s="86"/>
      <c r="O49" s="82"/>
      <c r="P49" s="175"/>
      <c r="Q49" s="175"/>
      <c r="R49" s="82"/>
      <c r="S49" s="48"/>
    </row>
    <row r="50" spans="1:19" ht="15" customHeight="1">
      <c r="A50" s="36"/>
      <c r="B50" s="35"/>
      <c r="C50" s="35"/>
      <c r="D50" s="45"/>
      <c r="E50" s="45"/>
      <c r="F50" s="46"/>
      <c r="G50" s="46"/>
      <c r="H50" s="47"/>
      <c r="I50" s="47"/>
      <c r="J50" s="35"/>
      <c r="K50" s="35"/>
      <c r="L50" s="45"/>
      <c r="M50" s="45"/>
      <c r="N50" s="86"/>
      <c r="O50" s="82"/>
      <c r="P50" s="175"/>
      <c r="Q50" s="175"/>
      <c r="R50" s="82"/>
      <c r="S50" s="48"/>
    </row>
    <row r="53" spans="1:19" ht="17.100000000000001" customHeight="1"/>
    <row r="67" spans="1:19">
      <c r="B67" s="253"/>
      <c r="E67" s="253"/>
      <c r="F67" s="253"/>
      <c r="G67" s="253"/>
      <c r="H67" s="253"/>
      <c r="I67" s="253"/>
      <c r="J67" s="253"/>
      <c r="L67" s="253"/>
      <c r="M67" s="253"/>
      <c r="N67" s="253"/>
      <c r="O67" s="253"/>
      <c r="P67" s="253"/>
    </row>
    <row r="68" spans="1:19">
      <c r="B68" s="253"/>
      <c r="E68" s="253"/>
      <c r="F68" s="253"/>
      <c r="G68" s="253"/>
      <c r="H68" s="253"/>
      <c r="I68" s="253"/>
      <c r="J68" s="253"/>
      <c r="L68" s="253"/>
      <c r="M68" s="253"/>
      <c r="N68" s="253"/>
      <c r="O68" s="253"/>
      <c r="P68" s="253"/>
    </row>
    <row r="69" spans="1:19" ht="15" customHeight="1">
      <c r="A69" s="178"/>
      <c r="B69" s="177"/>
      <c r="C69" s="177"/>
      <c r="D69" s="177"/>
      <c r="E69" s="177"/>
      <c r="F69" s="177"/>
      <c r="G69" s="177"/>
      <c r="H69" s="177"/>
      <c r="I69" s="177"/>
      <c r="J69" s="177"/>
      <c r="K69" s="177"/>
      <c r="L69" s="177"/>
      <c r="M69" s="177"/>
      <c r="N69" s="177"/>
      <c r="O69" s="177"/>
      <c r="P69" s="177"/>
      <c r="Q69" s="177"/>
      <c r="R69" s="177"/>
      <c r="S69" s="177"/>
    </row>
    <row r="70" spans="1:19" ht="15" customHeight="1">
      <c r="A70" s="178"/>
      <c r="B70" s="177"/>
      <c r="C70" s="177"/>
      <c r="D70" s="177"/>
      <c r="E70" s="177"/>
      <c r="F70" s="177"/>
      <c r="G70" s="177"/>
      <c r="H70" s="177"/>
      <c r="I70" s="177"/>
      <c r="J70" s="177"/>
      <c r="K70" s="177"/>
      <c r="L70" s="177"/>
      <c r="M70" s="177"/>
      <c r="N70" s="177"/>
      <c r="O70" s="177"/>
      <c r="P70" s="177"/>
      <c r="Q70" s="177"/>
      <c r="R70" s="177"/>
      <c r="S70" s="177"/>
    </row>
    <row r="71" spans="1:19" ht="15" customHeight="1">
      <c r="A71" s="178"/>
      <c r="B71" s="177"/>
      <c r="C71" s="177"/>
      <c r="D71" s="177"/>
      <c r="E71" s="177"/>
      <c r="F71" s="177"/>
      <c r="G71" s="177"/>
      <c r="H71" s="177"/>
      <c r="I71" s="177"/>
      <c r="J71" s="177"/>
      <c r="K71" s="177"/>
      <c r="L71" s="177"/>
      <c r="M71" s="177"/>
      <c r="N71" s="177"/>
      <c r="O71" s="177"/>
      <c r="P71" s="177"/>
      <c r="Q71" s="177"/>
      <c r="R71" s="177"/>
      <c r="S71" s="177"/>
    </row>
    <row r="72" spans="1:19" ht="15" customHeight="1">
      <c r="A72" s="178"/>
      <c r="Q72" s="177"/>
      <c r="R72" s="177"/>
      <c r="S72" s="177"/>
    </row>
    <row r="73" spans="1:19" ht="15" customHeight="1">
      <c r="A73" s="178"/>
      <c r="Q73" s="177"/>
      <c r="R73" s="177"/>
      <c r="S73" s="177"/>
    </row>
    <row r="74" spans="1:19" ht="15" customHeight="1">
      <c r="A74" s="178"/>
      <c r="Q74" s="177"/>
      <c r="R74" s="177"/>
      <c r="S74" s="177"/>
    </row>
    <row r="75" spans="1:19" ht="15" customHeight="1">
      <c r="A75" s="178"/>
      <c r="Q75" s="177"/>
      <c r="R75" s="177"/>
      <c r="S75" s="177"/>
    </row>
    <row r="76" spans="1:19" ht="15" customHeight="1">
      <c r="A76" s="178"/>
      <c r="Q76" s="177"/>
      <c r="R76" s="177"/>
      <c r="S76" s="177"/>
    </row>
    <row r="77" spans="1:19" ht="15" customHeight="1">
      <c r="A77" s="178"/>
      <c r="Q77" s="177"/>
      <c r="R77" s="177"/>
      <c r="S77" s="177"/>
    </row>
    <row r="78" spans="1:19" ht="15" customHeight="1">
      <c r="A78" s="178"/>
      <c r="Q78" s="177"/>
      <c r="R78" s="177"/>
      <c r="S78" s="177"/>
    </row>
    <row r="79" spans="1:19" ht="15" customHeight="1">
      <c r="A79" s="178"/>
      <c r="Q79" s="177"/>
      <c r="R79" s="177"/>
      <c r="S79" s="177"/>
    </row>
    <row r="80" spans="1:19" ht="15" customHeight="1">
      <c r="A80" s="178"/>
      <c r="Q80" s="177"/>
      <c r="R80" s="177"/>
      <c r="S80" s="177"/>
    </row>
    <row r="81" spans="1:19" ht="15" customHeight="1">
      <c r="A81" s="178"/>
      <c r="Q81" s="177"/>
      <c r="R81" s="177"/>
      <c r="S81" s="177"/>
    </row>
    <row r="82" spans="1:19" ht="15" customHeight="1">
      <c r="A82" s="178"/>
      <c r="Q82" s="177"/>
      <c r="R82" s="177"/>
      <c r="S82" s="177"/>
    </row>
    <row r="83" spans="1:19" ht="15" customHeight="1">
      <c r="A83" s="178"/>
      <c r="Q83" s="177"/>
      <c r="R83" s="177"/>
      <c r="S83" s="177"/>
    </row>
    <row r="84" spans="1:19" ht="15" customHeight="1">
      <c r="A84" s="178"/>
      <c r="Q84" s="177"/>
      <c r="R84" s="177"/>
      <c r="S84" s="177"/>
    </row>
    <row r="85" spans="1:19" ht="15" customHeight="1">
      <c r="A85" s="178"/>
      <c r="Q85" s="177"/>
      <c r="R85" s="177"/>
      <c r="S85" s="177"/>
    </row>
    <row r="86" spans="1:19" ht="15" customHeight="1">
      <c r="A86" s="178"/>
      <c r="Q86" s="177"/>
      <c r="R86" s="177"/>
      <c r="S86" s="177"/>
    </row>
    <row r="87" spans="1:19" ht="15" customHeight="1">
      <c r="A87" s="178"/>
      <c r="Q87" s="177"/>
      <c r="R87" s="177"/>
      <c r="S87" s="177"/>
    </row>
    <row r="88" spans="1:19" ht="15" customHeight="1">
      <c r="A88" s="178"/>
      <c r="Q88" s="177"/>
      <c r="R88" s="177"/>
      <c r="S88" s="177"/>
    </row>
    <row r="89" spans="1:19" ht="15" customHeight="1">
      <c r="A89" s="178"/>
      <c r="B89" s="177"/>
      <c r="C89" s="177"/>
      <c r="D89" s="177"/>
      <c r="E89" s="177"/>
      <c r="F89" s="177"/>
      <c r="G89" s="177"/>
      <c r="H89" s="177"/>
      <c r="I89" s="177"/>
      <c r="J89" s="177"/>
      <c r="K89" s="177"/>
      <c r="L89" s="177"/>
      <c r="M89" s="177"/>
      <c r="N89" s="177"/>
      <c r="O89" s="177"/>
      <c r="P89" s="177"/>
      <c r="Q89" s="177"/>
      <c r="R89" s="177"/>
      <c r="S89" s="177"/>
    </row>
    <row r="90" spans="1:19" ht="15" customHeight="1">
      <c r="A90" s="178"/>
      <c r="B90" s="177"/>
      <c r="C90" s="177"/>
      <c r="D90" s="177"/>
      <c r="E90" s="177"/>
      <c r="F90" s="177"/>
      <c r="G90" s="177"/>
      <c r="H90" s="177"/>
      <c r="I90" s="177"/>
      <c r="J90" s="177"/>
      <c r="K90" s="177"/>
      <c r="L90" s="177"/>
      <c r="M90" s="177"/>
      <c r="N90" s="177"/>
      <c r="O90" s="177"/>
      <c r="P90" s="177"/>
      <c r="Q90" s="177"/>
      <c r="R90" s="177"/>
      <c r="S90" s="177"/>
    </row>
    <row r="91" spans="1:19" ht="15" customHeight="1">
      <c r="A91" s="178"/>
      <c r="B91" s="177"/>
      <c r="C91" s="177"/>
      <c r="D91" s="177"/>
      <c r="E91" s="177"/>
      <c r="F91" s="177"/>
      <c r="G91" s="177"/>
      <c r="H91" s="177"/>
      <c r="I91" s="177"/>
      <c r="J91" s="177"/>
      <c r="K91" s="177"/>
      <c r="L91" s="177"/>
      <c r="M91" s="177"/>
      <c r="N91" s="177"/>
      <c r="O91" s="177"/>
      <c r="P91" s="177"/>
      <c r="Q91" s="177"/>
      <c r="R91" s="177"/>
      <c r="S91" s="177"/>
    </row>
    <row r="92" spans="1:19" ht="15" customHeight="1">
      <c r="A92" s="178"/>
      <c r="B92" s="177"/>
      <c r="C92" s="177"/>
      <c r="D92" s="177"/>
      <c r="E92" s="177"/>
      <c r="F92" s="177"/>
      <c r="G92" s="177"/>
      <c r="H92" s="177"/>
      <c r="I92" s="177"/>
      <c r="J92" s="177"/>
      <c r="K92" s="177"/>
      <c r="L92" s="177"/>
      <c r="M92" s="177"/>
      <c r="N92" s="177"/>
      <c r="O92" s="177"/>
      <c r="P92" s="177"/>
      <c r="Q92" s="177"/>
      <c r="R92" s="177"/>
      <c r="S92" s="177"/>
    </row>
    <row r="93" spans="1:19" ht="15" customHeight="1">
      <c r="A93" s="178"/>
      <c r="B93" s="177"/>
      <c r="C93" s="177"/>
      <c r="D93" s="177"/>
      <c r="E93" s="177"/>
      <c r="F93" s="177"/>
      <c r="G93" s="177"/>
      <c r="H93" s="177"/>
      <c r="I93" s="177"/>
      <c r="J93" s="177"/>
      <c r="K93" s="177"/>
      <c r="L93" s="177"/>
      <c r="M93" s="177"/>
      <c r="N93" s="177"/>
      <c r="O93" s="177"/>
      <c r="P93" s="177"/>
      <c r="Q93" s="177"/>
      <c r="R93" s="177"/>
      <c r="S93" s="177"/>
    </row>
    <row r="94" spans="1:19" ht="15" customHeight="1">
      <c r="A94" s="178"/>
      <c r="B94" s="177"/>
      <c r="C94" s="177"/>
      <c r="D94" s="177"/>
      <c r="E94" s="177"/>
      <c r="F94" s="177"/>
      <c r="G94" s="177"/>
      <c r="H94" s="177"/>
      <c r="I94" s="177"/>
      <c r="J94" s="177"/>
      <c r="K94" s="177"/>
      <c r="L94" s="177"/>
      <c r="M94" s="177"/>
      <c r="N94" s="177"/>
      <c r="O94" s="177"/>
      <c r="P94" s="177"/>
      <c r="Q94" s="177"/>
      <c r="R94" s="177"/>
      <c r="S94" s="177"/>
    </row>
    <row r="95" spans="1:19" ht="15" customHeight="1">
      <c r="A95" s="178"/>
      <c r="B95" s="177"/>
      <c r="C95" s="177"/>
      <c r="D95" s="177"/>
      <c r="E95" s="177"/>
      <c r="F95" s="177"/>
      <c r="G95" s="177"/>
      <c r="H95" s="177"/>
      <c r="I95" s="177"/>
      <c r="J95" s="177"/>
      <c r="K95" s="177"/>
      <c r="L95" s="177"/>
      <c r="M95" s="177"/>
      <c r="N95" s="177"/>
      <c r="O95" s="177"/>
      <c r="P95" s="177"/>
      <c r="Q95" s="177"/>
      <c r="R95" s="177"/>
      <c r="S95" s="177"/>
    </row>
    <row r="96" spans="1:19" ht="15" customHeight="1">
      <c r="A96" s="178"/>
      <c r="B96" s="177"/>
      <c r="C96" s="177"/>
      <c r="D96" s="177"/>
      <c r="E96" s="177"/>
      <c r="F96" s="177"/>
      <c r="G96" s="177"/>
      <c r="H96" s="177"/>
      <c r="I96" s="177"/>
      <c r="J96" s="177"/>
      <c r="K96" s="177"/>
      <c r="L96" s="177"/>
      <c r="M96" s="177"/>
      <c r="N96" s="177"/>
      <c r="O96" s="177"/>
      <c r="P96" s="177"/>
      <c r="Q96" s="177"/>
      <c r="R96" s="177"/>
      <c r="S96" s="177"/>
    </row>
    <row r="97" spans="1:19" ht="15" customHeight="1">
      <c r="A97" s="178"/>
      <c r="B97" s="177"/>
      <c r="C97" s="177"/>
      <c r="D97" s="177"/>
      <c r="E97" s="177"/>
      <c r="F97" s="177"/>
      <c r="G97" s="177"/>
      <c r="H97" s="177"/>
      <c r="I97" s="177"/>
      <c r="J97" s="177"/>
      <c r="K97" s="177"/>
      <c r="L97" s="177"/>
      <c r="M97" s="177"/>
      <c r="N97" s="177"/>
      <c r="O97" s="177"/>
      <c r="P97" s="177"/>
      <c r="Q97" s="177"/>
      <c r="R97" s="177"/>
      <c r="S97" s="177"/>
    </row>
    <row r="98" spans="1:19" ht="15" customHeight="1">
      <c r="A98" s="178"/>
      <c r="B98" s="177"/>
      <c r="C98" s="177"/>
      <c r="D98" s="177"/>
      <c r="E98" s="177"/>
      <c r="F98" s="177"/>
      <c r="G98" s="177"/>
      <c r="H98" s="177"/>
      <c r="I98" s="177"/>
      <c r="J98" s="177"/>
      <c r="K98" s="177"/>
      <c r="L98" s="177"/>
      <c r="M98" s="177"/>
      <c r="N98" s="177"/>
      <c r="O98" s="177"/>
      <c r="P98" s="177"/>
      <c r="Q98" s="177"/>
      <c r="R98" s="177"/>
      <c r="S98" s="177"/>
    </row>
    <row r="99" spans="1:19" ht="15" customHeight="1">
      <c r="A99" s="178"/>
      <c r="B99" s="177"/>
      <c r="C99" s="177"/>
      <c r="D99" s="177"/>
      <c r="E99" s="177"/>
      <c r="F99" s="177"/>
      <c r="G99" s="177"/>
      <c r="H99" s="177"/>
      <c r="I99" s="177"/>
      <c r="J99" s="177"/>
      <c r="K99" s="177"/>
      <c r="L99" s="177"/>
      <c r="M99" s="177"/>
      <c r="N99" s="177"/>
      <c r="O99" s="177"/>
      <c r="P99" s="177"/>
      <c r="Q99" s="177"/>
      <c r="R99" s="177"/>
      <c r="S99" s="177"/>
    </row>
    <row r="100" spans="1:19" ht="15" customHeight="1">
      <c r="A100" s="178"/>
      <c r="B100" s="177"/>
      <c r="C100" s="177"/>
      <c r="D100" s="177"/>
      <c r="E100" s="177"/>
      <c r="F100" s="177"/>
      <c r="G100" s="177"/>
      <c r="H100" s="177"/>
      <c r="I100" s="177"/>
      <c r="J100" s="177"/>
      <c r="K100" s="177"/>
      <c r="L100" s="177"/>
      <c r="M100" s="177"/>
      <c r="N100" s="177"/>
      <c r="O100" s="177"/>
      <c r="P100" s="177"/>
      <c r="Q100" s="177"/>
      <c r="R100" s="177"/>
      <c r="S100" s="177"/>
    </row>
    <row r="101" spans="1:19" ht="15" customHeight="1">
      <c r="A101" s="178"/>
      <c r="B101" s="177"/>
      <c r="C101" s="177"/>
      <c r="D101" s="177"/>
      <c r="E101" s="177"/>
      <c r="F101" s="177"/>
      <c r="G101" s="177"/>
      <c r="H101" s="177"/>
      <c r="I101" s="177"/>
      <c r="J101" s="177"/>
      <c r="K101" s="177"/>
      <c r="L101" s="177"/>
      <c r="M101" s="177"/>
      <c r="N101" s="177"/>
      <c r="O101" s="177"/>
      <c r="P101" s="177"/>
      <c r="Q101" s="177"/>
      <c r="R101" s="177"/>
      <c r="S101" s="177"/>
    </row>
    <row r="102" spans="1:19" ht="15" customHeight="1">
      <c r="A102" s="178"/>
      <c r="B102" s="177"/>
      <c r="C102" s="177"/>
      <c r="D102" s="177"/>
      <c r="E102" s="177"/>
      <c r="F102" s="177"/>
      <c r="G102" s="177"/>
      <c r="H102" s="177"/>
      <c r="I102" s="177"/>
      <c r="J102" s="177"/>
      <c r="K102" s="177"/>
      <c r="L102" s="177"/>
      <c r="M102" s="177"/>
      <c r="N102" s="177"/>
      <c r="O102" s="177"/>
      <c r="P102" s="177"/>
      <c r="Q102" s="177"/>
      <c r="R102" s="177"/>
      <c r="S102" s="177"/>
    </row>
    <row r="103" spans="1:19" ht="15" customHeight="1">
      <c r="A103" s="178"/>
      <c r="B103" s="177"/>
      <c r="C103" s="177"/>
      <c r="D103" s="177"/>
      <c r="E103" s="177"/>
      <c r="F103" s="177"/>
      <c r="G103" s="177"/>
      <c r="H103" s="177"/>
      <c r="I103" s="177"/>
      <c r="J103" s="177"/>
      <c r="K103" s="177"/>
      <c r="L103" s="177"/>
      <c r="M103" s="177"/>
      <c r="N103" s="177"/>
      <c r="O103" s="177"/>
      <c r="P103" s="177"/>
      <c r="Q103" s="177"/>
      <c r="R103" s="177"/>
      <c r="S103" s="177"/>
    </row>
    <row r="104" spans="1:19" ht="15" customHeight="1">
      <c r="A104" s="178"/>
      <c r="B104" s="177"/>
      <c r="C104" s="177"/>
      <c r="D104" s="177"/>
      <c r="E104" s="177"/>
      <c r="F104" s="177"/>
      <c r="G104" s="177"/>
      <c r="H104" s="177"/>
      <c r="I104" s="177"/>
      <c r="J104" s="177"/>
      <c r="K104" s="177"/>
      <c r="L104" s="177"/>
      <c r="M104" s="177"/>
      <c r="N104" s="177"/>
      <c r="O104" s="177"/>
      <c r="P104" s="177"/>
      <c r="Q104" s="177"/>
      <c r="R104" s="177"/>
      <c r="S104" s="177"/>
    </row>
    <row r="105" spans="1:19" ht="15" customHeight="1">
      <c r="A105" s="178"/>
      <c r="B105" s="177"/>
      <c r="C105" s="177"/>
      <c r="D105" s="177"/>
      <c r="E105" s="177"/>
      <c r="F105" s="177"/>
      <c r="G105" s="177"/>
      <c r="H105" s="177"/>
      <c r="I105" s="177"/>
      <c r="J105" s="177"/>
      <c r="K105" s="177"/>
      <c r="L105" s="177"/>
      <c r="M105" s="177"/>
      <c r="N105" s="177"/>
      <c r="O105" s="177"/>
      <c r="P105" s="177"/>
      <c r="Q105" s="177"/>
      <c r="R105" s="177"/>
      <c r="S105" s="177"/>
    </row>
    <row r="106" spans="1:19" ht="15" customHeight="1">
      <c r="A106" s="178"/>
      <c r="B106" s="177"/>
      <c r="C106" s="177"/>
      <c r="D106" s="177"/>
      <c r="E106" s="177"/>
      <c r="F106" s="177"/>
      <c r="G106" s="177"/>
      <c r="H106" s="177"/>
      <c r="I106" s="177"/>
      <c r="J106" s="177"/>
      <c r="K106" s="177"/>
      <c r="L106" s="177"/>
      <c r="M106" s="177"/>
      <c r="N106" s="177"/>
      <c r="O106" s="177"/>
      <c r="P106" s="177"/>
      <c r="Q106" s="177"/>
      <c r="R106" s="177"/>
      <c r="S106" s="177"/>
    </row>
    <row r="107" spans="1:19" ht="15" customHeight="1">
      <c r="A107" s="178"/>
      <c r="B107" s="177"/>
      <c r="C107" s="177"/>
      <c r="D107" s="177"/>
      <c r="E107" s="177"/>
      <c r="F107" s="177"/>
      <c r="G107" s="177"/>
      <c r="H107" s="177"/>
      <c r="I107" s="177"/>
      <c r="J107" s="177"/>
      <c r="K107" s="177"/>
      <c r="L107" s="177"/>
      <c r="M107" s="177"/>
      <c r="N107" s="177"/>
      <c r="O107" s="177"/>
      <c r="P107" s="177"/>
      <c r="Q107" s="177"/>
      <c r="R107" s="177"/>
      <c r="S107" s="177"/>
    </row>
    <row r="108" spans="1:19" ht="15" customHeight="1">
      <c r="A108" s="178"/>
      <c r="B108" s="177"/>
      <c r="C108" s="177"/>
      <c r="D108" s="177"/>
      <c r="E108" s="177"/>
      <c r="F108" s="177"/>
      <c r="G108" s="177"/>
      <c r="H108" s="177"/>
      <c r="I108" s="177"/>
      <c r="J108" s="177"/>
      <c r="K108" s="177"/>
      <c r="L108" s="177"/>
      <c r="M108" s="177"/>
      <c r="N108" s="177"/>
      <c r="O108" s="177"/>
      <c r="P108" s="177"/>
      <c r="Q108" s="177"/>
      <c r="R108" s="177"/>
      <c r="S108" s="177"/>
    </row>
    <row r="109" spans="1:19" ht="15" customHeight="1">
      <c r="A109" s="178"/>
      <c r="B109" s="177"/>
      <c r="C109" s="177"/>
      <c r="D109" s="177"/>
      <c r="E109" s="177"/>
      <c r="F109" s="177"/>
      <c r="G109" s="177"/>
      <c r="H109" s="177"/>
      <c r="I109" s="177"/>
      <c r="J109" s="177"/>
      <c r="K109" s="177"/>
      <c r="L109" s="177"/>
      <c r="M109" s="177"/>
      <c r="N109" s="177"/>
      <c r="O109" s="177"/>
      <c r="P109" s="177"/>
      <c r="Q109" s="177"/>
      <c r="R109" s="177"/>
      <c r="S109" s="177"/>
    </row>
    <row r="110" spans="1:19" ht="15" customHeight="1">
      <c r="A110" s="178"/>
      <c r="B110" s="177"/>
      <c r="C110" s="177"/>
      <c r="D110" s="177"/>
      <c r="E110" s="177"/>
      <c r="F110" s="177"/>
      <c r="G110" s="177"/>
      <c r="H110" s="177"/>
      <c r="I110" s="177"/>
      <c r="J110" s="177"/>
      <c r="K110" s="177"/>
      <c r="L110" s="177"/>
      <c r="M110" s="177"/>
      <c r="N110" s="177"/>
      <c r="O110" s="177"/>
      <c r="P110" s="177"/>
      <c r="Q110" s="177"/>
      <c r="R110" s="177"/>
      <c r="S110" s="177"/>
    </row>
    <row r="111" spans="1:19" ht="15" customHeight="1">
      <c r="A111" s="178"/>
      <c r="B111" s="177"/>
      <c r="C111" s="177"/>
      <c r="D111" s="177"/>
      <c r="E111" s="177"/>
      <c r="F111" s="177"/>
      <c r="G111" s="177"/>
      <c r="H111" s="177"/>
      <c r="I111" s="177"/>
      <c r="J111" s="177"/>
      <c r="K111" s="177"/>
      <c r="L111" s="177"/>
      <c r="M111" s="177"/>
      <c r="N111" s="177"/>
      <c r="O111" s="177"/>
      <c r="P111" s="177"/>
      <c r="Q111" s="177"/>
      <c r="R111" s="177"/>
      <c r="S111" s="177"/>
    </row>
    <row r="112" spans="1:19" ht="15" customHeight="1">
      <c r="A112" s="178"/>
      <c r="B112" s="177"/>
      <c r="C112" s="177"/>
      <c r="D112" s="177"/>
      <c r="E112" s="177"/>
      <c r="F112" s="177"/>
      <c r="G112" s="177"/>
      <c r="H112" s="177"/>
      <c r="I112" s="177"/>
      <c r="J112" s="177"/>
      <c r="K112" s="177"/>
      <c r="L112" s="177"/>
      <c r="M112" s="177"/>
      <c r="N112" s="177"/>
      <c r="O112" s="177"/>
      <c r="P112" s="177"/>
      <c r="Q112" s="177"/>
      <c r="R112" s="177"/>
      <c r="S112" s="177"/>
    </row>
    <row r="113" spans="1:19" ht="15" customHeight="1">
      <c r="A113" s="178"/>
      <c r="B113" s="177"/>
      <c r="C113" s="177"/>
      <c r="D113" s="177"/>
      <c r="E113" s="177"/>
      <c r="F113" s="177"/>
      <c r="G113" s="177"/>
      <c r="H113" s="177"/>
      <c r="I113" s="177"/>
      <c r="J113" s="177"/>
      <c r="K113" s="177"/>
      <c r="L113" s="177"/>
      <c r="M113" s="177"/>
      <c r="N113" s="177"/>
      <c r="O113" s="177"/>
      <c r="P113" s="177"/>
      <c r="Q113" s="177"/>
      <c r="R113" s="177"/>
      <c r="S113" s="177"/>
    </row>
    <row r="114" spans="1:19" ht="15" customHeight="1">
      <c r="A114" s="178"/>
      <c r="B114" s="177"/>
      <c r="C114" s="177"/>
      <c r="D114" s="177"/>
      <c r="E114" s="177"/>
      <c r="F114" s="177"/>
      <c r="G114" s="177"/>
      <c r="H114" s="177"/>
      <c r="I114" s="177"/>
      <c r="J114" s="177"/>
      <c r="K114" s="177"/>
      <c r="L114" s="177"/>
      <c r="M114" s="177"/>
      <c r="N114" s="177"/>
      <c r="O114" s="177"/>
      <c r="P114" s="177"/>
      <c r="Q114" s="177"/>
      <c r="R114" s="177"/>
      <c r="S114" s="177"/>
    </row>
    <row r="115" spans="1:19" ht="15" customHeight="1">
      <c r="A115" s="178"/>
      <c r="B115" s="177"/>
      <c r="C115" s="177"/>
      <c r="D115" s="177"/>
      <c r="E115" s="177"/>
      <c r="F115" s="177"/>
      <c r="G115" s="177"/>
      <c r="H115" s="177"/>
      <c r="I115" s="177"/>
      <c r="J115" s="177"/>
      <c r="K115" s="177"/>
      <c r="L115" s="177"/>
      <c r="M115" s="177"/>
      <c r="N115" s="177"/>
      <c r="O115" s="177"/>
      <c r="P115" s="177"/>
      <c r="Q115" s="177"/>
      <c r="R115" s="177"/>
      <c r="S115" s="177"/>
    </row>
    <row r="116" spans="1:19" ht="15" customHeight="1">
      <c r="A116" s="178"/>
      <c r="B116" s="177"/>
      <c r="C116" s="177"/>
      <c r="D116" s="177"/>
      <c r="E116" s="177"/>
      <c r="F116" s="177"/>
      <c r="G116" s="177"/>
      <c r="H116" s="177"/>
      <c r="I116" s="177"/>
      <c r="J116" s="177"/>
      <c r="K116" s="177"/>
      <c r="L116" s="177"/>
      <c r="M116" s="177"/>
      <c r="N116" s="177"/>
      <c r="O116" s="177"/>
      <c r="P116" s="177"/>
      <c r="Q116" s="177"/>
      <c r="R116" s="177"/>
      <c r="S116" s="177"/>
    </row>
    <row r="117" spans="1:19" ht="15" customHeight="1">
      <c r="A117" s="178"/>
      <c r="B117" s="177"/>
      <c r="C117" s="177"/>
      <c r="D117" s="177"/>
      <c r="E117" s="177"/>
      <c r="F117" s="177"/>
      <c r="G117" s="177"/>
      <c r="H117" s="177"/>
      <c r="I117" s="177"/>
      <c r="J117" s="177"/>
      <c r="K117" s="177"/>
      <c r="L117" s="177"/>
      <c r="M117" s="177"/>
      <c r="N117" s="177"/>
      <c r="O117" s="177"/>
      <c r="P117" s="177"/>
      <c r="Q117" s="177"/>
      <c r="R117" s="177"/>
      <c r="S117" s="177"/>
    </row>
    <row r="118" spans="1:19" ht="15" customHeight="1">
      <c r="A118" s="178"/>
      <c r="B118" s="177"/>
      <c r="C118" s="177"/>
      <c r="D118" s="177"/>
      <c r="E118" s="177"/>
      <c r="F118" s="177"/>
      <c r="G118" s="177"/>
      <c r="H118" s="177"/>
      <c r="I118" s="177"/>
      <c r="J118" s="177"/>
      <c r="K118" s="177"/>
      <c r="L118" s="177"/>
      <c r="M118" s="177"/>
      <c r="N118" s="177"/>
      <c r="O118" s="177"/>
      <c r="P118" s="177"/>
      <c r="Q118" s="177"/>
      <c r="R118" s="177"/>
      <c r="S118" s="177"/>
    </row>
    <row r="119" spans="1:19" ht="15" customHeight="1">
      <c r="A119" s="178"/>
      <c r="B119" s="177"/>
      <c r="C119" s="177"/>
      <c r="D119" s="177"/>
      <c r="E119" s="177"/>
      <c r="F119" s="177"/>
      <c r="G119" s="177"/>
      <c r="H119" s="177"/>
      <c r="I119" s="177"/>
      <c r="J119" s="177"/>
      <c r="K119" s="177"/>
      <c r="L119" s="177"/>
      <c r="M119" s="177"/>
      <c r="N119" s="177"/>
      <c r="O119" s="177"/>
      <c r="P119" s="177"/>
      <c r="Q119" s="177"/>
      <c r="R119" s="177"/>
      <c r="S119" s="177"/>
    </row>
    <row r="120" spans="1:19" ht="15" customHeight="1">
      <c r="A120" s="178"/>
      <c r="B120" s="177"/>
      <c r="C120" s="177"/>
      <c r="D120" s="177"/>
      <c r="E120" s="177"/>
      <c r="F120" s="177"/>
      <c r="G120" s="177"/>
      <c r="H120" s="177"/>
      <c r="I120" s="177"/>
      <c r="J120" s="177"/>
      <c r="K120" s="177"/>
      <c r="L120" s="177"/>
      <c r="M120" s="177"/>
      <c r="N120" s="177"/>
      <c r="O120" s="177"/>
      <c r="P120" s="177"/>
      <c r="Q120" s="177"/>
      <c r="R120" s="177"/>
      <c r="S120" s="177"/>
    </row>
    <row r="121" spans="1:19" ht="15" customHeight="1">
      <c r="A121" s="178"/>
      <c r="B121" s="177"/>
      <c r="C121" s="177"/>
      <c r="D121" s="177"/>
      <c r="E121" s="177"/>
      <c r="F121" s="177"/>
      <c r="G121" s="177"/>
      <c r="H121" s="177"/>
      <c r="I121" s="177"/>
      <c r="J121" s="177"/>
      <c r="K121" s="177"/>
      <c r="L121" s="177"/>
      <c r="M121" s="177"/>
      <c r="N121" s="177"/>
      <c r="O121" s="177"/>
      <c r="P121" s="177"/>
      <c r="Q121" s="177"/>
      <c r="R121" s="177"/>
      <c r="S121" s="177"/>
    </row>
    <row r="122" spans="1:19" ht="15" customHeight="1">
      <c r="A122" s="178"/>
      <c r="B122" s="177"/>
      <c r="C122" s="177"/>
      <c r="D122" s="177"/>
      <c r="E122" s="177"/>
      <c r="F122" s="177"/>
      <c r="G122" s="177"/>
      <c r="H122" s="177"/>
      <c r="I122" s="177"/>
      <c r="J122" s="177"/>
      <c r="K122" s="177"/>
      <c r="L122" s="177"/>
      <c r="M122" s="177"/>
      <c r="N122" s="177"/>
      <c r="O122" s="177"/>
      <c r="P122" s="177"/>
      <c r="Q122" s="177"/>
      <c r="R122" s="177"/>
      <c r="S122" s="177"/>
    </row>
    <row r="123" spans="1:19" ht="15" customHeight="1">
      <c r="A123" s="178"/>
      <c r="B123" s="177"/>
      <c r="C123" s="177"/>
      <c r="D123" s="177"/>
      <c r="E123" s="177"/>
      <c r="F123" s="177"/>
      <c r="G123" s="177"/>
      <c r="H123" s="177"/>
      <c r="I123" s="177"/>
      <c r="J123" s="177"/>
      <c r="K123" s="177"/>
      <c r="L123" s="177"/>
      <c r="M123" s="177"/>
      <c r="N123" s="177"/>
      <c r="O123" s="177"/>
      <c r="P123" s="177"/>
      <c r="Q123" s="177"/>
      <c r="R123" s="177"/>
      <c r="S123" s="177"/>
    </row>
    <row r="124" spans="1:19" ht="15" customHeight="1">
      <c r="A124" s="178"/>
      <c r="B124" s="177"/>
      <c r="C124" s="177"/>
      <c r="D124" s="177"/>
      <c r="E124" s="177"/>
      <c r="F124" s="177"/>
      <c r="G124" s="177"/>
      <c r="H124" s="177"/>
      <c r="I124" s="177"/>
      <c r="J124" s="177"/>
      <c r="K124" s="177"/>
      <c r="L124" s="177"/>
      <c r="M124" s="177"/>
      <c r="N124" s="177"/>
      <c r="O124" s="177"/>
      <c r="P124" s="177"/>
      <c r="Q124" s="177"/>
      <c r="R124" s="177"/>
      <c r="S124" s="177"/>
    </row>
    <row r="125" spans="1:19" ht="15" customHeight="1">
      <c r="A125" s="178"/>
      <c r="B125" s="177"/>
      <c r="C125" s="177"/>
      <c r="D125" s="177"/>
      <c r="E125" s="177"/>
      <c r="F125" s="177"/>
      <c r="G125" s="177"/>
      <c r="H125" s="177"/>
      <c r="I125" s="177"/>
      <c r="J125" s="177"/>
      <c r="K125" s="177"/>
      <c r="L125" s="177"/>
      <c r="M125" s="177"/>
      <c r="N125" s="177"/>
      <c r="O125" s="177"/>
      <c r="P125" s="177"/>
      <c r="Q125" s="177"/>
      <c r="R125" s="177"/>
      <c r="S125" s="177"/>
    </row>
    <row r="126" spans="1:19" ht="15" customHeight="1">
      <c r="A126" s="178"/>
      <c r="B126" s="177"/>
      <c r="C126" s="177"/>
      <c r="D126" s="177"/>
      <c r="E126" s="177"/>
      <c r="F126" s="177"/>
      <c r="G126" s="177"/>
      <c r="H126" s="177"/>
      <c r="I126" s="177"/>
      <c r="J126" s="177"/>
      <c r="K126" s="177"/>
      <c r="L126" s="177"/>
      <c r="M126" s="177"/>
      <c r="N126" s="177"/>
      <c r="O126" s="177"/>
      <c r="P126" s="177"/>
      <c r="Q126" s="177"/>
      <c r="R126" s="177"/>
      <c r="S126" s="177"/>
    </row>
    <row r="127" spans="1:19" ht="15" customHeight="1">
      <c r="A127" s="178"/>
      <c r="B127" s="177"/>
      <c r="C127" s="177"/>
      <c r="D127" s="177"/>
      <c r="E127" s="177"/>
      <c r="F127" s="177"/>
      <c r="G127" s="177"/>
      <c r="H127" s="177"/>
      <c r="I127" s="177"/>
      <c r="J127" s="177"/>
      <c r="K127" s="177"/>
      <c r="L127" s="177"/>
      <c r="M127" s="177"/>
      <c r="N127" s="177"/>
      <c r="O127" s="177"/>
      <c r="P127" s="177"/>
      <c r="Q127" s="177"/>
      <c r="R127" s="177"/>
      <c r="S127" s="177"/>
    </row>
    <row r="128" spans="1:19" ht="15" customHeight="1">
      <c r="A128" s="178"/>
      <c r="B128" s="177"/>
      <c r="C128" s="177"/>
      <c r="D128" s="177"/>
      <c r="E128" s="177"/>
      <c r="F128" s="177"/>
      <c r="G128" s="177"/>
      <c r="H128" s="177"/>
      <c r="I128" s="177"/>
      <c r="J128" s="177"/>
      <c r="K128" s="177"/>
      <c r="L128" s="177"/>
      <c r="M128" s="177"/>
      <c r="N128" s="177"/>
      <c r="O128" s="177"/>
      <c r="P128" s="177"/>
      <c r="Q128" s="177"/>
      <c r="R128" s="177"/>
      <c r="S128" s="177"/>
    </row>
    <row r="129" spans="1:19" ht="15" customHeight="1">
      <c r="A129" s="178"/>
      <c r="B129" s="177"/>
      <c r="C129" s="177"/>
      <c r="D129" s="177"/>
      <c r="E129" s="177"/>
      <c r="F129" s="177"/>
      <c r="G129" s="177"/>
      <c r="H129" s="177"/>
      <c r="I129" s="177"/>
      <c r="J129" s="177"/>
      <c r="K129" s="177"/>
      <c r="L129" s="177"/>
      <c r="M129" s="177"/>
      <c r="N129" s="177"/>
      <c r="O129" s="177"/>
      <c r="P129" s="177"/>
      <c r="Q129" s="177"/>
      <c r="R129" s="177"/>
      <c r="S129" s="177"/>
    </row>
    <row r="130" spans="1:19" ht="15" customHeight="1">
      <c r="A130" s="178"/>
      <c r="B130" s="177"/>
      <c r="C130" s="177"/>
      <c r="D130" s="177"/>
      <c r="E130" s="177"/>
      <c r="F130" s="177"/>
      <c r="G130" s="177"/>
      <c r="H130" s="177"/>
      <c r="I130" s="177"/>
      <c r="J130" s="177"/>
      <c r="K130" s="177"/>
      <c r="L130" s="177"/>
      <c r="M130" s="177"/>
      <c r="N130" s="177"/>
      <c r="O130" s="177"/>
      <c r="P130" s="177"/>
      <c r="Q130" s="177"/>
      <c r="R130" s="177"/>
      <c r="S130" s="177"/>
    </row>
    <row r="131" spans="1:19" ht="15" customHeight="1">
      <c r="A131" s="178"/>
      <c r="B131" s="177"/>
      <c r="C131" s="177"/>
      <c r="D131" s="177"/>
      <c r="E131" s="177"/>
      <c r="F131" s="177"/>
      <c r="G131" s="177"/>
      <c r="H131" s="177"/>
      <c r="I131" s="177"/>
      <c r="J131" s="177"/>
      <c r="K131" s="177"/>
      <c r="L131" s="177"/>
      <c r="M131" s="177"/>
      <c r="N131" s="177"/>
      <c r="O131" s="177"/>
      <c r="P131" s="177"/>
      <c r="Q131" s="177"/>
      <c r="R131" s="177"/>
      <c r="S131" s="177"/>
    </row>
    <row r="132" spans="1:19" ht="15" customHeight="1">
      <c r="A132" s="178"/>
      <c r="B132" s="177"/>
      <c r="C132" s="177"/>
      <c r="D132" s="177"/>
      <c r="E132" s="177"/>
      <c r="F132" s="177"/>
      <c r="G132" s="177"/>
      <c r="H132" s="177"/>
      <c r="I132" s="177"/>
      <c r="J132" s="177"/>
      <c r="K132" s="177"/>
      <c r="L132" s="177"/>
      <c r="M132" s="177"/>
      <c r="N132" s="177"/>
      <c r="O132" s="177"/>
      <c r="P132" s="177"/>
      <c r="Q132" s="177"/>
      <c r="R132" s="177"/>
      <c r="S132" s="177"/>
    </row>
    <row r="133" spans="1:19" ht="15" customHeight="1">
      <c r="A133" s="178"/>
      <c r="B133" s="177"/>
      <c r="C133" s="177"/>
      <c r="D133" s="177"/>
      <c r="E133" s="177"/>
      <c r="F133" s="177"/>
      <c r="G133" s="177"/>
      <c r="H133" s="177"/>
      <c r="I133" s="177"/>
      <c r="J133" s="177"/>
      <c r="K133" s="177"/>
      <c r="L133" s="177"/>
      <c r="M133" s="177"/>
      <c r="N133" s="177"/>
      <c r="O133" s="177"/>
      <c r="P133" s="177"/>
      <c r="Q133" s="177"/>
      <c r="R133" s="177"/>
      <c r="S133" s="177"/>
    </row>
    <row r="134" spans="1:19" ht="15" customHeight="1">
      <c r="A134" s="178"/>
      <c r="B134" s="177"/>
      <c r="C134" s="177"/>
      <c r="D134" s="177"/>
      <c r="E134" s="177"/>
      <c r="F134" s="177"/>
      <c r="G134" s="177"/>
      <c r="H134" s="177"/>
      <c r="I134" s="177"/>
      <c r="J134" s="177"/>
      <c r="K134" s="177"/>
      <c r="L134" s="177"/>
      <c r="M134" s="177"/>
      <c r="N134" s="177"/>
      <c r="O134" s="177"/>
      <c r="P134" s="177"/>
      <c r="Q134" s="177"/>
      <c r="R134" s="177"/>
      <c r="S134" s="177"/>
    </row>
    <row r="135" spans="1:19" ht="15" customHeight="1">
      <c r="A135" s="178"/>
      <c r="B135" s="177"/>
      <c r="C135" s="177"/>
      <c r="D135" s="177"/>
      <c r="E135" s="177"/>
      <c r="F135" s="177"/>
      <c r="G135" s="177"/>
      <c r="H135" s="177"/>
      <c r="I135" s="177"/>
      <c r="J135" s="177"/>
      <c r="K135" s="177"/>
      <c r="L135" s="177"/>
      <c r="M135" s="177"/>
      <c r="N135" s="177"/>
      <c r="O135" s="177"/>
      <c r="P135" s="177"/>
      <c r="Q135" s="177"/>
      <c r="R135" s="177"/>
      <c r="S135" s="177"/>
    </row>
    <row r="136" spans="1:19" ht="15" customHeight="1">
      <c r="A136" s="178"/>
      <c r="B136" s="177"/>
      <c r="C136" s="177"/>
      <c r="D136" s="177"/>
      <c r="E136" s="177"/>
      <c r="F136" s="177"/>
      <c r="G136" s="177"/>
      <c r="H136" s="177"/>
      <c r="I136" s="177"/>
      <c r="J136" s="177"/>
      <c r="K136" s="177"/>
      <c r="L136" s="177"/>
      <c r="M136" s="177"/>
      <c r="N136" s="177"/>
      <c r="O136" s="177"/>
      <c r="P136" s="177"/>
      <c r="Q136" s="177"/>
      <c r="R136" s="177"/>
      <c r="S136" s="177"/>
    </row>
    <row r="137" spans="1:19" ht="15" customHeight="1">
      <c r="A137" s="178"/>
      <c r="B137" s="177"/>
      <c r="C137" s="177"/>
      <c r="D137" s="177"/>
      <c r="E137" s="177"/>
      <c r="F137" s="177"/>
      <c r="G137" s="177"/>
      <c r="H137" s="177"/>
      <c r="I137" s="177"/>
      <c r="J137" s="177"/>
      <c r="K137" s="177"/>
      <c r="L137" s="177"/>
      <c r="M137" s="177"/>
      <c r="N137" s="177"/>
      <c r="O137" s="177"/>
      <c r="P137" s="177"/>
      <c r="Q137" s="177"/>
      <c r="R137" s="177"/>
      <c r="S137" s="177"/>
    </row>
    <row r="138" spans="1:19" ht="15" customHeight="1">
      <c r="A138" s="178"/>
      <c r="B138" s="177"/>
      <c r="C138" s="177"/>
      <c r="D138" s="177"/>
      <c r="E138" s="177"/>
      <c r="F138" s="177"/>
      <c r="G138" s="177"/>
      <c r="H138" s="177"/>
      <c r="I138" s="177"/>
      <c r="J138" s="177"/>
      <c r="K138" s="177"/>
      <c r="L138" s="177"/>
      <c r="M138" s="177"/>
      <c r="N138" s="177"/>
      <c r="O138" s="177"/>
      <c r="P138" s="177"/>
      <c r="Q138" s="177"/>
      <c r="R138" s="177"/>
      <c r="S138" s="177"/>
    </row>
    <row r="139" spans="1:19" ht="15" customHeight="1">
      <c r="A139" s="178"/>
      <c r="B139" s="177"/>
      <c r="C139" s="177"/>
      <c r="D139" s="177"/>
      <c r="E139" s="177"/>
      <c r="F139" s="177"/>
      <c r="G139" s="177"/>
      <c r="H139" s="177"/>
      <c r="I139" s="177"/>
      <c r="J139" s="177"/>
      <c r="K139" s="177"/>
      <c r="L139" s="177"/>
      <c r="M139" s="177"/>
      <c r="N139" s="177"/>
      <c r="O139" s="177"/>
      <c r="P139" s="177"/>
      <c r="Q139" s="177"/>
      <c r="R139" s="177"/>
      <c r="S139" s="177"/>
    </row>
    <row r="140" spans="1:19" ht="15" customHeight="1">
      <c r="A140" s="178"/>
      <c r="B140" s="177"/>
      <c r="C140" s="177"/>
      <c r="D140" s="177"/>
      <c r="E140" s="177"/>
      <c r="F140" s="177"/>
      <c r="G140" s="177"/>
      <c r="H140" s="177"/>
      <c r="I140" s="177"/>
      <c r="J140" s="177"/>
      <c r="K140" s="177"/>
      <c r="L140" s="177"/>
      <c r="M140" s="177"/>
      <c r="N140" s="177"/>
      <c r="O140" s="177"/>
      <c r="P140" s="177"/>
      <c r="Q140" s="177"/>
      <c r="R140" s="177"/>
      <c r="S140" s="177"/>
    </row>
    <row r="141" spans="1:19" ht="15" customHeight="1">
      <c r="A141" s="178"/>
      <c r="B141" s="177"/>
      <c r="C141" s="177"/>
      <c r="D141" s="177"/>
      <c r="E141" s="177"/>
      <c r="F141" s="177"/>
      <c r="G141" s="177"/>
      <c r="H141" s="177"/>
      <c r="I141" s="177"/>
      <c r="J141" s="177"/>
      <c r="K141" s="177"/>
      <c r="L141" s="177"/>
      <c r="M141" s="177"/>
      <c r="N141" s="177"/>
      <c r="O141" s="177"/>
      <c r="P141" s="177"/>
      <c r="Q141" s="177"/>
      <c r="R141" s="177"/>
      <c r="S141" s="177"/>
    </row>
    <row r="142" spans="1:19" ht="15" customHeight="1">
      <c r="A142" s="178"/>
      <c r="B142" s="177"/>
      <c r="C142" s="177"/>
      <c r="D142" s="177"/>
      <c r="E142" s="177"/>
      <c r="F142" s="177"/>
      <c r="G142" s="177"/>
      <c r="H142" s="177"/>
      <c r="I142" s="177"/>
      <c r="J142" s="177"/>
      <c r="K142" s="177"/>
      <c r="L142" s="177"/>
      <c r="M142" s="177"/>
      <c r="N142" s="177"/>
      <c r="O142" s="177"/>
      <c r="P142" s="177"/>
      <c r="Q142" s="177"/>
      <c r="R142" s="177"/>
      <c r="S142" s="177"/>
    </row>
    <row r="143" spans="1:19" ht="15" customHeight="1">
      <c r="A143" s="178"/>
      <c r="B143" s="177"/>
      <c r="C143" s="177"/>
      <c r="D143" s="177"/>
      <c r="E143" s="177"/>
      <c r="F143" s="177"/>
      <c r="G143" s="177"/>
      <c r="H143" s="177"/>
      <c r="I143" s="177"/>
      <c r="J143" s="177"/>
      <c r="K143" s="177"/>
      <c r="L143" s="177"/>
      <c r="M143" s="177"/>
      <c r="N143" s="177"/>
      <c r="O143" s="177"/>
      <c r="P143" s="177"/>
      <c r="Q143" s="177"/>
      <c r="R143" s="177"/>
      <c r="S143" s="177"/>
    </row>
    <row r="144" spans="1:19" ht="15" customHeight="1">
      <c r="A144" s="178"/>
      <c r="B144" s="177"/>
      <c r="C144" s="177"/>
      <c r="D144" s="177"/>
      <c r="E144" s="177"/>
      <c r="F144" s="177"/>
      <c r="G144" s="177"/>
      <c r="H144" s="177"/>
      <c r="I144" s="177"/>
      <c r="J144" s="177"/>
      <c r="K144" s="177"/>
      <c r="L144" s="177"/>
      <c r="M144" s="177"/>
      <c r="N144" s="177"/>
      <c r="O144" s="177"/>
      <c r="P144" s="177"/>
      <c r="Q144" s="177"/>
      <c r="R144" s="177"/>
      <c r="S144" s="177"/>
    </row>
    <row r="145" spans="1:19" ht="15" customHeight="1">
      <c r="A145" s="178"/>
      <c r="B145" s="177"/>
      <c r="C145" s="177"/>
      <c r="D145" s="177"/>
      <c r="E145" s="177"/>
      <c r="F145" s="177"/>
      <c r="G145" s="177"/>
      <c r="H145" s="177"/>
      <c r="I145" s="177"/>
      <c r="J145" s="177"/>
      <c r="K145" s="177"/>
      <c r="L145" s="177"/>
      <c r="M145" s="177"/>
      <c r="N145" s="177"/>
      <c r="O145" s="177"/>
      <c r="P145" s="177"/>
      <c r="Q145" s="177"/>
      <c r="R145" s="177"/>
      <c r="S145" s="177"/>
    </row>
    <row r="146" spans="1:19" ht="15" customHeight="1">
      <c r="A146" s="178"/>
      <c r="B146" s="177"/>
      <c r="C146" s="177"/>
      <c r="D146" s="177"/>
      <c r="E146" s="177"/>
      <c r="F146" s="177"/>
      <c r="G146" s="177"/>
      <c r="H146" s="177"/>
      <c r="I146" s="177"/>
      <c r="J146" s="177"/>
      <c r="K146" s="177"/>
      <c r="L146" s="177"/>
      <c r="M146" s="177"/>
      <c r="N146" s="177"/>
      <c r="O146" s="177"/>
      <c r="P146" s="177"/>
      <c r="Q146" s="177"/>
      <c r="R146" s="177"/>
      <c r="S146" s="177"/>
    </row>
    <row r="147" spans="1:19" ht="15" customHeight="1">
      <c r="A147" s="178"/>
      <c r="B147" s="177"/>
      <c r="C147" s="177"/>
      <c r="D147" s="177"/>
      <c r="E147" s="177"/>
      <c r="F147" s="177"/>
      <c r="G147" s="177"/>
      <c r="H147" s="177"/>
      <c r="I147" s="177"/>
      <c r="J147" s="177"/>
      <c r="K147" s="177"/>
      <c r="L147" s="177"/>
      <c r="M147" s="177"/>
      <c r="N147" s="177"/>
      <c r="O147" s="177"/>
      <c r="P147" s="177"/>
      <c r="Q147" s="177"/>
      <c r="R147" s="177"/>
      <c r="S147" s="177"/>
    </row>
    <row r="148" spans="1:19" ht="15" customHeight="1">
      <c r="A148" s="178"/>
      <c r="B148" s="177"/>
      <c r="C148" s="177"/>
      <c r="D148" s="177"/>
      <c r="E148" s="177"/>
      <c r="F148" s="177"/>
      <c r="G148" s="177"/>
      <c r="H148" s="177"/>
      <c r="I148" s="177"/>
      <c r="J148" s="177"/>
      <c r="K148" s="177"/>
      <c r="L148" s="177"/>
      <c r="M148" s="177"/>
      <c r="N148" s="177"/>
      <c r="O148" s="177"/>
      <c r="P148" s="177"/>
      <c r="Q148" s="177"/>
      <c r="R148" s="177"/>
      <c r="S148" s="177"/>
    </row>
    <row r="149" spans="1:19" ht="15" customHeight="1">
      <c r="A149" s="178"/>
      <c r="B149" s="177"/>
      <c r="C149" s="177"/>
      <c r="D149" s="177"/>
      <c r="E149" s="177"/>
      <c r="F149" s="177"/>
      <c r="G149" s="177"/>
      <c r="H149" s="177"/>
      <c r="I149" s="177"/>
      <c r="J149" s="177"/>
      <c r="K149" s="177"/>
      <c r="L149" s="177"/>
      <c r="M149" s="177"/>
      <c r="N149" s="177"/>
      <c r="O149" s="177"/>
      <c r="P149" s="177"/>
      <c r="Q149" s="177"/>
      <c r="R149" s="177"/>
      <c r="S149" s="177"/>
    </row>
    <row r="150" spans="1:19">
      <c r="A150" s="178"/>
      <c r="B150" s="177"/>
      <c r="C150" s="177"/>
      <c r="D150" s="177"/>
      <c r="E150" s="177"/>
      <c r="F150" s="177"/>
      <c r="G150" s="177"/>
      <c r="H150" s="177"/>
      <c r="I150" s="177"/>
      <c r="J150" s="177"/>
      <c r="K150" s="177"/>
      <c r="L150" s="177"/>
      <c r="M150" s="177"/>
      <c r="N150" s="177"/>
      <c r="O150" s="177"/>
      <c r="P150" s="177"/>
      <c r="Q150" s="177"/>
      <c r="R150" s="177"/>
      <c r="S150" s="177"/>
    </row>
    <row r="151" spans="1:19">
      <c r="A151" s="36"/>
      <c r="B151" s="35"/>
      <c r="C151" s="35"/>
      <c r="D151" s="45"/>
      <c r="E151" s="45"/>
      <c r="F151" s="46"/>
      <c r="G151" s="46"/>
      <c r="H151" s="47"/>
      <c r="I151" s="47"/>
      <c r="J151" s="35"/>
      <c r="K151" s="35"/>
      <c r="L151" s="45"/>
      <c r="M151" s="45"/>
      <c r="N151" s="86"/>
      <c r="O151" s="82"/>
      <c r="P151" s="82"/>
      <c r="Q151" s="82"/>
      <c r="R151" s="82"/>
      <c r="S151" s="48"/>
    </row>
    <row r="152" spans="1:19">
      <c r="A152" s="36"/>
      <c r="B152" s="35"/>
      <c r="C152" s="35"/>
      <c r="D152" s="45"/>
      <c r="E152" s="45"/>
      <c r="F152" s="46"/>
      <c r="G152" s="46"/>
      <c r="H152" s="47"/>
      <c r="I152" s="47"/>
      <c r="J152" s="35"/>
      <c r="K152" s="35"/>
      <c r="L152" s="45"/>
      <c r="M152" s="45"/>
      <c r="N152" s="86"/>
      <c r="O152" s="82"/>
      <c r="P152" s="82"/>
      <c r="Q152" s="82"/>
      <c r="R152" s="82"/>
      <c r="S152" s="48"/>
    </row>
    <row r="153" spans="1:19">
      <c r="A153" s="36"/>
      <c r="B153" s="35"/>
      <c r="C153" s="35"/>
      <c r="D153" s="45"/>
      <c r="E153" s="45"/>
      <c r="F153" s="46"/>
      <c r="G153" s="46"/>
      <c r="H153" s="47"/>
      <c r="I153" s="47"/>
      <c r="J153" s="35"/>
      <c r="K153" s="35"/>
      <c r="L153" s="45"/>
      <c r="M153" s="45"/>
      <c r="N153" s="86"/>
      <c r="O153" s="82"/>
      <c r="P153" s="82"/>
      <c r="Q153" s="82"/>
      <c r="R153" s="82"/>
      <c r="S153" s="48"/>
    </row>
    <row r="154" spans="1:19">
      <c r="A154" s="36"/>
      <c r="B154" s="35"/>
      <c r="C154" s="35"/>
      <c r="D154" s="45"/>
      <c r="E154" s="45"/>
      <c r="F154" s="46"/>
      <c r="G154" s="46"/>
      <c r="H154" s="47"/>
      <c r="I154" s="47"/>
      <c r="J154" s="35"/>
      <c r="K154" s="35"/>
      <c r="L154" s="45"/>
      <c r="M154" s="45"/>
      <c r="N154" s="86"/>
      <c r="O154" s="82"/>
      <c r="P154" s="82"/>
      <c r="Q154" s="82"/>
      <c r="R154" s="82"/>
      <c r="S154" s="48"/>
    </row>
    <row r="155" spans="1:19">
      <c r="A155" s="36"/>
      <c r="B155" s="35"/>
      <c r="C155" s="35"/>
      <c r="D155" s="45"/>
      <c r="E155" s="45"/>
      <c r="F155" s="46"/>
      <c r="G155" s="46"/>
      <c r="H155" s="47"/>
      <c r="I155" s="47"/>
      <c r="J155" s="35"/>
      <c r="K155" s="35"/>
      <c r="L155" s="35"/>
      <c r="M155" s="35"/>
      <c r="N155" s="86"/>
      <c r="O155" s="82"/>
      <c r="P155" s="82"/>
      <c r="Q155" s="82"/>
      <c r="R155" s="82"/>
      <c r="S155" s="48"/>
    </row>
    <row r="156" spans="1:19">
      <c r="A156" s="35"/>
    </row>
    <row r="157" spans="1:19">
      <c r="A157" s="35"/>
    </row>
    <row r="200" spans="75:77" ht="15.75" thickBot="1">
      <c r="BW200" s="23" t="s">
        <v>109</v>
      </c>
      <c r="BX200" s="23" t="s">
        <v>112</v>
      </c>
    </row>
    <row r="201" spans="75:77" ht="293.45" customHeight="1" thickTop="1" thickBot="1">
      <c r="BW201" s="23" t="s">
        <v>113</v>
      </c>
      <c r="BX201" s="128" t="s">
        <v>140</v>
      </c>
      <c r="BY201" s="127"/>
    </row>
    <row r="202" spans="75:77" ht="293.45" customHeight="1" thickTop="1">
      <c r="BW202" s="23" t="s">
        <v>110</v>
      </c>
      <c r="BX202" s="23"/>
    </row>
    <row r="203" spans="75:77" ht="293.45" customHeight="1">
      <c r="BW203" s="23" t="s">
        <v>111</v>
      </c>
      <c r="BX203" s="23"/>
    </row>
    <row r="204" spans="75:77" ht="293.45" customHeight="1">
      <c r="BW204" s="23" t="s">
        <v>106</v>
      </c>
      <c r="BX204" s="23"/>
    </row>
  </sheetData>
  <mergeCells count="15">
    <mergeCell ref="P67:P68"/>
    <mergeCell ref="A1:L3"/>
    <mergeCell ref="A5:H5"/>
    <mergeCell ref="A4:AT4"/>
    <mergeCell ref="B67:B68"/>
    <mergeCell ref="E67:E68"/>
    <mergeCell ref="F67:F68"/>
    <mergeCell ref="G67:G68"/>
    <mergeCell ref="H67:H68"/>
    <mergeCell ref="I67:I68"/>
    <mergeCell ref="J67:J68"/>
    <mergeCell ref="L67:L68"/>
    <mergeCell ref="M67:M68"/>
    <mergeCell ref="N67:N68"/>
    <mergeCell ref="O67:O68"/>
  </mergeCells>
  <phoneticPr fontId="27"/>
  <dataValidations count="1">
    <dataValidation type="list" allowBlank="1" showInputMessage="1" showErrorMessage="1" sqref="B8:B50">
      <formula1>inputType</formula1>
    </dataValidation>
  </dataValidations>
  <hyperlinks>
    <hyperlink ref="O5" location="'Table of Contents'!B17" display="Table of Contents"/>
  </hyperlinks>
  <pageMargins left="0.7" right="0.7" top="0.75" bottom="0.75" header="0.3" footer="0.3"/>
  <pageSetup orientation="portrait" r:id="rId1"/>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4"/>
  <sheetViews>
    <sheetView showGridLines="0" showRowColHeaders="0" zoomScaleNormal="100" workbookViewId="0">
      <selection activeCell="L5" sqref="L5"/>
    </sheetView>
  </sheetViews>
  <sheetFormatPr defaultColWidth="9.140625" defaultRowHeight="14.25"/>
  <cols>
    <col min="1" max="1" width="25.7109375" style="8" bestFit="1" customWidth="1"/>
    <col min="2" max="2" width="56.5703125" style="7" customWidth="1"/>
    <col min="3" max="11" width="9.140625" style="5"/>
    <col min="12" max="12" width="20.42578125" style="5" customWidth="1"/>
    <col min="13" max="16384" width="9.140625" style="5"/>
  </cols>
  <sheetData>
    <row r="1" spans="1:22" ht="15" customHeight="1">
      <c r="A1" s="256"/>
      <c r="B1" s="256"/>
      <c r="C1" s="256"/>
      <c r="D1" s="256"/>
      <c r="E1" s="256"/>
      <c r="F1" s="256"/>
      <c r="G1" s="256"/>
      <c r="H1" s="256"/>
      <c r="I1" s="256"/>
      <c r="J1" s="256"/>
      <c r="K1" s="256"/>
      <c r="L1" s="256"/>
    </row>
    <row r="2" spans="1:22" ht="15" customHeight="1">
      <c r="A2" s="256"/>
      <c r="B2" s="256"/>
      <c r="C2" s="256"/>
      <c r="D2" s="256"/>
      <c r="E2" s="256"/>
      <c r="F2" s="256"/>
      <c r="G2" s="256"/>
      <c r="H2" s="256"/>
      <c r="I2" s="256"/>
      <c r="J2" s="256"/>
      <c r="K2" s="256"/>
      <c r="L2" s="256"/>
    </row>
    <row r="3" spans="1:22" ht="15" customHeight="1">
      <c r="A3" s="256"/>
      <c r="B3" s="256"/>
      <c r="C3" s="256"/>
      <c r="D3" s="256"/>
      <c r="E3" s="256"/>
      <c r="F3" s="256"/>
      <c r="G3" s="256"/>
      <c r="H3" s="256"/>
      <c r="I3" s="256"/>
      <c r="J3" s="256"/>
      <c r="K3" s="256"/>
      <c r="L3" s="256"/>
    </row>
    <row r="4" spans="1:22" ht="15" customHeight="1">
      <c r="A4" s="260"/>
      <c r="B4" s="260"/>
      <c r="C4" s="260"/>
      <c r="D4" s="260"/>
      <c r="E4" s="260"/>
      <c r="F4" s="260"/>
      <c r="G4" s="260"/>
      <c r="H4" s="260"/>
      <c r="I4" s="260"/>
      <c r="J4" s="260"/>
      <c r="K4" s="260"/>
      <c r="L4" s="260"/>
      <c r="M4" s="260"/>
      <c r="N4" s="260"/>
      <c r="O4" s="260"/>
      <c r="P4" s="260"/>
      <c r="Q4" s="260"/>
      <c r="R4" s="260"/>
      <c r="S4" s="260"/>
      <c r="T4" s="260"/>
      <c r="U4" s="260"/>
      <c r="V4" s="260"/>
    </row>
    <row r="5" spans="1:22" ht="15" customHeight="1">
      <c r="A5" s="17" t="s">
        <v>24</v>
      </c>
      <c r="B5" s="16" t="s">
        <v>31</v>
      </c>
      <c r="C5" s="13"/>
      <c r="D5" s="13"/>
      <c r="E5" s="13"/>
      <c r="F5" s="13"/>
      <c r="G5" s="13"/>
      <c r="H5" s="13"/>
      <c r="I5" s="13"/>
      <c r="J5" s="13"/>
      <c r="K5" s="18"/>
      <c r="L5" s="87" t="s">
        <v>23</v>
      </c>
    </row>
    <row r="6" spans="1:22" ht="15" customHeight="1">
      <c r="A6" s="17" t="s">
        <v>22</v>
      </c>
      <c r="B6" s="16"/>
      <c r="C6" s="13"/>
      <c r="D6" s="13"/>
      <c r="E6" s="13"/>
      <c r="F6" s="13"/>
      <c r="G6" s="13"/>
      <c r="H6" s="13"/>
      <c r="I6" s="13"/>
      <c r="J6" s="15"/>
      <c r="K6" s="15"/>
      <c r="L6" s="15"/>
    </row>
    <row r="7" spans="1:22" ht="15" customHeight="1"/>
    <row r="8" spans="1:22" ht="15" customHeight="1"/>
    <row r="9" spans="1:22" ht="15" customHeight="1"/>
    <row r="10" spans="1:22" ht="15" customHeight="1"/>
    <row r="11" spans="1:22" ht="15" customHeight="1"/>
    <row r="12" spans="1:22" ht="15" customHeight="1"/>
    <row r="13" spans="1:22" ht="15" customHeight="1"/>
    <row r="14" spans="1:22" ht="15" customHeight="1"/>
    <row r="15" spans="1:22" ht="15" customHeight="1"/>
    <row r="16" spans="1:22" ht="15" customHeight="1"/>
    <row r="17" spans="1:1" s="7" customFormat="1" ht="15" customHeight="1">
      <c r="A17" s="8"/>
    </row>
    <row r="18" spans="1:1" s="7" customFormat="1" ht="15" customHeight="1">
      <c r="A18" s="8"/>
    </row>
    <row r="19" spans="1:1" s="7" customFormat="1" ht="15" customHeight="1">
      <c r="A19" s="8"/>
    </row>
    <row r="20" spans="1:1" s="7" customFormat="1" ht="15" customHeight="1">
      <c r="A20" s="8"/>
    </row>
    <row r="21" spans="1:1" s="7" customFormat="1" ht="15" customHeight="1">
      <c r="A21" s="8"/>
    </row>
    <row r="22" spans="1:1" ht="15" customHeight="1"/>
    <row r="23" spans="1:1" ht="15" customHeight="1"/>
    <row r="24" spans="1:1" ht="15" customHeight="1"/>
    <row r="25" spans="1:1" ht="15" customHeight="1"/>
    <row r="26" spans="1:1" ht="15" customHeight="1"/>
    <row r="27" spans="1:1" ht="15" customHeight="1"/>
    <row r="28" spans="1:1" ht="15" customHeight="1"/>
    <row r="29" spans="1:1" ht="15" customHeight="1"/>
    <row r="30" spans="1:1" ht="15" customHeight="1"/>
    <row r="31" spans="1:1" ht="15" customHeight="1"/>
    <row r="32" spans="1:1" ht="15" customHeight="1"/>
    <row r="33" spans="1:39" ht="15" customHeight="1">
      <c r="B33" s="10"/>
    </row>
    <row r="34" spans="1:39" ht="15" customHeight="1">
      <c r="B34" s="10"/>
    </row>
    <row r="35" spans="1:39" ht="15" customHeight="1">
      <c r="A35" s="11" t="s">
        <v>21</v>
      </c>
      <c r="B35" s="14"/>
      <c r="C35" s="13"/>
      <c r="D35" s="13"/>
      <c r="E35" s="13"/>
      <c r="F35" s="13"/>
      <c r="G35" s="13"/>
      <c r="H35" s="13"/>
      <c r="I35" s="13"/>
      <c r="J35" s="13"/>
      <c r="K35" s="13"/>
    </row>
    <row r="36" spans="1:39" ht="15" customHeight="1">
      <c r="A36" s="12" t="s">
        <v>20</v>
      </c>
      <c r="B36" s="257" t="s">
        <v>19</v>
      </c>
      <c r="C36" s="257"/>
      <c r="D36" s="257"/>
      <c r="E36" s="257"/>
      <c r="F36" s="257"/>
      <c r="G36" s="257"/>
      <c r="H36" s="257"/>
      <c r="I36" s="257"/>
      <c r="J36" s="257"/>
      <c r="K36" s="257"/>
    </row>
    <row r="37" spans="1:39" ht="15" customHeight="1">
      <c r="A37" s="11" t="s">
        <v>31</v>
      </c>
      <c r="B37" s="258" t="s">
        <v>32</v>
      </c>
      <c r="C37" s="258"/>
      <c r="D37" s="258"/>
      <c r="E37" s="258"/>
      <c r="F37" s="258"/>
      <c r="G37" s="258"/>
      <c r="H37" s="258"/>
      <c r="I37" s="258"/>
      <c r="J37" s="258"/>
      <c r="K37" s="258"/>
    </row>
    <row r="38" spans="1:39" ht="14.25" customHeight="1">
      <c r="A38" s="11"/>
      <c r="B38" s="259"/>
      <c r="C38" s="259"/>
      <c r="D38" s="259"/>
      <c r="E38" s="259"/>
      <c r="F38" s="259"/>
      <c r="G38" s="259"/>
      <c r="H38" s="259"/>
      <c r="I38" s="259"/>
      <c r="J38" s="259"/>
      <c r="K38" s="259"/>
    </row>
    <row r="39" spans="1:39" ht="14.25" customHeight="1">
      <c r="B39" s="255"/>
      <c r="C39" s="255"/>
      <c r="D39" s="255"/>
      <c r="E39" s="255"/>
      <c r="F39" s="255"/>
      <c r="G39" s="255"/>
      <c r="H39" s="255"/>
      <c r="I39" s="255"/>
      <c r="J39" s="255"/>
      <c r="K39" s="255"/>
    </row>
    <row r="40" spans="1:39" ht="14.25" customHeight="1">
      <c r="B40" s="255"/>
      <c r="C40" s="255"/>
      <c r="D40" s="255"/>
      <c r="E40" s="255"/>
      <c r="F40" s="255"/>
      <c r="G40" s="255"/>
      <c r="H40" s="255"/>
      <c r="I40" s="255"/>
      <c r="J40" s="255"/>
      <c r="K40" s="255"/>
    </row>
    <row r="41" spans="1:39" ht="14.25" customHeight="1"/>
    <row r="44" spans="1:39" s="3" customFormat="1" ht="15">
      <c r="A44" s="8"/>
      <c r="B44" s="10"/>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row>
  </sheetData>
  <mergeCells count="7">
    <mergeCell ref="B40:K40"/>
    <mergeCell ref="A1:L3"/>
    <mergeCell ref="B36:K36"/>
    <mergeCell ref="B37:K37"/>
    <mergeCell ref="B38:K38"/>
    <mergeCell ref="B39:K39"/>
    <mergeCell ref="A4:V4"/>
  </mergeCells>
  <phoneticPr fontId="27"/>
  <hyperlinks>
    <hyperlink ref="L5" location="'Table of Contents'!B17" display="Table of Contents"/>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showGridLines="0" showRowColHeaders="0" zoomScaleNormal="100" workbookViewId="0">
      <selection activeCell="R5" sqref="R5"/>
    </sheetView>
  </sheetViews>
  <sheetFormatPr defaultRowHeight="15"/>
  <cols>
    <col min="3" max="3" width="7.85546875" customWidth="1"/>
    <col min="4" max="4" width="6.5703125" customWidth="1"/>
    <col min="18" max="18" width="18.85546875" customWidth="1"/>
  </cols>
  <sheetData>
    <row r="1" spans="1:30" ht="15" customHeight="1">
      <c r="A1" s="195"/>
      <c r="B1" s="195"/>
      <c r="C1" s="195"/>
      <c r="D1" s="195"/>
      <c r="E1" s="195"/>
      <c r="F1" s="195"/>
      <c r="G1" s="195"/>
      <c r="H1" s="195"/>
      <c r="I1" s="195"/>
      <c r="J1" s="195"/>
      <c r="K1" s="195"/>
      <c r="L1" s="195"/>
      <c r="M1" s="195"/>
      <c r="N1" s="195"/>
      <c r="O1" s="195"/>
      <c r="P1" s="195"/>
      <c r="Q1" s="195"/>
      <c r="R1" s="195"/>
    </row>
    <row r="2" spans="1:30" ht="15" customHeight="1">
      <c r="A2" s="195"/>
      <c r="B2" s="195"/>
      <c r="C2" s="195"/>
      <c r="D2" s="195"/>
      <c r="E2" s="195"/>
      <c r="F2" s="195"/>
      <c r="G2" s="195"/>
      <c r="H2" s="195"/>
      <c r="I2" s="195"/>
      <c r="J2" s="195"/>
      <c r="K2" s="195"/>
      <c r="L2" s="195"/>
      <c r="M2" s="195"/>
      <c r="N2" s="195"/>
      <c r="O2" s="195"/>
      <c r="P2" s="195"/>
      <c r="Q2" s="195"/>
      <c r="R2" s="195"/>
    </row>
    <row r="3" spans="1:30" ht="15" customHeight="1">
      <c r="A3" s="195"/>
      <c r="B3" s="195"/>
      <c r="C3" s="195"/>
      <c r="D3" s="195"/>
      <c r="E3" s="195"/>
      <c r="F3" s="195"/>
      <c r="G3" s="195"/>
      <c r="H3" s="195"/>
      <c r="I3" s="195"/>
      <c r="J3" s="195"/>
      <c r="K3" s="195"/>
      <c r="L3" s="195"/>
      <c r="M3" s="195"/>
      <c r="N3" s="195"/>
      <c r="O3" s="195"/>
      <c r="P3" s="195"/>
      <c r="Q3" s="195"/>
      <c r="R3" s="195"/>
    </row>
    <row r="4" spans="1:30" ht="15" customHeight="1">
      <c r="A4" s="196"/>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row>
    <row r="5" spans="1:30" ht="15" customHeight="1">
      <c r="A5" s="193" t="s">
        <v>95</v>
      </c>
      <c r="B5" s="193"/>
      <c r="C5" s="193"/>
      <c r="D5" s="193"/>
      <c r="E5" s="193"/>
      <c r="F5" s="193"/>
      <c r="G5" s="193"/>
      <c r="H5" s="193"/>
      <c r="I5" s="193"/>
      <c r="J5" s="193"/>
      <c r="K5" s="193"/>
      <c r="L5" s="193"/>
      <c r="M5" s="193"/>
      <c r="N5" s="193"/>
      <c r="O5" s="193"/>
      <c r="P5" s="193"/>
      <c r="Q5" s="18"/>
      <c r="R5" s="87" t="s">
        <v>23</v>
      </c>
      <c r="S5" s="19"/>
    </row>
    <row r="6" spans="1:30" ht="15" customHeight="1">
      <c r="A6" s="19"/>
      <c r="B6" s="19"/>
      <c r="C6" s="19"/>
      <c r="D6" s="19"/>
      <c r="E6" s="19"/>
      <c r="F6" s="19"/>
      <c r="G6" s="19"/>
      <c r="H6" s="19"/>
      <c r="I6" s="19"/>
      <c r="J6" s="19"/>
      <c r="K6" s="19"/>
      <c r="L6" s="19"/>
      <c r="M6" s="19"/>
      <c r="N6" s="19"/>
      <c r="O6" s="19"/>
      <c r="P6" s="19"/>
      <c r="Q6" s="19"/>
      <c r="R6" s="19"/>
      <c r="S6" s="19"/>
    </row>
    <row r="7" spans="1:30" ht="15" customHeight="1">
      <c r="A7" s="19"/>
      <c r="B7" s="19"/>
      <c r="C7" s="19"/>
      <c r="D7" s="19"/>
      <c r="E7" s="19"/>
      <c r="F7" s="19"/>
      <c r="G7" s="19"/>
      <c r="H7" s="19"/>
      <c r="I7" s="19"/>
      <c r="J7" s="19"/>
      <c r="K7" s="19"/>
      <c r="L7" s="19"/>
      <c r="M7" s="19"/>
      <c r="N7" s="19"/>
      <c r="O7" s="19"/>
      <c r="P7" s="19"/>
      <c r="Q7" s="19"/>
      <c r="R7" s="19"/>
      <c r="S7" s="19"/>
    </row>
    <row r="8" spans="1:30" ht="15" customHeight="1">
      <c r="A8" s="267" t="s">
        <v>30</v>
      </c>
      <c r="B8" s="267"/>
      <c r="C8" s="267"/>
      <c r="D8" s="267"/>
      <c r="E8" s="267"/>
      <c r="F8" s="267"/>
      <c r="G8" s="267"/>
      <c r="H8" s="267"/>
      <c r="I8" s="267"/>
      <c r="J8" s="267"/>
      <c r="K8" s="267"/>
      <c r="L8" s="267"/>
      <c r="M8" s="267"/>
      <c r="N8" s="267"/>
      <c r="O8" s="267"/>
      <c r="P8" s="267"/>
      <c r="Q8" s="267"/>
      <c r="R8" s="267"/>
      <c r="S8" s="19"/>
    </row>
    <row r="9" spans="1:30" ht="15" customHeight="1">
      <c r="A9" s="19"/>
      <c r="B9" s="19"/>
      <c r="C9" s="19"/>
      <c r="D9" s="19"/>
      <c r="E9" s="19"/>
      <c r="F9" s="19"/>
      <c r="G9" s="19"/>
      <c r="H9" s="19"/>
      <c r="I9" s="19"/>
      <c r="J9" s="19"/>
      <c r="K9" s="19"/>
      <c r="L9" s="19"/>
      <c r="M9" s="19"/>
      <c r="N9" s="19"/>
      <c r="O9" s="19"/>
      <c r="P9" s="19"/>
      <c r="Q9" s="19"/>
      <c r="R9" s="19"/>
      <c r="S9" s="19"/>
    </row>
    <row r="10" spans="1:30" ht="15" customHeight="1">
      <c r="A10" s="19"/>
      <c r="B10" s="19" t="s">
        <v>29</v>
      </c>
      <c r="C10" s="19"/>
      <c r="D10" s="19"/>
      <c r="E10" s="19"/>
      <c r="F10" s="19"/>
      <c r="G10" s="19"/>
      <c r="H10" s="19"/>
      <c r="I10" s="19"/>
      <c r="J10" s="19"/>
      <c r="K10" s="19"/>
      <c r="L10" s="19"/>
      <c r="M10" s="19"/>
      <c r="N10" s="19"/>
      <c r="O10" s="19"/>
      <c r="P10" s="19"/>
      <c r="Q10" s="19"/>
      <c r="R10" s="19"/>
      <c r="S10" s="19"/>
    </row>
    <row r="11" spans="1:30" ht="15" customHeight="1">
      <c r="A11" s="19"/>
      <c r="B11" s="19"/>
      <c r="C11" s="262" t="s">
        <v>135</v>
      </c>
      <c r="D11" s="262"/>
      <c r="E11" s="89" t="s">
        <v>34</v>
      </c>
      <c r="F11" s="34"/>
      <c r="G11" s="34"/>
      <c r="H11" s="34"/>
      <c r="I11" s="34"/>
      <c r="J11" s="19"/>
      <c r="K11" s="19"/>
      <c r="L11" s="19"/>
      <c r="M11" s="19"/>
      <c r="N11" s="19"/>
      <c r="O11" s="19"/>
      <c r="P11" s="19"/>
      <c r="Q11" s="19"/>
      <c r="R11" s="19"/>
      <c r="S11" s="19"/>
    </row>
    <row r="12" spans="1:30" ht="15" customHeight="1">
      <c r="A12" s="19"/>
      <c r="C12" s="262" t="s">
        <v>136</v>
      </c>
      <c r="D12" s="262"/>
      <c r="E12" s="89" t="s">
        <v>33</v>
      </c>
      <c r="F12" s="34"/>
      <c r="G12" s="34"/>
      <c r="H12" s="34"/>
      <c r="O12" s="19"/>
      <c r="P12" s="19"/>
      <c r="Q12" s="19"/>
      <c r="R12" s="19"/>
      <c r="S12" s="19"/>
    </row>
    <row r="13" spans="1:30" ht="15" customHeight="1">
      <c r="A13" s="19"/>
      <c r="C13" s="266" t="s">
        <v>96</v>
      </c>
      <c r="D13" s="266"/>
      <c r="E13" s="89" t="s">
        <v>97</v>
      </c>
      <c r="F13" s="34"/>
      <c r="G13" s="34"/>
      <c r="H13" s="34"/>
      <c r="O13" s="19"/>
      <c r="P13" s="19"/>
      <c r="Q13" s="19"/>
      <c r="R13" s="19"/>
      <c r="S13" s="19"/>
    </row>
    <row r="14" spans="1:30" ht="15" customHeight="1">
      <c r="A14" s="19"/>
      <c r="B14" s="19"/>
      <c r="C14" s="262" t="s">
        <v>35</v>
      </c>
      <c r="D14" s="262"/>
      <c r="E14" s="89" t="s">
        <v>36</v>
      </c>
      <c r="F14" s="34"/>
      <c r="G14" s="34"/>
      <c r="H14" s="34"/>
      <c r="I14" s="19"/>
      <c r="J14" s="19"/>
      <c r="K14" s="19"/>
      <c r="L14" s="19"/>
      <c r="M14" s="19"/>
      <c r="N14" s="19"/>
      <c r="O14" s="19"/>
      <c r="P14" s="19"/>
      <c r="Q14" s="19"/>
      <c r="R14" s="19"/>
      <c r="S14" s="19"/>
    </row>
    <row r="15" spans="1:30" ht="15" customHeight="1">
      <c r="A15" s="19"/>
      <c r="B15" s="19"/>
      <c r="C15" s="262" t="s">
        <v>137</v>
      </c>
      <c r="D15" s="262"/>
      <c r="E15" s="89" t="s">
        <v>99</v>
      </c>
      <c r="F15" s="34"/>
      <c r="G15" s="34"/>
      <c r="H15" s="34"/>
      <c r="I15" s="19"/>
      <c r="J15" s="19"/>
      <c r="K15" s="19"/>
      <c r="L15" s="19"/>
      <c r="M15" s="19"/>
      <c r="N15" s="19"/>
      <c r="O15" s="19"/>
      <c r="P15" s="19"/>
      <c r="Q15" s="19"/>
      <c r="R15" s="19"/>
      <c r="S15" s="19"/>
    </row>
    <row r="16" spans="1:30" ht="15" customHeight="1">
      <c r="A16" s="19"/>
      <c r="B16" s="19"/>
      <c r="C16" s="262" t="s">
        <v>138</v>
      </c>
      <c r="D16" s="262"/>
      <c r="E16" s="89" t="s">
        <v>100</v>
      </c>
      <c r="F16" s="34"/>
      <c r="G16" s="34"/>
      <c r="H16" s="34"/>
      <c r="I16" s="19"/>
      <c r="J16" s="19"/>
      <c r="K16" s="19"/>
      <c r="L16" s="19"/>
      <c r="M16" s="19"/>
      <c r="N16" s="19"/>
      <c r="O16" s="19"/>
      <c r="P16" s="19"/>
      <c r="Q16" s="19"/>
      <c r="R16" s="19"/>
      <c r="S16" s="19"/>
    </row>
    <row r="17" spans="1:19" ht="15" customHeight="1">
      <c r="A17" s="19"/>
      <c r="B17" s="19"/>
      <c r="C17" s="262" t="s">
        <v>98</v>
      </c>
      <c r="D17" s="262"/>
      <c r="E17" s="89" t="s">
        <v>101</v>
      </c>
      <c r="F17" s="34"/>
      <c r="G17" s="34"/>
      <c r="H17" s="34"/>
      <c r="I17" s="19"/>
      <c r="J17" s="19"/>
      <c r="K17" s="19"/>
      <c r="L17" s="19"/>
      <c r="M17" s="19"/>
      <c r="N17" s="19"/>
      <c r="O17" s="19"/>
      <c r="P17" s="19"/>
      <c r="Q17" s="19"/>
      <c r="R17" s="19"/>
      <c r="S17" s="19"/>
    </row>
    <row r="18" spans="1:19" ht="15" customHeight="1">
      <c r="A18" s="19"/>
      <c r="B18" s="19"/>
      <c r="C18" s="262" t="s">
        <v>139</v>
      </c>
      <c r="D18" s="262"/>
      <c r="E18" s="89" t="s">
        <v>102</v>
      </c>
      <c r="F18" s="34"/>
      <c r="G18" s="34"/>
      <c r="H18" s="34"/>
      <c r="I18" s="19"/>
      <c r="J18" s="19"/>
      <c r="K18" s="19"/>
      <c r="L18" s="19"/>
      <c r="M18" s="19"/>
      <c r="N18" s="19"/>
      <c r="O18" s="19"/>
      <c r="P18" s="19"/>
      <c r="Q18" s="19"/>
      <c r="R18" s="19"/>
      <c r="S18" s="19"/>
    </row>
    <row r="19" spans="1:19" ht="15" customHeight="1">
      <c r="A19" s="19"/>
      <c r="B19" s="19"/>
      <c r="C19" s="19"/>
      <c r="D19" s="19"/>
      <c r="E19" s="19"/>
      <c r="F19" s="19"/>
      <c r="G19" s="19"/>
      <c r="H19" s="19"/>
      <c r="I19" s="19"/>
      <c r="J19" s="19"/>
      <c r="K19" s="19"/>
      <c r="L19" s="19"/>
      <c r="M19" s="19"/>
      <c r="N19" s="19"/>
      <c r="O19" s="19"/>
      <c r="P19" s="19"/>
      <c r="Q19" s="19"/>
      <c r="R19" s="19"/>
      <c r="S19" s="19"/>
    </row>
    <row r="20" spans="1:19" ht="15" customHeight="1">
      <c r="A20" s="19"/>
      <c r="B20" s="19" t="s">
        <v>28</v>
      </c>
      <c r="C20" s="19"/>
      <c r="D20" s="19"/>
      <c r="E20" s="19"/>
      <c r="F20" s="19"/>
      <c r="G20" s="19"/>
      <c r="H20" s="19"/>
      <c r="I20" s="19"/>
      <c r="J20" s="19"/>
      <c r="K20" s="19"/>
      <c r="L20" s="19"/>
      <c r="M20" s="19"/>
      <c r="N20" s="19"/>
      <c r="O20" s="19"/>
      <c r="P20" s="19"/>
      <c r="Q20" s="19"/>
      <c r="R20" s="19"/>
      <c r="S20" s="19"/>
    </row>
    <row r="21" spans="1:19" ht="15" customHeight="1">
      <c r="A21" s="19"/>
      <c r="B21" s="19"/>
      <c r="C21" s="263" t="s">
        <v>27</v>
      </c>
      <c r="D21" s="263"/>
      <c r="E21" s="194" t="s">
        <v>23</v>
      </c>
      <c r="F21" s="194"/>
      <c r="G21" s="194"/>
      <c r="H21" s="194"/>
      <c r="I21" s="19"/>
      <c r="J21" s="19"/>
      <c r="K21" s="19"/>
      <c r="L21" s="19"/>
      <c r="M21" s="19"/>
      <c r="N21" s="19"/>
      <c r="O21" s="19"/>
      <c r="P21" s="19"/>
      <c r="Q21" s="19"/>
      <c r="R21" s="19"/>
      <c r="S21" s="19"/>
    </row>
    <row r="22" spans="1:19" ht="15" customHeight="1">
      <c r="A22" s="19"/>
      <c r="B22" s="19"/>
      <c r="C22" s="19"/>
      <c r="D22" s="19"/>
      <c r="E22" s="19"/>
      <c r="F22" s="19"/>
      <c r="G22" s="19"/>
      <c r="H22" s="19"/>
      <c r="I22" s="19"/>
      <c r="J22" s="19"/>
      <c r="K22" s="19"/>
      <c r="L22" s="19"/>
      <c r="M22" s="19"/>
      <c r="N22" s="19"/>
      <c r="O22" s="19"/>
      <c r="P22" s="19"/>
      <c r="Q22" s="19"/>
      <c r="R22" s="19"/>
      <c r="S22" s="19"/>
    </row>
    <row r="23" spans="1:19" ht="15" customHeight="1">
      <c r="A23" s="19"/>
      <c r="B23" s="19" t="s">
        <v>26</v>
      </c>
      <c r="C23" s="19"/>
      <c r="D23" s="19"/>
      <c r="E23" s="19"/>
      <c r="F23" s="19"/>
      <c r="G23" s="19"/>
      <c r="H23" s="19"/>
      <c r="I23" s="19"/>
      <c r="J23" s="19"/>
      <c r="K23" s="19"/>
      <c r="L23" s="19"/>
      <c r="M23" s="19"/>
      <c r="N23" s="19"/>
      <c r="O23" s="19"/>
      <c r="P23" s="19"/>
      <c r="Q23" s="19"/>
      <c r="R23" s="19"/>
      <c r="S23" s="19"/>
    </row>
    <row r="24" spans="1:19" ht="15" customHeight="1">
      <c r="A24" s="19"/>
      <c r="B24" s="19"/>
      <c r="C24" s="29"/>
      <c r="D24" s="29"/>
      <c r="E24" s="20"/>
      <c r="F24" s="19"/>
      <c r="G24" s="19"/>
      <c r="H24" s="19"/>
      <c r="I24" s="19"/>
      <c r="J24" s="19"/>
      <c r="K24" s="19"/>
      <c r="L24" s="19"/>
      <c r="M24" s="19"/>
      <c r="N24" s="19"/>
      <c r="O24" s="19"/>
      <c r="P24" s="19"/>
      <c r="Q24" s="19"/>
      <c r="R24" s="19"/>
      <c r="S24" s="19"/>
    </row>
    <row r="25" spans="1:19" ht="15" customHeight="1">
      <c r="A25" s="19"/>
      <c r="B25" s="19"/>
      <c r="C25" s="50" t="s">
        <v>86</v>
      </c>
      <c r="D25" s="264" t="s">
        <v>25</v>
      </c>
      <c r="E25" s="264"/>
      <c r="F25" s="19"/>
      <c r="G25" s="19"/>
      <c r="H25" s="19"/>
      <c r="I25" s="19"/>
      <c r="J25" s="19"/>
      <c r="K25" s="19"/>
      <c r="L25" s="19"/>
      <c r="M25" s="19"/>
      <c r="N25" s="19"/>
      <c r="O25" s="19"/>
      <c r="P25" s="19"/>
      <c r="Q25" s="19"/>
      <c r="R25" s="19"/>
      <c r="S25" s="19"/>
    </row>
    <row r="26" spans="1:19" ht="15" customHeight="1">
      <c r="A26" s="19"/>
      <c r="B26" s="19"/>
      <c r="C26" s="50" t="s">
        <v>87</v>
      </c>
      <c r="D26" s="265" t="s">
        <v>25</v>
      </c>
      <c r="E26" s="265"/>
      <c r="F26" s="19"/>
      <c r="G26" s="19"/>
      <c r="H26" s="19"/>
      <c r="I26" s="19"/>
      <c r="J26" s="19"/>
      <c r="K26" s="19"/>
      <c r="L26" s="19"/>
      <c r="M26" s="19"/>
      <c r="N26" s="19"/>
      <c r="O26" s="19"/>
      <c r="P26" s="19"/>
      <c r="Q26" s="19"/>
      <c r="R26" s="19"/>
      <c r="S26" s="19"/>
    </row>
    <row r="27" spans="1:19" ht="15" customHeight="1">
      <c r="A27" s="19"/>
      <c r="B27" s="19"/>
      <c r="C27" s="50" t="s">
        <v>88</v>
      </c>
      <c r="D27" s="261" t="s">
        <v>25</v>
      </c>
      <c r="E27" s="261"/>
      <c r="F27" s="19"/>
      <c r="G27" s="19"/>
      <c r="H27" s="19"/>
      <c r="I27" s="19"/>
      <c r="J27" s="19"/>
      <c r="K27" s="19"/>
      <c r="L27" s="19"/>
      <c r="M27" s="19"/>
      <c r="N27" s="19"/>
      <c r="O27" s="19"/>
      <c r="P27" s="19"/>
      <c r="Q27" s="19"/>
      <c r="R27" s="19"/>
      <c r="S27" s="19"/>
    </row>
    <row r="28" spans="1:19" ht="15" customHeight="1">
      <c r="A28" s="19"/>
      <c r="B28" s="19"/>
      <c r="F28" s="19"/>
      <c r="G28" s="19"/>
      <c r="H28" s="19"/>
      <c r="I28" s="19"/>
      <c r="J28" s="19"/>
      <c r="K28" s="19"/>
      <c r="L28" s="19"/>
      <c r="M28" s="19"/>
      <c r="N28" s="19"/>
      <c r="O28" s="19"/>
      <c r="P28" s="19"/>
      <c r="Q28" s="19"/>
      <c r="R28" s="19"/>
      <c r="S28" s="19"/>
    </row>
    <row r="29" spans="1:19" ht="15" customHeight="1">
      <c r="A29" s="1"/>
      <c r="B29" s="1"/>
      <c r="C29" s="1"/>
      <c r="D29" s="1"/>
      <c r="E29" s="1"/>
      <c r="F29" s="1"/>
      <c r="G29" s="1"/>
      <c r="H29" s="1"/>
      <c r="I29" s="1"/>
      <c r="J29" s="1"/>
      <c r="K29" s="1"/>
      <c r="L29" s="1"/>
      <c r="M29" s="1"/>
      <c r="N29" s="1"/>
      <c r="O29" s="1"/>
      <c r="P29" s="1"/>
      <c r="Q29" s="1"/>
      <c r="R29" s="1"/>
      <c r="S29" s="1"/>
    </row>
    <row r="30" spans="1:19" ht="15" customHeight="1">
      <c r="A30" s="1"/>
      <c r="B30" s="1"/>
      <c r="C30" s="1"/>
      <c r="D30" s="1"/>
      <c r="E30" s="1"/>
      <c r="F30" s="1"/>
      <c r="G30" s="1"/>
      <c r="H30" s="1"/>
      <c r="I30" s="1"/>
      <c r="J30" s="1"/>
      <c r="K30" s="1"/>
      <c r="L30" s="1"/>
      <c r="M30" s="1"/>
      <c r="N30" s="1"/>
      <c r="O30" s="1"/>
      <c r="P30" s="1"/>
      <c r="Q30" s="1"/>
      <c r="R30" s="1"/>
      <c r="S30" s="1"/>
    </row>
    <row r="31" spans="1:19" ht="15" customHeight="1">
      <c r="A31" s="1"/>
      <c r="B31" s="1"/>
      <c r="C31" s="1"/>
      <c r="D31" s="1"/>
      <c r="E31" s="1"/>
      <c r="F31" s="1"/>
      <c r="G31" s="1"/>
      <c r="H31" s="1"/>
      <c r="I31" s="1"/>
      <c r="J31" s="1"/>
      <c r="K31" s="1"/>
      <c r="L31" s="1"/>
      <c r="M31" s="1"/>
      <c r="N31" s="1"/>
      <c r="O31" s="1"/>
      <c r="P31" s="1"/>
      <c r="Q31" s="1"/>
      <c r="R31" s="1"/>
      <c r="S31" s="1"/>
    </row>
    <row r="32" spans="1:19" ht="15" customHeight="1">
      <c r="A32" s="1"/>
      <c r="B32" s="1"/>
      <c r="C32" s="1"/>
      <c r="D32" s="1"/>
      <c r="E32" s="1"/>
      <c r="F32" s="1"/>
      <c r="G32" s="1"/>
      <c r="H32" s="1"/>
      <c r="I32" s="1"/>
      <c r="J32" s="1"/>
      <c r="K32" s="1"/>
      <c r="L32" s="1"/>
      <c r="M32" s="1"/>
      <c r="N32" s="1"/>
      <c r="O32" s="1"/>
      <c r="P32" s="1"/>
      <c r="Q32" s="1"/>
      <c r="R32" s="1"/>
      <c r="S32" s="1"/>
    </row>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mergeCells count="17">
    <mergeCell ref="A1:R3"/>
    <mergeCell ref="A5:P5"/>
    <mergeCell ref="A8:R8"/>
    <mergeCell ref="C12:D12"/>
    <mergeCell ref="C11:D11"/>
    <mergeCell ref="D27:E27"/>
    <mergeCell ref="A4:AD4"/>
    <mergeCell ref="E21:H21"/>
    <mergeCell ref="C14:D14"/>
    <mergeCell ref="C21:D21"/>
    <mergeCell ref="D25:E25"/>
    <mergeCell ref="D26:E26"/>
    <mergeCell ref="C13:D13"/>
    <mergeCell ref="C15:D15"/>
    <mergeCell ref="C16:D16"/>
    <mergeCell ref="C17:D17"/>
    <mergeCell ref="C18:D18"/>
  </mergeCells>
  <phoneticPr fontId="27"/>
  <hyperlinks>
    <hyperlink ref="A5:O5" r:id="rId1" display="For any futher assistance on this tool, please post your question in the following forum Room - E2E Precision Data Converters Forum"/>
    <hyperlink ref="R5" location="'Table of Contents'!B17" display="Table of Contents"/>
    <hyperlink ref="E21" location="'Table of Contents'!A1" display="Table of Contents"/>
    <hyperlink ref="E12" r:id="rId2"/>
    <hyperlink ref="E14" r:id="rId3"/>
    <hyperlink ref="E11" r:id="rId4"/>
    <hyperlink ref="E21:H21" location="'Table of Contents'!B17" display="Table of Contents"/>
    <hyperlink ref="E13" r:id="rId5"/>
    <hyperlink ref="E15" r:id="rId6"/>
    <hyperlink ref="E16" r:id="rId7"/>
    <hyperlink ref="E17" r:id="rId8"/>
    <hyperlink ref="E18" r:id="rId9"/>
  </hyperlinks>
  <pageMargins left="0.7" right="0.7" top="0.75" bottom="0.75" header="0.3" footer="0.3"/>
  <pageSetup orientation="portrait" r:id="rId10"/>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Table of Contents</vt:lpstr>
      <vt:lpstr>Voltage Sense Calculator</vt:lpstr>
      <vt:lpstr>Device Comparison</vt:lpstr>
      <vt:lpstr>About</vt:lpstr>
      <vt:lpstr>Help</vt:lpstr>
      <vt:lpstr>Configs</vt:lpstr>
      <vt:lpstr>Device_List</vt:lpstr>
      <vt:lpstr>inputType</vt:lpstr>
      <vt:lpstr>InputTypeColumn</vt:lpstr>
      <vt:lpstr>selectConfig</vt:lpstr>
      <vt:lpstr>single</vt:lpstr>
      <vt:lpstr>withoutR3</vt:lpstr>
      <vt:lpstr>withR3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2020-04-01T15:40:49Z</dcterms:modified>
</cp:coreProperties>
</file>