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workbookPassword="DBB1" lockStructure="1"/>
  <bookViews>
    <workbookView xWindow="0" yWindow="270" windowWidth="14805" windowHeight="7590"/>
  </bookViews>
  <sheets>
    <sheet name="MCU ESM Calculator" sheetId="14" r:id="rId1"/>
    <sheet name="WD Calculator" sheetId="7" r:id="rId2"/>
    <sheet name="WD Definitions" sheetId="8" r:id="rId3"/>
    <sheet name="WD Sequence Timing Good Event" sheetId="10" r:id="rId4"/>
    <sheet name="WD Sequence Timing Bad Event" sheetId="9" r:id="rId5"/>
    <sheet name="WD to MCU Synchronizing" sheetId="11" r:id="rId6"/>
  </sheets>
  <calcPr calcId="145621"/>
</workbook>
</file>

<file path=xl/calcChain.xml><?xml version="1.0" encoding="utf-8"?>
<calcChain xmlns="http://schemas.openxmlformats.org/spreadsheetml/2006/main">
  <c r="B24" i="14" l="1"/>
  <c r="C33" i="14" s="1"/>
  <c r="B23" i="14"/>
  <c r="C31" i="14" s="1"/>
  <c r="B8" i="14"/>
  <c r="D8" i="14" s="1"/>
  <c r="C15" i="14" l="1"/>
  <c r="C34" i="14"/>
  <c r="D23" i="14"/>
  <c r="C30" i="14"/>
  <c r="D24" i="14"/>
  <c r="C14" i="14"/>
  <c r="D8" i="7"/>
  <c r="D7" i="7"/>
  <c r="D40" i="7" l="1"/>
  <c r="E40" i="7"/>
  <c r="F44" i="7"/>
  <c r="F45" i="7" s="1"/>
  <c r="F46" i="7" s="1"/>
  <c r="E46" i="7"/>
  <c r="D46" i="7"/>
  <c r="E45" i="7"/>
  <c r="D45" i="7"/>
  <c r="E44" i="7"/>
  <c r="D44" i="7"/>
  <c r="D43" i="7"/>
  <c r="E43" i="7"/>
  <c r="G8" i="7"/>
  <c r="G7" i="7"/>
  <c r="C19" i="7" l="1"/>
  <c r="C17" i="7" l="1"/>
  <c r="H21" i="7" l="1"/>
  <c r="C20" i="7"/>
  <c r="C23" i="7" s="1"/>
  <c r="C16" i="7"/>
  <c r="G31" i="7" l="1"/>
  <c r="G33" i="7"/>
  <c r="H19" i="7"/>
  <c r="H18" i="7" s="1"/>
  <c r="C22" i="7"/>
  <c r="G30" i="7" l="1"/>
  <c r="G32" i="7"/>
  <c r="C25" i="7"/>
  <c r="C26" i="7"/>
  <c r="H23" i="7"/>
  <c r="G9" i="7" s="1"/>
  <c r="G44" i="7" l="1"/>
  <c r="G45" i="7"/>
  <c r="G43" i="7"/>
  <c r="G40" i="7"/>
  <c r="G46" i="7"/>
  <c r="H22" i="7"/>
</calcChain>
</file>

<file path=xl/sharedStrings.xml><?xml version="1.0" encoding="utf-8"?>
<sst xmlns="http://schemas.openxmlformats.org/spreadsheetml/2006/main" count="184" uniqueCount="146">
  <si>
    <t>WIN1max</t>
  </si>
  <si>
    <t>WIN1min</t>
  </si>
  <si>
    <t>WIN2min</t>
  </si>
  <si>
    <t>WIN2max</t>
  </si>
  <si>
    <t>SEQUENCEmin</t>
  </si>
  <si>
    <t>SEQUENCEmax</t>
  </si>
  <si>
    <t>ENDRVmin</t>
  </si>
  <si>
    <t>ENDRVmax</t>
  </si>
  <si>
    <t xml:space="preserve"> 5 * (SEQUENCEmin)</t>
  </si>
  <si>
    <t>(7+1) * (SEQUENCEmin)</t>
  </si>
  <si>
    <t>(7+1) * (SEQUENCEmax)</t>
  </si>
  <si>
    <t>RESETmin</t>
  </si>
  <si>
    <t>RESETmax</t>
  </si>
  <si>
    <t>High</t>
  </si>
  <si>
    <t>Low</t>
  </si>
  <si>
    <t>Register Setting (DEC)</t>
  </si>
  <si>
    <t>Register Setting (HEX)</t>
  </si>
  <si>
    <t>WINDOW1</t>
  </si>
  <si>
    <t>WINDOW 2</t>
  </si>
  <si>
    <t>WIN1_KNOWN_MIN</t>
  </si>
  <si>
    <t>WIN1_KNOWN_MAX</t>
  </si>
  <si>
    <t>WIN1_KNOWN_MID</t>
  </si>
  <si>
    <t>WIN2_KNOWN_MIN</t>
  </si>
  <si>
    <t>WIN2_KNOWN_MID</t>
  </si>
  <si>
    <t>WIN2_KNOWN_MAX</t>
  </si>
  <si>
    <t>Time (ms)</t>
  </si>
  <si>
    <t>KNOWN "VALID" RESPONSE TIME</t>
  </si>
  <si>
    <t>(%)</t>
  </si>
  <si>
    <t>WD Sequence</t>
  </si>
  <si>
    <t>Response Target for WIN1</t>
  </si>
  <si>
    <t>Response Target for WIN2</t>
  </si>
  <si>
    <t>TIMEOUT</t>
  </si>
  <si>
    <t>TIMEOUTmin</t>
  </si>
  <si>
    <t>TIMEOUTmax</t>
  </si>
  <si>
    <t xml:space="preserve"> 5 * (SEQUENCEmax)</t>
  </si>
  <si>
    <t>Trigger Mode</t>
  </si>
  <si>
    <t>Q&amp;A Mode</t>
  </si>
  <si>
    <t>Trigger in WIN2 KNOWN time</t>
  </si>
  <si>
    <t>Trigger Mode:  WINDOW1 = CLOSE and WINDOW2 = OPEN</t>
  </si>
  <si>
    <t>Q&amp;A Mode:  WINDOW1 = OPEN and WINDOW2 = CLOSE</t>
  </si>
  <si>
    <r>
      <t>t</t>
    </r>
    <r>
      <rPr>
        <vertAlign val="subscript"/>
        <sz val="11"/>
        <color rgb="FF000000"/>
        <rFont val="Calibri"/>
        <family val="2"/>
        <scheme val="minor"/>
      </rPr>
      <t xml:space="preserve">WIN1_MAX </t>
    </r>
    <r>
      <rPr>
        <sz val="11"/>
        <color rgb="FF000000"/>
        <rFont val="Calibri"/>
        <family val="2"/>
        <scheme val="minor"/>
      </rPr>
      <t>= (RT [6:0]) × 0.55 × 1.05 ms</t>
    </r>
  </si>
  <si>
    <r>
      <t>t</t>
    </r>
    <r>
      <rPr>
        <vertAlign val="subscript"/>
        <sz val="11"/>
        <color rgb="FF000000"/>
        <rFont val="Calibri"/>
        <family val="2"/>
        <scheme val="minor"/>
      </rPr>
      <t>WIN2_MAX</t>
    </r>
    <r>
      <rPr>
        <sz val="11"/>
        <color rgb="FF000000"/>
        <rFont val="Calibri"/>
        <family val="2"/>
        <scheme val="minor"/>
      </rPr>
      <t xml:space="preserve"> = (RW[4:0] + 1) × 0.55 × 1.05 ms</t>
    </r>
  </si>
  <si>
    <r>
      <t xml:space="preserve">  t</t>
    </r>
    <r>
      <rPr>
        <vertAlign val="subscript"/>
        <sz val="11"/>
        <color rgb="FF000000"/>
        <rFont val="Calibri"/>
        <family val="2"/>
        <scheme val="minor"/>
      </rPr>
      <t>WIN1_KNOWN_MIN</t>
    </r>
    <r>
      <rPr>
        <sz val="11"/>
        <color rgb="FF000000"/>
        <rFont val="Calibri"/>
        <family val="2"/>
        <scheme val="minor"/>
      </rPr>
      <t xml:space="preserve"> = 0</t>
    </r>
  </si>
  <si>
    <r>
      <t xml:space="preserve">  t</t>
    </r>
    <r>
      <rPr>
        <vertAlign val="subscript"/>
        <sz val="11"/>
        <color rgb="FF000000"/>
        <rFont val="Calibri"/>
        <family val="2"/>
        <scheme val="minor"/>
      </rPr>
      <t>WIN1_KNOWN_MAX</t>
    </r>
    <r>
      <rPr>
        <sz val="11"/>
        <color rgb="FF000000"/>
        <rFont val="Calibri"/>
        <family val="2"/>
        <scheme val="minor"/>
      </rPr>
      <t xml:space="preserve"> = t</t>
    </r>
    <r>
      <rPr>
        <vertAlign val="subscript"/>
        <sz val="11"/>
        <color rgb="FF000000"/>
        <rFont val="Calibri"/>
        <family val="2"/>
        <scheme val="minor"/>
      </rPr>
      <t>WIN1_MIN</t>
    </r>
  </si>
  <si>
    <r>
      <t xml:space="preserve">  t</t>
    </r>
    <r>
      <rPr>
        <vertAlign val="subscript"/>
        <sz val="11"/>
        <color rgb="FF000000"/>
        <rFont val="Calibri"/>
        <family val="2"/>
        <scheme val="minor"/>
      </rPr>
      <t>WIN2_KNOWN_MIN</t>
    </r>
    <r>
      <rPr>
        <sz val="11"/>
        <color rgb="FF000000"/>
        <rFont val="Calibri"/>
        <family val="2"/>
        <scheme val="minor"/>
      </rPr>
      <t xml:space="preserve"> = t</t>
    </r>
    <r>
      <rPr>
        <vertAlign val="subscript"/>
        <sz val="11"/>
        <color rgb="FF000000"/>
        <rFont val="Calibri"/>
        <family val="2"/>
        <scheme val="minor"/>
      </rPr>
      <t>WIN1_MAX</t>
    </r>
  </si>
  <si>
    <r>
      <t xml:space="preserve"> t</t>
    </r>
    <r>
      <rPr>
        <vertAlign val="subscript"/>
        <sz val="11"/>
        <color rgb="FF000000"/>
        <rFont val="Calibri"/>
        <family val="2"/>
        <scheme val="minor"/>
      </rPr>
      <t>TIMEOUT_MIN</t>
    </r>
    <r>
      <rPr>
        <sz val="11"/>
        <color rgb="FF000000"/>
        <rFont val="Calibri"/>
        <family val="2"/>
        <scheme val="minor"/>
      </rPr>
      <t xml:space="preserve"> = t</t>
    </r>
    <r>
      <rPr>
        <vertAlign val="subscript"/>
        <sz val="11"/>
        <color rgb="FF000000"/>
        <rFont val="Calibri"/>
        <family val="2"/>
        <scheme val="minor"/>
      </rPr>
      <t>SEQUENCE_MIN</t>
    </r>
  </si>
  <si>
    <r>
      <t xml:space="preserve"> t</t>
    </r>
    <r>
      <rPr>
        <vertAlign val="subscript"/>
        <sz val="11"/>
        <color rgb="FF000000"/>
        <rFont val="Calibri"/>
        <family val="2"/>
        <scheme val="minor"/>
      </rPr>
      <t>TIMEOUT_MAX</t>
    </r>
    <r>
      <rPr>
        <sz val="11"/>
        <color rgb="FF000000"/>
        <rFont val="Calibri"/>
        <family val="2"/>
        <scheme val="minor"/>
      </rPr>
      <t xml:space="preserve"> = t</t>
    </r>
    <r>
      <rPr>
        <vertAlign val="subscript"/>
        <sz val="11"/>
        <color rgb="FF000000"/>
        <rFont val="Calibri"/>
        <family val="2"/>
        <scheme val="minor"/>
      </rPr>
      <t>SEQUENCE_MAX</t>
    </r>
  </si>
  <si>
    <t>Target Response timing from MCU to ensure MCU responses are in Known Valid Timing for WINDOW 1 and WINDOW 2 to avoid uncertainty in watchdog timing</t>
  </si>
  <si>
    <t>TIMEOUT:  If no full response is provided by the MCU in within the watchdog sequence TIMEOUT will occur:</t>
  </si>
  <si>
    <t>Maximum (HEX)</t>
  </si>
  <si>
    <t>7F</t>
  </si>
  <si>
    <t>1F</t>
  </si>
  <si>
    <t>* RESP3, 2, 1 may also be in the "unkown time" or WINDOW 2 as long as they are the right order and before RESP0.</t>
  </si>
  <si>
    <t>RESP3, 2, 1 may be in this range*</t>
  </si>
  <si>
    <t>RESP3, 2, 1 may be in this range.* RESP0 should be in this range.</t>
  </si>
  <si>
    <r>
      <t xml:space="preserve">  t</t>
    </r>
    <r>
      <rPr>
        <vertAlign val="subscript"/>
        <sz val="11"/>
        <color rgb="FF000000"/>
        <rFont val="Calibri"/>
        <family val="2"/>
        <scheme val="minor"/>
      </rPr>
      <t>WIN2_KNOWN_MAX</t>
    </r>
    <r>
      <rPr>
        <sz val="11"/>
        <color rgb="FF000000"/>
        <rFont val="Calibri"/>
        <family val="2"/>
        <scheme val="minor"/>
      </rPr>
      <t xml:space="preserve"> = t</t>
    </r>
    <r>
      <rPr>
        <vertAlign val="subscript"/>
        <sz val="11"/>
        <color rgb="FF000000"/>
        <rFont val="Calibri"/>
        <family val="2"/>
        <scheme val="minor"/>
      </rPr>
      <t>SEQUENCE_MIN</t>
    </r>
  </si>
  <si>
    <r>
      <t>t</t>
    </r>
    <r>
      <rPr>
        <vertAlign val="subscript"/>
        <sz val="11"/>
        <color rgb="FF000000"/>
        <rFont val="Calibri"/>
        <family val="2"/>
        <scheme val="minor"/>
      </rPr>
      <t>WIN1_MIN</t>
    </r>
    <r>
      <rPr>
        <sz val="11"/>
        <color rgb="FF000000"/>
        <rFont val="Calibri"/>
        <family val="2"/>
        <scheme val="minor"/>
      </rPr>
      <t xml:space="preserve"> = (RT[6:0] - 1) × 0.55 × 0.95 ms**</t>
    </r>
  </si>
  <si>
    <t>Timing Formulas*:</t>
  </si>
  <si>
    <t>Do not trigger in WIN1 KNOWN time or unknown time between WIN1 and WIN2</t>
  </si>
  <si>
    <t>Register Setting in Recommended Range</t>
  </si>
  <si>
    <t>Min (%)</t>
  </si>
  <si>
    <t>Max (%)</t>
  </si>
  <si>
    <t>Min</t>
  </si>
  <si>
    <t>Max</t>
  </si>
  <si>
    <t>MCU 1st ANSWER (RESP3) Time</t>
  </si>
  <si>
    <t>MCU 2nd ANSWER (RESP2) Time</t>
  </si>
  <si>
    <t>MCU 3rd ANSWER (RESP1) Time</t>
  </si>
  <si>
    <t>MCU 4th ANSWER (RESP0) Time</t>
  </si>
  <si>
    <t>Order Correct</t>
  </si>
  <si>
    <t>--</t>
  </si>
  <si>
    <t>Nominal (ms)</t>
  </si>
  <si>
    <t>MCU input to Watchdog</t>
  </si>
  <si>
    <t>ANSWER in KNOWN "VALID" Respose Time</t>
  </si>
  <si>
    <t>WINDOW 1 (WIN1), Register setting WDT_WIN1_CFG RW[6:0]</t>
  </si>
  <si>
    <t>WINDOW 2 (WIN2), Register setting WDT_WIN2_CFG RW[4:0]</t>
  </si>
  <si>
    <t xml:space="preserve">It is recommended to use settings for WIN1 and WIN2 that are 2 or higher to have timing margin between the MCU and the TPS65381. </t>
  </si>
  <si>
    <t>Notes:</t>
  </si>
  <si>
    <t>Trigger in KNOWN "VALID" Respose Time</t>
  </si>
  <si>
    <t>Deglitch time on ERROR/WDI in Trigger Mode</t>
  </si>
  <si>
    <t>Min (us)</t>
  </si>
  <si>
    <t>Max (us)</t>
  </si>
  <si>
    <t>Start of Trigger (rising edge)</t>
  </si>
  <si>
    <t>Time to ENDRV High to Low Assuming WD_FAIL_CNT = 0 and ENABLE_DRV = 1</t>
  </si>
  <si>
    <t>Time to RESET Assuming WD_FAIL_CNT = 0 and WD_RST_EN = 1</t>
  </si>
  <si>
    <t>Yellow colored fields are set by user</t>
  </si>
  <si>
    <t>Q &amp; A Mode from MCU</t>
  </si>
  <si>
    <t>Trigger Mode from MCU</t>
  </si>
  <si>
    <t>MCU Timing Tolerance for Watchdog events</t>
  </si>
  <si>
    <t>Q &amp; A Mode Exmple:</t>
  </si>
  <si>
    <t>Trigger Mode Example:</t>
  </si>
  <si>
    <r>
      <t>t</t>
    </r>
    <r>
      <rPr>
        <vertAlign val="subscript"/>
        <sz val="11"/>
        <color rgb="FF000000"/>
        <rFont val="Calibri"/>
        <family val="2"/>
        <scheme val="minor"/>
      </rPr>
      <t>WIN2_MIN</t>
    </r>
    <r>
      <rPr>
        <sz val="11"/>
        <color rgb="FF000000"/>
        <rFont val="Calibri"/>
        <family val="2"/>
        <scheme val="minor"/>
      </rPr>
      <t xml:space="preserve"> = (RW[4:0] + 1) × 0.55 × 0.95 ms</t>
    </r>
  </si>
  <si>
    <t xml:space="preserve">WIN2 could be set as low as 1 when WIN1 is set to 6 or lower.  As WIN1 setting is increased the TPS65381 clock tollerance will start to dwarf a setting of 1 in WIN1 not allowing for a "known valid" time range for a response in WIN2. </t>
  </si>
  <si>
    <t>WINDOW Definitions for Trigger and Q&amp;A Mode</t>
  </si>
  <si>
    <t>Setting the timing for WINDOW 1 and WINDOW 2</t>
  </si>
  <si>
    <r>
      <t>t</t>
    </r>
    <r>
      <rPr>
        <vertAlign val="subscript"/>
        <sz val="11"/>
        <color rgb="FF000000"/>
        <rFont val="Calibri"/>
        <family val="2"/>
        <scheme val="minor"/>
      </rPr>
      <t>SEQUENCE_MIN</t>
    </r>
    <r>
      <rPr>
        <sz val="11"/>
        <color rgb="FF000000"/>
        <rFont val="Calibri"/>
        <family val="2"/>
        <scheme val="minor"/>
      </rPr>
      <t xml:space="preserve"> = t</t>
    </r>
    <r>
      <rPr>
        <vertAlign val="subscript"/>
        <sz val="11"/>
        <color rgb="FF000000"/>
        <rFont val="Calibri"/>
        <family val="2"/>
        <scheme val="minor"/>
      </rPr>
      <t>WIN1_MIN</t>
    </r>
    <r>
      <rPr>
        <sz val="11"/>
        <color rgb="FF000000"/>
        <rFont val="Calibri"/>
        <family val="2"/>
        <scheme val="minor"/>
      </rPr>
      <t xml:space="preserve"> + t</t>
    </r>
    <r>
      <rPr>
        <vertAlign val="subscript"/>
        <sz val="11"/>
        <color rgb="FF000000"/>
        <rFont val="Calibri"/>
        <family val="2"/>
        <scheme val="minor"/>
      </rPr>
      <t>WIN2_MIN</t>
    </r>
  </si>
  <si>
    <r>
      <t>t</t>
    </r>
    <r>
      <rPr>
        <vertAlign val="subscript"/>
        <sz val="11"/>
        <color rgb="FF000000"/>
        <rFont val="Calibri"/>
        <family val="2"/>
        <scheme val="minor"/>
      </rPr>
      <t>SEQUENCE_MAX</t>
    </r>
    <r>
      <rPr>
        <sz val="11"/>
        <color rgb="FF000000"/>
        <rFont val="Calibri"/>
        <family val="2"/>
        <scheme val="minor"/>
      </rPr>
      <t xml:space="preserve"> =  t</t>
    </r>
    <r>
      <rPr>
        <vertAlign val="subscript"/>
        <sz val="11"/>
        <color rgb="FF000000"/>
        <rFont val="Calibri"/>
        <family val="2"/>
        <scheme val="minor"/>
      </rPr>
      <t xml:space="preserve">WIN1_MAX + </t>
    </r>
    <r>
      <rPr>
        <sz val="11"/>
        <color rgb="FF000000"/>
        <rFont val="Calibri"/>
        <family val="2"/>
        <scheme val="minor"/>
      </rPr>
      <t>t</t>
    </r>
    <r>
      <rPr>
        <vertAlign val="subscript"/>
        <sz val="11"/>
        <color rgb="FF000000"/>
        <rFont val="Calibri"/>
        <family val="2"/>
        <scheme val="minor"/>
      </rPr>
      <t>WIN2_MAX</t>
    </r>
  </si>
  <si>
    <t>Application needed MCU timing margin (ms)</t>
  </si>
  <si>
    <t>Margin: when WIN2_KNOWN_MAX &gt; (WIN2_KNOWN_MIN + cell E9)</t>
  </si>
  <si>
    <t>Minimim Target for WD_FAIL_CNT</t>
  </si>
  <si>
    <r>
      <t xml:space="preserve">ENDRV and RESET time assuming WD_FAIL_CNT was at </t>
    </r>
    <r>
      <rPr>
        <b/>
        <sz val="11"/>
        <color theme="3"/>
        <rFont val="Calibri"/>
        <family val="2"/>
        <scheme val="minor"/>
      </rPr>
      <t>3</t>
    </r>
    <r>
      <rPr>
        <b/>
        <sz val="11"/>
        <color theme="1"/>
        <rFont val="Calibri"/>
        <family val="2"/>
        <scheme val="minor"/>
      </rPr>
      <t xml:space="preserve"> (for when target is to keep WD_FAIL_CNT between 3 and 4 so only 2 bad events are needed ENDRV and 5 are needed to RESET)</t>
    </r>
  </si>
  <si>
    <t>Default (HEX)</t>
  </si>
  <si>
    <t xml:space="preserve">TPS65381x Clock Tollerance </t>
  </si>
  <si>
    <t>TPS65381A-Q1  WD Calculator</t>
  </si>
  <si>
    <t>TPS65381A-Q1 Watchdog Definitions</t>
  </si>
  <si>
    <t>TPS65381A-Q1  MCU ESM Calculator</t>
  </si>
  <si>
    <r>
      <t xml:space="preserve">HOW to USE IT: </t>
    </r>
    <r>
      <rPr>
        <sz val="11"/>
        <color theme="1"/>
        <rFont val="Calibri"/>
        <family val="2"/>
        <scheme val="minor"/>
      </rPr>
      <t>Provide register settings in TPS65381A-Q1 for WINDOW 1 and WINDOW 2.  Provide MCU clock accuracy for watchdog responses, provide nominal WD ANSWER or Trigger times from MCU and monitor status cells (color coded green and red) to ensure no timing failures.</t>
    </r>
  </si>
  <si>
    <t>MCU ESM in TMS570 Mode</t>
  </si>
  <si>
    <t>SAFETY_ERR_PWM_L (PWML[7:0])</t>
  </si>
  <si>
    <t>FF</t>
  </si>
  <si>
    <t>tTMS570_LOW_MIN</t>
  </si>
  <si>
    <t>tTMS570_LOW_MAX</t>
  </si>
  <si>
    <r>
      <t>Time (</t>
    </r>
    <r>
      <rPr>
        <b/>
        <sz val="11"/>
        <color theme="1"/>
        <rFont val="Calibri"/>
        <family val="2"/>
      </rPr>
      <t>μ</t>
    </r>
    <r>
      <rPr>
        <b/>
        <sz val="11"/>
        <color theme="1"/>
        <rFont val="Calibri"/>
        <family val="2"/>
        <scheme val="minor"/>
      </rPr>
      <t>s)</t>
    </r>
  </si>
  <si>
    <t>Low on ERROR WDI pin to be detected in MCU ESM, causing SAFE state when MCU ESM is enabled</t>
  </si>
  <si>
    <t>To use MCU ESM the watchdog must be used in Q&amp;A Mode</t>
  </si>
  <si>
    <t>TMS570 mode is used with TMS570/Hercules and other functional safety architecture MCUs where the TPS65381A-Q1 MCU Error Signal Monitor is using the ERROR/WDI pin to monitor the error output from the MCU.  The MCU will indicate it has detected a fault by driving its error output pin to a low logic level.</t>
  </si>
  <si>
    <r>
      <t xml:space="preserve">HOW to USE the Calculator:  </t>
    </r>
    <r>
      <rPr>
        <sz val="11"/>
        <color theme="1"/>
        <rFont val="Calibri"/>
        <family val="2"/>
        <scheme val="minor"/>
      </rPr>
      <t>Provide register settings in TPS65381A-Q1 for PWML and PWMH. The Calculator will provide the minimum and maximum times for the MCU ESM with these configuration settings.</t>
    </r>
  </si>
  <si>
    <t xml:space="preserve">TPS65381A-Q1 Clock Tollerance </t>
  </si>
  <si>
    <t>MCU ESM in PWM Mode</t>
  </si>
  <si>
    <t>TMS570 mode is used with functional safety architecture MCUs which provide their error signal output as a PWM.  The TPS65381A-Q1 MCU Error Signal Monitor is using the ERROR/WDI pin to monitor the error output from the MCU.  The MCU will indicate it has detected a fault by deviating from the intended PWM on its error output pin.</t>
  </si>
  <si>
    <t>tPWM_HIGH_MIN</t>
  </si>
  <si>
    <t>tPWM_HIGH_MAX</t>
  </si>
  <si>
    <t>PWM HIGH Phase on ERROR WDI pin to be detected in MCU ESM, causing SAFE state when MCU ESM is enabled</t>
  </si>
  <si>
    <t>PWM LOW Phase on ERROR WDI pin to be detected in MCU ESM, causing SAFE state when MCU ESM is enabled</t>
  </si>
  <si>
    <t>tPWM_LOW_MIN</t>
  </si>
  <si>
    <t>tPWM_LOW_MAX</t>
  </si>
  <si>
    <t>SAFETY_ERR_PWM_H (PWMH[7:0])</t>
  </si>
  <si>
    <t>3D</t>
  </si>
  <si>
    <t>A8</t>
  </si>
  <si>
    <t>It is recommended to always use a setting of 1 or higher.</t>
  </si>
  <si>
    <t>MCU ESM in PWM Mode (Default)</t>
  </si>
  <si>
    <t>TPS65381A-Q1 Watchdog Bad Event Example</t>
  </si>
  <si>
    <t>TPS65381A-Q1 Watchdog Good Event Example</t>
  </si>
  <si>
    <t>Q &amp; A Mode</t>
  </si>
  <si>
    <t>See flow chart in the datasheet:  Figure 6-11. Software Flowchart for Configuring and Synchronizing the MCU With the Watchdog in Q&amp;A Mode</t>
  </si>
  <si>
    <t>See flow chart in the datasheet:  Figure 6-12. Software Flowchart for Configuring and Synchronizing the MCU With the Watchdog in Trigger Mode</t>
  </si>
  <si>
    <t>See Datasheet Section 5.4.13 MCU to Watchdog Synchronization</t>
  </si>
  <si>
    <t>TPS65381A-Q1 Watchdog Synchronization</t>
  </si>
  <si>
    <t>Trigger Mode:  WDI/ERROR input pin is deglitched in WD trigger mode with tERROR_WDI_deglitch time.  Trigger pulse (signal) will be detected by the TPS65381A-Q1 after the rising edge plus a high on WDI/ERROR that exceeds the deglitch time.</t>
  </si>
  <si>
    <t>Q&amp;A Mode:  The ANSWERs received via SPI (RESPx) are latched into the TPS65381A-Q1 within 8 system clock cycles (250ns per clock cycle) of the NCS pin for that SPI frame returning  high. The ANSWER will be detected by the TPS65381A-Q1 after the NCS goes high within the 8 system clock cycles.</t>
  </si>
  <si>
    <t xml:space="preserve">Q&amp;A Mode:  The first three ANSWERs received via SPI (Answer-3, Answer-2, Answer-1) are allowed to be in WINDOW1 or WINDOW2 or within the uncertain time between WINDOW 1 and WINDOW 2.  They must be in the correct order (Answer-3, Answer-2, Answer-1) with the correct value and prior to the fourth answer (Answer-0).  The fourth ANSWER (Answer-0) must be in WINDOW 2 with the correct value.  </t>
  </si>
  <si>
    <t>* Formulas apply to programmed values for WINDOW 1 and 2.  Based on a bad or good event, the WINDOW will end early and a new WD sequence will start.    WINDOW time calculations where RW[6:0]  bits in WD_WIN1_CFG and RW[4:0]  bits in WD_WIN2_CFG</t>
  </si>
  <si>
    <t xml:space="preserve">**WINDOW1 may be up to one WD clock (0.55ms +/- 5%) shortened due to internal WD clock syncronization, depending on the timing of the event starting the new WD sequence with respect to the free running internal WD clock.  This impact is shown in the timing formulas to the left. </t>
  </si>
  <si>
    <t xml:space="preserve">Due to the internal clock tollerance and the potential internal watchdog syncronization error, it is recommended to use settings for WINDOW 1 andWINDOW 2 of two or higher. WINDOW 2 could be set as low as 1 assuming WINDOW 1 is set to 6 or lower, but the response from the MCU should be targeted to the mid point of "certain" timing for WINDOW 2. As WINDOW 1 preventing a "certain" time range for a response in WINDOW 2. </t>
  </si>
  <si>
    <t>Trigger Mode:  WINDOW 1 (CLOSE) + WINDOW 2 (OPEN) = WD Sequence</t>
  </si>
  <si>
    <t>Q&amp;A Mode:  WINDOW 1 + WINDOW 2 = WD Sequence</t>
  </si>
  <si>
    <t>A new WD Sequence is started when a good event, bad event or timeout event occurs.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</si>
</sst>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4" x14ac:knownFonts="1">
    <font>
      <sz val="11"/>
      <color theme="1"/>
      <name val="Calibri"/>
      <family val="2"/>
      <scheme val="minor"/>
    </font>
    <font>
      <b/>
      <sz val="11"/>
      <color theme="1"/>
      <name val="Calibri"/>
      <family val="2"/>
      <scheme val="minor"/>
    </font>
    <font>
      <b/>
      <sz val="11"/>
      <color theme="3"/>
      <name val="Calibri"/>
      <family val="2"/>
      <scheme val="minor"/>
    </font>
    <font>
      <sz val="11"/>
      <color theme="3"/>
      <name val="Calibri"/>
      <family val="2"/>
      <scheme val="minor"/>
    </font>
    <font>
      <sz val="10"/>
      <color rgb="FF000000"/>
      <name val="Calibri"/>
      <family val="2"/>
      <scheme val="minor"/>
    </font>
    <font>
      <sz val="11"/>
      <color rgb="FF000000"/>
      <name val="Calibri"/>
      <family val="2"/>
      <scheme val="minor"/>
    </font>
    <font>
      <vertAlign val="subscript"/>
      <sz val="11"/>
      <color rgb="FF000000"/>
      <name val="Calibri"/>
      <family val="2"/>
      <scheme val="minor"/>
    </font>
    <font>
      <b/>
      <sz val="14"/>
      <color theme="1"/>
      <name val="Calibri"/>
      <family val="2"/>
      <scheme val="minor"/>
    </font>
    <font>
      <b/>
      <u/>
      <sz val="20"/>
      <color theme="1"/>
      <name val="Calibri"/>
      <family val="2"/>
      <scheme val="minor"/>
    </font>
    <font>
      <b/>
      <sz val="2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0.5"/>
      <color theme="1"/>
      <name val="Calibri"/>
      <family val="2"/>
      <scheme val="minor"/>
    </font>
    <font>
      <b/>
      <sz val="12"/>
      <color theme="1"/>
      <name val="Calibri"/>
      <family val="2"/>
      <scheme val="minor"/>
    </font>
    <font>
      <b/>
      <sz val="12"/>
      <color rgb="FF000000"/>
      <name val="Calibri"/>
      <family val="2"/>
      <scheme val="minor"/>
    </font>
    <font>
      <sz val="12"/>
      <color theme="1"/>
      <name val="Calibri"/>
      <family val="2"/>
      <scheme val="minor"/>
    </font>
    <font>
      <sz val="9"/>
      <color theme="1"/>
      <name val="Calibri"/>
      <family val="2"/>
      <scheme val="minor"/>
    </font>
    <font>
      <sz val="8"/>
      <color theme="1"/>
      <name val="Calibri"/>
      <family val="2"/>
      <scheme val="minor"/>
    </font>
    <font>
      <b/>
      <sz val="11"/>
      <color theme="1"/>
      <name val="Calibri"/>
      <family val="2"/>
    </font>
    <font>
      <b/>
      <i/>
      <u/>
      <sz val="18"/>
      <name val="Calibri"/>
      <family val="2"/>
      <scheme val="minor"/>
    </font>
    <font>
      <b/>
      <i/>
      <u/>
      <sz val="22"/>
      <name val="Calibri"/>
      <family val="2"/>
      <scheme val="minor"/>
    </font>
    <font>
      <b/>
      <i/>
      <u/>
      <sz val="24"/>
      <name val="Calibri"/>
      <family val="2"/>
      <scheme val="minor"/>
    </font>
    <font>
      <b/>
      <u/>
      <sz val="26"/>
      <color theme="1"/>
      <name val="Calibri"/>
      <family val="2"/>
      <scheme val="minor"/>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40">
    <xf numFmtId="0" fontId="0" fillId="0" borderId="0" xfId="0"/>
    <xf numFmtId="0" fontId="4" fillId="0" borderId="0" xfId="0" applyFont="1" applyAlignment="1">
      <alignment horizontal="left" vertical="center" readingOrder="1"/>
    </xf>
    <xf numFmtId="0" fontId="5" fillId="0" borderId="0" xfId="0" applyFont="1" applyAlignment="1">
      <alignment horizontal="left" vertical="center" readingOrder="1"/>
    </xf>
    <xf numFmtId="0" fontId="5" fillId="0" borderId="0" xfId="0" applyFont="1" applyFill="1" applyAlignment="1">
      <alignment horizontal="left" vertical="center" readingOrder="1"/>
    </xf>
    <xf numFmtId="0" fontId="0" fillId="0" borderId="0" xfId="0" applyFill="1"/>
    <xf numFmtId="0" fontId="1" fillId="0" borderId="0" xfId="0" applyFont="1"/>
    <xf numFmtId="0" fontId="9" fillId="0" borderId="0" xfId="0" applyFont="1"/>
    <xf numFmtId="0" fontId="0" fillId="0" borderId="0" xfId="0" applyFont="1" applyAlignment="1">
      <alignment wrapText="1"/>
    </xf>
    <xf numFmtId="0" fontId="14" fillId="0" borderId="0" xfId="0" applyFont="1"/>
    <xf numFmtId="0" fontId="15" fillId="0" borderId="0" xfId="0" applyFont="1" applyAlignment="1">
      <alignment horizontal="left" vertical="center" readingOrder="1"/>
    </xf>
    <xf numFmtId="0" fontId="16" fillId="0" borderId="0" xfId="0" applyFont="1"/>
    <xf numFmtId="0" fontId="0" fillId="0" borderId="0" xfId="0" applyAlignment="1">
      <alignment wrapText="1"/>
    </xf>
    <xf numFmtId="0" fontId="0" fillId="0" borderId="0" xfId="0" applyAlignment="1">
      <alignment horizontal="left" wrapText="1"/>
    </xf>
    <xf numFmtId="0" fontId="23" fillId="0" borderId="0" xfId="0" applyFont="1" applyProtection="1"/>
    <xf numFmtId="0" fontId="0" fillId="0" borderId="0" xfId="0" applyProtection="1"/>
    <xf numFmtId="0" fontId="0" fillId="0" borderId="0" xfId="0" applyAlignment="1" applyProtection="1">
      <alignment horizontal="center"/>
    </xf>
    <xf numFmtId="0" fontId="0" fillId="0" borderId="0" xfId="0" applyAlignment="1" applyProtection="1">
      <alignment horizontal="right"/>
    </xf>
    <xf numFmtId="0" fontId="20" fillId="0" borderId="0" xfId="0" applyFont="1" applyFill="1" applyAlignment="1" applyProtection="1"/>
    <xf numFmtId="0" fontId="1" fillId="0" borderId="0" xfId="0" applyFont="1" applyFill="1" applyAlignment="1" applyProtection="1">
      <alignment wrapText="1"/>
    </xf>
    <xf numFmtId="0" fontId="1" fillId="0" borderId="1" xfId="0" applyFont="1" applyBorder="1" applyAlignment="1" applyProtection="1">
      <alignment horizontal="center" wrapText="1"/>
    </xf>
    <xf numFmtId="0" fontId="1" fillId="0" borderId="1" xfId="0" applyFont="1" applyBorder="1" applyAlignment="1" applyProtection="1">
      <alignment horizontal="center"/>
    </xf>
    <xf numFmtId="0" fontId="1" fillId="0" borderId="0" xfId="0" applyFont="1" applyBorder="1" applyAlignment="1" applyProtection="1">
      <alignment horizontal="center"/>
    </xf>
    <xf numFmtId="0" fontId="2" fillId="2" borderId="0" xfId="0" applyFont="1" applyFill="1" applyAlignment="1" applyProtection="1"/>
    <xf numFmtId="0" fontId="3" fillId="0" borderId="0" xfId="0" applyFont="1" applyFill="1" applyAlignment="1" applyProtection="1"/>
    <xf numFmtId="0" fontId="0" fillId="0" borderId="1" xfId="0" applyBorder="1" applyAlignment="1" applyProtection="1">
      <alignment horizontal="center"/>
    </xf>
    <xf numFmtId="9" fontId="0" fillId="0" borderId="1" xfId="0" applyNumberFormat="1" applyBorder="1" applyAlignment="1" applyProtection="1">
      <alignment horizontal="center"/>
    </xf>
    <xf numFmtId="9" fontId="0" fillId="0" borderId="0" xfId="0" applyNumberFormat="1" applyBorder="1" applyAlignment="1" applyProtection="1">
      <alignment horizontal="center"/>
    </xf>
    <xf numFmtId="0" fontId="2" fillId="0" borderId="0" xfId="0" applyFont="1" applyFill="1" applyAlignment="1" applyProtection="1"/>
    <xf numFmtId="0" fontId="22" fillId="0" borderId="0" xfId="0" applyFont="1" applyFill="1" applyAlignment="1" applyProtection="1"/>
    <xf numFmtId="0" fontId="1" fillId="0" borderId="0" xfId="0" applyFont="1" applyAlignment="1" applyProtection="1">
      <alignment horizontal="right"/>
    </xf>
    <xf numFmtId="0" fontId="12" fillId="0" borderId="1" xfId="0" applyFont="1" applyFill="1" applyBorder="1" applyAlignment="1" applyProtection="1">
      <alignment horizontal="center"/>
    </xf>
    <xf numFmtId="0" fontId="0" fillId="0" borderId="0" xfId="0" applyAlignment="1" applyProtection="1">
      <alignment wrapText="1" readingOrder="1"/>
    </xf>
    <xf numFmtId="0" fontId="0" fillId="0" borderId="0" xfId="0" applyBorder="1" applyProtection="1"/>
    <xf numFmtId="0" fontId="0" fillId="0" borderId="0" xfId="0" applyAlignment="1" applyProtection="1">
      <alignment horizontal="left"/>
    </xf>
    <xf numFmtId="0" fontId="5" fillId="0" borderId="0" xfId="0" applyFont="1" applyAlignment="1" applyProtection="1">
      <alignment horizontal="left" vertical="center" wrapText="1" readingOrder="1"/>
    </xf>
    <xf numFmtId="0" fontId="1" fillId="0" borderId="2" xfId="0" applyFont="1" applyBorder="1" applyAlignment="1" applyProtection="1">
      <alignment horizontal="center" wrapText="1"/>
    </xf>
    <xf numFmtId="0" fontId="1" fillId="0" borderId="0" xfId="0" applyFont="1" applyBorder="1" applyAlignment="1" applyProtection="1">
      <alignment horizontal="center" wrapText="1"/>
    </xf>
    <xf numFmtId="0" fontId="0" fillId="0" borderId="0" xfId="0" applyBorder="1" applyAlignment="1" applyProtection="1">
      <alignment horizontal="center"/>
    </xf>
    <xf numFmtId="0" fontId="0" fillId="0" borderId="0" xfId="0" applyBorder="1" applyAlignment="1" applyProtection="1">
      <alignment horizontal="center" wrapText="1"/>
    </xf>
    <xf numFmtId="0" fontId="0" fillId="0" borderId="22" xfId="0" applyBorder="1" applyAlignment="1" applyProtection="1">
      <alignment horizontal="right"/>
    </xf>
    <xf numFmtId="2" fontId="0" fillId="0" borderId="23" xfId="0" applyNumberFormat="1" applyBorder="1" applyAlignment="1" applyProtection="1">
      <alignment horizontal="center"/>
    </xf>
    <xf numFmtId="2" fontId="0" fillId="0" borderId="0" xfId="0" applyNumberFormat="1" applyBorder="1" applyAlignment="1" applyProtection="1">
      <alignment horizontal="center"/>
    </xf>
    <xf numFmtId="0" fontId="0" fillId="0" borderId="0" xfId="0" applyBorder="1" applyAlignment="1" applyProtection="1">
      <alignment horizontal="right"/>
    </xf>
    <xf numFmtId="0" fontId="11" fillId="0" borderId="0" xfId="0" quotePrefix="1" applyFont="1" applyBorder="1" applyAlignment="1" applyProtection="1">
      <alignment horizontal="left"/>
    </xf>
    <xf numFmtId="0" fontId="12" fillId="0" borderId="0" xfId="0" applyFont="1" applyBorder="1" applyAlignment="1" applyProtection="1">
      <alignment horizontal="center"/>
    </xf>
    <xf numFmtId="0" fontId="0" fillId="0" borderId="25" xfId="0" applyBorder="1" applyAlignment="1" applyProtection="1">
      <alignment horizontal="right"/>
    </xf>
    <xf numFmtId="2" fontId="0" fillId="0" borderId="26" xfId="0" applyNumberFormat="1" applyBorder="1" applyAlignment="1" applyProtection="1">
      <alignment horizontal="center"/>
    </xf>
    <xf numFmtId="0" fontId="11" fillId="0" borderId="0" xfId="0" applyFont="1" applyBorder="1" applyAlignment="1" applyProtection="1">
      <alignment horizontal="center" vertical="center" wrapText="1"/>
    </xf>
    <xf numFmtId="0" fontId="12" fillId="0" borderId="0" xfId="0" applyFont="1" applyBorder="1" applyAlignment="1" applyProtection="1">
      <alignment horizontal="right"/>
    </xf>
    <xf numFmtId="0" fontId="0" fillId="0" borderId="0" xfId="0" applyBorder="1" applyAlignment="1" applyProtection="1">
      <alignment horizontal="center" vertical="center"/>
    </xf>
    <xf numFmtId="0" fontId="21" fillId="0" borderId="0" xfId="0" applyFont="1" applyFill="1" applyAlignment="1" applyProtection="1"/>
    <xf numFmtId="0" fontId="0" fillId="0" borderId="6" xfId="0" applyBorder="1" applyAlignment="1" applyProtection="1">
      <alignment horizontal="center" vertical="center" wrapText="1"/>
    </xf>
    <xf numFmtId="0" fontId="0" fillId="0" borderId="6" xfId="0" applyBorder="1" applyAlignment="1" applyProtection="1">
      <alignment horizontal="right"/>
    </xf>
    <xf numFmtId="2" fontId="0" fillId="0" borderId="6" xfId="0" applyNumberFormat="1" applyBorder="1" applyAlignment="1" applyProtection="1">
      <alignment horizontal="center"/>
    </xf>
    <xf numFmtId="0" fontId="7" fillId="0" borderId="0" xfId="0" applyFont="1" applyProtection="1"/>
    <xf numFmtId="0" fontId="2" fillId="2" borderId="1" xfId="0" applyFont="1" applyFill="1" applyBorder="1" applyAlignment="1" applyProtection="1">
      <alignment horizontal="center"/>
      <protection locked="0"/>
    </xf>
    <xf numFmtId="0" fontId="8" fillId="0" borderId="0" xfId="0" applyFont="1" applyProtection="1"/>
    <xf numFmtId="0" fontId="0" fillId="0" borderId="1" xfId="0" quotePrefix="1" applyBorder="1" applyAlignment="1" applyProtection="1">
      <alignment horizontal="center"/>
    </xf>
    <xf numFmtId="0" fontId="17" fillId="0" borderId="0" xfId="0" applyFont="1" applyBorder="1" applyProtection="1"/>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13" xfId="0" applyBorder="1" applyProtection="1"/>
    <xf numFmtId="0" fontId="0" fillId="0" borderId="14" xfId="0" applyBorder="1" applyProtection="1"/>
    <xf numFmtId="0" fontId="0" fillId="0" borderId="1" xfId="0" applyBorder="1" applyAlignment="1" applyProtection="1">
      <alignment horizontal="right"/>
    </xf>
    <xf numFmtId="2" fontId="0" fillId="0" borderId="1" xfId="0" applyNumberFormat="1" applyBorder="1" applyAlignment="1" applyProtection="1">
      <alignment horizontal="center"/>
    </xf>
    <xf numFmtId="0" fontId="0" fillId="0" borderId="15" xfId="0" applyBorder="1" applyAlignment="1" applyProtection="1">
      <alignment horizontal="center"/>
    </xf>
    <xf numFmtId="0" fontId="11" fillId="0" borderId="1" xfId="0" applyFont="1" applyBorder="1" applyAlignment="1" applyProtection="1">
      <alignment horizontal="center" wrapText="1"/>
    </xf>
    <xf numFmtId="0" fontId="0" fillId="0" borderId="16" xfId="0" applyBorder="1" applyProtection="1"/>
    <xf numFmtId="0" fontId="12" fillId="0" borderId="1" xfId="0" applyFont="1" applyBorder="1" applyAlignment="1" applyProtection="1">
      <alignment horizontal="right"/>
    </xf>
    <xf numFmtId="164" fontId="12" fillId="0" borderId="1" xfId="0" applyNumberFormat="1" applyFont="1" applyBorder="1" applyAlignment="1" applyProtection="1">
      <alignment horizontal="center"/>
    </xf>
    <xf numFmtId="0" fontId="0" fillId="0" borderId="0" xfId="0" applyFont="1" applyBorder="1" applyAlignment="1" applyProtection="1">
      <alignment horizontal="right"/>
    </xf>
    <xf numFmtId="164" fontId="12" fillId="0" borderId="0" xfId="0" applyNumberFormat="1" applyFont="1" applyBorder="1" applyAlignment="1" applyProtection="1">
      <alignment horizontal="center"/>
    </xf>
    <xf numFmtId="0" fontId="10" fillId="0" borderId="0" xfId="0" applyFont="1" applyBorder="1" applyAlignment="1" applyProtection="1">
      <alignment horizontal="center" vertical="center" wrapText="1"/>
    </xf>
    <xf numFmtId="0" fontId="0" fillId="0" borderId="1" xfId="0" applyBorder="1" applyAlignment="1" applyProtection="1">
      <alignment horizontal="center" vertical="center" wrapText="1"/>
    </xf>
    <xf numFmtId="2" fontId="0" fillId="0" borderId="0" xfId="0" applyNumberFormat="1" applyFont="1" applyBorder="1" applyAlignment="1" applyProtection="1">
      <alignment horizontal="right"/>
    </xf>
    <xf numFmtId="2" fontId="0" fillId="0" borderId="0" xfId="0" applyNumberFormat="1" applyFont="1" applyFill="1" applyBorder="1" applyAlignment="1" applyProtection="1">
      <alignment horizontal="right"/>
    </xf>
    <xf numFmtId="164" fontId="0" fillId="0" borderId="0" xfId="0" applyNumberFormat="1" applyBorder="1" applyAlignment="1" applyProtection="1">
      <alignment horizontal="right"/>
    </xf>
    <xf numFmtId="164" fontId="0" fillId="0" borderId="0" xfId="0" applyNumberFormat="1" applyBorder="1" applyAlignment="1" applyProtection="1">
      <alignment horizontal="center"/>
    </xf>
    <xf numFmtId="2" fontId="0" fillId="0" borderId="0" xfId="0" applyNumberFormat="1" applyAlignment="1" applyProtection="1">
      <alignment horizontal="center"/>
    </xf>
    <xf numFmtId="0" fontId="0" fillId="0" borderId="0" xfId="0" applyFont="1" applyBorder="1" applyAlignment="1" applyProtection="1">
      <alignment horizontal="center"/>
    </xf>
    <xf numFmtId="0" fontId="0" fillId="0" borderId="17" xfId="0" applyBorder="1" applyAlignment="1" applyProtection="1">
      <alignment horizontal="center"/>
    </xf>
    <xf numFmtId="0" fontId="0" fillId="0" borderId="18" xfId="0" applyBorder="1" applyAlignment="1" applyProtection="1">
      <alignment horizontal="center"/>
    </xf>
    <xf numFmtId="0" fontId="18" fillId="0" borderId="18" xfId="0" applyFont="1" applyBorder="1" applyProtection="1"/>
    <xf numFmtId="0" fontId="0" fillId="0" borderId="18" xfId="0" applyBorder="1" applyProtection="1"/>
    <xf numFmtId="0" fontId="0" fillId="0" borderId="19" xfId="0" applyBorder="1" applyProtection="1"/>
    <xf numFmtId="0" fontId="0" fillId="0" borderId="0" xfId="0" applyFont="1" applyFill="1" applyBorder="1" applyAlignment="1" applyProtection="1">
      <alignment horizontal="right"/>
    </xf>
    <xf numFmtId="0" fontId="1" fillId="0" borderId="0" xfId="0" applyFont="1" applyBorder="1" applyAlignment="1" applyProtection="1">
      <alignment horizontal="center" vertical="center"/>
    </xf>
    <xf numFmtId="0" fontId="1" fillId="0" borderId="0" xfId="0" applyFont="1" applyAlignment="1" applyProtection="1">
      <alignment horizontal="left"/>
    </xf>
    <xf numFmtId="0" fontId="0" fillId="0" borderId="0" xfId="0" applyBorder="1" applyAlignment="1" applyProtection="1">
      <alignment horizontal="center" vertical="center" wrapText="1"/>
    </xf>
    <xf numFmtId="0" fontId="1" fillId="0" borderId="2" xfId="0" applyFont="1" applyFill="1" applyBorder="1" applyAlignment="1" applyProtection="1">
      <alignment horizontal="right"/>
    </xf>
    <xf numFmtId="0" fontId="1" fillId="0" borderId="1" xfId="0" applyFont="1" applyFill="1" applyBorder="1" applyAlignment="1" applyProtection="1">
      <alignment horizontal="right"/>
    </xf>
    <xf numFmtId="0" fontId="7" fillId="0" borderId="0" xfId="0" applyFont="1" applyAlignment="1" applyProtection="1">
      <alignment horizontal="left"/>
    </xf>
    <xf numFmtId="0" fontId="1" fillId="0" borderId="1" xfId="0" applyFont="1" applyFill="1" applyBorder="1" applyAlignment="1" applyProtection="1">
      <alignment horizontal="center"/>
    </xf>
    <xf numFmtId="0" fontId="13" fillId="0" borderId="0" xfId="0" applyFont="1" applyAlignment="1" applyProtection="1">
      <alignment horizontal="right"/>
    </xf>
    <xf numFmtId="0" fontId="1" fillId="0" borderId="0" xfId="0" applyFont="1" applyProtection="1"/>
    <xf numFmtId="0" fontId="1" fillId="0" borderId="1" xfId="0" applyFont="1" applyBorder="1" applyAlignment="1" applyProtection="1">
      <alignment horizontal="right"/>
    </xf>
    <xf numFmtId="164" fontId="0" fillId="0" borderId="1" xfId="0" applyNumberFormat="1" applyBorder="1" applyAlignment="1" applyProtection="1">
      <alignment horizontal="center"/>
    </xf>
    <xf numFmtId="10" fontId="2" fillId="2" borderId="1" xfId="0" applyNumberFormat="1" applyFont="1" applyFill="1" applyBorder="1" applyAlignment="1" applyProtection="1">
      <alignment horizontal="center"/>
      <protection locked="0"/>
    </xf>
    <xf numFmtId="164" fontId="2" fillId="2" borderId="1" xfId="0" applyNumberFormat="1" applyFont="1" applyFill="1" applyBorder="1" applyAlignment="1" applyProtection="1">
      <alignment horizontal="center"/>
      <protection locked="0"/>
    </xf>
    <xf numFmtId="0" fontId="1" fillId="0" borderId="0" xfId="0" applyFont="1" applyFill="1" applyAlignment="1" applyProtection="1">
      <alignment wrapText="1"/>
    </xf>
    <xf numFmtId="0" fontId="5" fillId="0" borderId="0" xfId="0" applyFont="1" applyAlignment="1" applyProtection="1">
      <alignment horizontal="left" vertical="center" wrapText="1" readingOrder="1"/>
    </xf>
    <xf numFmtId="0" fontId="1" fillId="0" borderId="21" xfId="0" applyFont="1" applyBorder="1" applyAlignment="1" applyProtection="1">
      <alignment horizontal="center" vertical="center" wrapText="1"/>
    </xf>
    <xf numFmtId="0" fontId="0" fillId="0" borderId="24" xfId="0" applyBorder="1" applyAlignment="1" applyProtection="1">
      <alignment horizontal="center" vertical="center" wrapText="1"/>
    </xf>
    <xf numFmtId="0" fontId="5" fillId="0" borderId="20" xfId="0" applyFont="1" applyBorder="1" applyAlignment="1" applyProtection="1">
      <alignment horizontal="left" vertical="center" wrapText="1" readingOrder="1"/>
    </xf>
    <xf numFmtId="0" fontId="0" fillId="0" borderId="0" xfId="0" applyAlignment="1" applyProtection="1">
      <alignment wrapText="1" readingOrder="1"/>
    </xf>
    <xf numFmtId="0" fontId="1" fillId="0" borderId="1" xfId="0" applyFont="1" applyBorder="1" applyAlignment="1" applyProtection="1">
      <alignment horizontal="right"/>
    </xf>
    <xf numFmtId="0" fontId="1" fillId="0" borderId="1" xfId="0" applyFont="1" applyBorder="1" applyAlignment="1" applyProtection="1">
      <alignment horizontal="center" wrapText="1"/>
    </xf>
    <xf numFmtId="0" fontId="0" fillId="0" borderId="1" xfId="0" applyBorder="1" applyAlignment="1" applyProtection="1"/>
    <xf numFmtId="0" fontId="10"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xf numFmtId="0" fontId="11"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2" fillId="2" borderId="0" xfId="0" applyFont="1" applyFill="1" applyAlignment="1" applyProtection="1"/>
    <xf numFmtId="0" fontId="3" fillId="2" borderId="0" xfId="0" applyFont="1" applyFill="1" applyAlignment="1" applyProtection="1"/>
    <xf numFmtId="0" fontId="1" fillId="0" borderId="4" xfId="0" applyFont="1" applyFill="1" applyBorder="1" applyAlignment="1" applyProtection="1">
      <alignment horizontal="right"/>
    </xf>
    <xf numFmtId="0" fontId="1" fillId="0" borderId="7" xfId="0" applyFont="1" applyFill="1" applyBorder="1" applyAlignment="1" applyProtection="1">
      <alignment horizontal="right"/>
    </xf>
    <xf numFmtId="0" fontId="1" fillId="0" borderId="5" xfId="0" applyFont="1" applyFill="1" applyBorder="1" applyAlignment="1" applyProtection="1">
      <alignment horizontal="right"/>
    </xf>
    <xf numFmtId="0" fontId="1" fillId="0" borderId="1" xfId="0" applyFont="1" applyFill="1" applyBorder="1" applyAlignment="1" applyProtection="1">
      <alignment horizontal="right"/>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Alignment="1">
      <alignment wrapText="1"/>
    </xf>
    <xf numFmtId="0" fontId="5" fillId="0" borderId="0" xfId="0" applyFont="1" applyAlignment="1">
      <alignment horizontal="left" vertical="center" wrapText="1" readingOrder="1"/>
    </xf>
    <xf numFmtId="0" fontId="0" fillId="0" borderId="0" xfId="0" applyAlignment="1">
      <alignment wrapText="1" readingOrder="1"/>
    </xf>
    <xf numFmtId="0" fontId="0" fillId="0" borderId="0" xfId="0" applyAlignment="1">
      <alignment readingOrder="1"/>
    </xf>
    <xf numFmtId="0" fontId="0" fillId="0" borderId="0" xfId="0" applyAlignment="1"/>
    <xf numFmtId="0" fontId="0" fillId="0" borderId="0" xfId="0" applyAlignment="1">
      <alignment horizontal="left" wrapText="1"/>
    </xf>
  </cellXfs>
  <cellStyles count="1">
    <cellStyle name="Normal" xfId="0" builtinId="0"/>
  </cellStyles>
  <dxfs count="38">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7.emf"/><Relationship Id="rId1"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10</xdr:col>
      <xdr:colOff>226219</xdr:colOff>
      <xdr:row>2</xdr:row>
      <xdr:rowOff>107156</xdr:rowOff>
    </xdr:from>
    <xdr:to>
      <xdr:col>20</xdr:col>
      <xdr:colOff>434868</xdr:colOff>
      <xdr:row>21</xdr:row>
      <xdr:rowOff>162186</xdr:rowOff>
    </xdr:to>
    <xdr:pic>
      <xdr:nvPicPr>
        <xdr:cNvPr id="4" name="Picture 3"/>
        <xdr:cNvPicPr>
          <a:picLocks noChangeAspect="1"/>
        </xdr:cNvPicPr>
      </xdr:nvPicPr>
      <xdr:blipFill>
        <a:blip xmlns:r="http://schemas.openxmlformats.org/officeDocument/2006/relationships" r:embed="rId1"/>
        <a:stretch>
          <a:fillRect/>
        </a:stretch>
      </xdr:blipFill>
      <xdr:spPr>
        <a:xfrm>
          <a:off x="9096375" y="666750"/>
          <a:ext cx="6280836" cy="5758124"/>
        </a:xfrm>
        <a:prstGeom prst="rect">
          <a:avLst/>
        </a:prstGeom>
      </xdr:spPr>
    </xdr:pic>
    <xdr:clientData/>
  </xdr:twoCellAnchor>
  <xdr:twoCellAnchor editAs="oneCell">
    <xdr:from>
      <xdr:col>10</xdr:col>
      <xdr:colOff>95250</xdr:colOff>
      <xdr:row>25</xdr:row>
      <xdr:rowOff>71437</xdr:rowOff>
    </xdr:from>
    <xdr:to>
      <xdr:col>19</xdr:col>
      <xdr:colOff>382663</xdr:colOff>
      <xdr:row>57</xdr:row>
      <xdr:rowOff>96661</xdr:rowOff>
    </xdr:to>
    <xdr:pic>
      <xdr:nvPicPr>
        <xdr:cNvPr id="5" name="Picture 4"/>
        <xdr:cNvPicPr>
          <a:picLocks noChangeAspect="1"/>
        </xdr:cNvPicPr>
      </xdr:nvPicPr>
      <xdr:blipFill>
        <a:blip xmlns:r="http://schemas.openxmlformats.org/officeDocument/2006/relationships" r:embed="rId2"/>
        <a:stretch>
          <a:fillRect/>
        </a:stretch>
      </xdr:blipFill>
      <xdr:spPr>
        <a:xfrm>
          <a:off x="9179719" y="7203281"/>
          <a:ext cx="5752381" cy="7752381"/>
        </a:xfrm>
        <a:prstGeom prst="rect">
          <a:avLst/>
        </a:prstGeom>
      </xdr:spPr>
    </xdr:pic>
    <xdr:clientData/>
  </xdr:twoCellAnchor>
  <xdr:twoCellAnchor editAs="oneCell">
    <xdr:from>
      <xdr:col>3</xdr:col>
      <xdr:colOff>226219</xdr:colOff>
      <xdr:row>12</xdr:row>
      <xdr:rowOff>107156</xdr:rowOff>
    </xdr:from>
    <xdr:to>
      <xdr:col>7</xdr:col>
      <xdr:colOff>404407</xdr:colOff>
      <xdr:row>14</xdr:row>
      <xdr:rowOff>249948</xdr:rowOff>
    </xdr:to>
    <xdr:pic>
      <xdr:nvPicPr>
        <xdr:cNvPr id="8" name="Picture 7"/>
        <xdr:cNvPicPr>
          <a:picLocks noChangeAspect="1"/>
        </xdr:cNvPicPr>
      </xdr:nvPicPr>
      <xdr:blipFill>
        <a:blip xmlns:r="http://schemas.openxmlformats.org/officeDocument/2006/relationships" r:embed="rId3"/>
        <a:stretch>
          <a:fillRect/>
        </a:stretch>
      </xdr:blipFill>
      <xdr:spPr>
        <a:xfrm>
          <a:off x="5572125" y="4405312"/>
          <a:ext cx="3238095" cy="666667"/>
        </a:xfrm>
        <a:prstGeom prst="rect">
          <a:avLst/>
        </a:prstGeom>
      </xdr:spPr>
    </xdr:pic>
    <xdr:clientData/>
  </xdr:twoCellAnchor>
  <xdr:twoCellAnchor editAs="oneCell">
    <xdr:from>
      <xdr:col>3</xdr:col>
      <xdr:colOff>321470</xdr:colOff>
      <xdr:row>30</xdr:row>
      <xdr:rowOff>11906</xdr:rowOff>
    </xdr:from>
    <xdr:to>
      <xdr:col>7</xdr:col>
      <xdr:colOff>309182</xdr:colOff>
      <xdr:row>32</xdr:row>
      <xdr:rowOff>499943</xdr:rowOff>
    </xdr:to>
    <xdr:pic>
      <xdr:nvPicPr>
        <xdr:cNvPr id="9" name="Picture 8"/>
        <xdr:cNvPicPr>
          <a:picLocks noChangeAspect="1"/>
        </xdr:cNvPicPr>
      </xdr:nvPicPr>
      <xdr:blipFill>
        <a:blip xmlns:r="http://schemas.openxmlformats.org/officeDocument/2006/relationships" r:embed="rId4"/>
        <a:stretch>
          <a:fillRect/>
        </a:stretch>
      </xdr:blipFill>
      <xdr:spPr>
        <a:xfrm>
          <a:off x="5667376" y="9632156"/>
          <a:ext cx="3047619" cy="952381"/>
        </a:xfrm>
        <a:prstGeom prst="rect">
          <a:avLst/>
        </a:prstGeom>
      </xdr:spPr>
    </xdr:pic>
    <xdr:clientData/>
  </xdr:twoCellAnchor>
  <xdr:twoCellAnchor editAs="oneCell">
    <xdr:from>
      <xdr:col>0</xdr:col>
      <xdr:colOff>940592</xdr:colOff>
      <xdr:row>45</xdr:row>
      <xdr:rowOff>23812</xdr:rowOff>
    </xdr:from>
    <xdr:to>
      <xdr:col>7</xdr:col>
      <xdr:colOff>210969</xdr:colOff>
      <xdr:row>81</xdr:row>
      <xdr:rowOff>89615</xdr:rowOff>
    </xdr:to>
    <xdr:pic>
      <xdr:nvPicPr>
        <xdr:cNvPr id="2" name="Picture 1"/>
        <xdr:cNvPicPr>
          <a:picLocks noChangeAspect="1"/>
        </xdr:cNvPicPr>
      </xdr:nvPicPr>
      <xdr:blipFill>
        <a:blip xmlns:r="http://schemas.openxmlformats.org/officeDocument/2006/relationships" r:embed="rId5"/>
        <a:stretch>
          <a:fillRect/>
        </a:stretch>
      </xdr:blipFill>
      <xdr:spPr>
        <a:xfrm>
          <a:off x="940592" y="12954000"/>
          <a:ext cx="7676190" cy="69714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13</xdr:col>
      <xdr:colOff>247650</xdr:colOff>
      <xdr:row>82</xdr:row>
      <xdr:rowOff>85725</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1420475"/>
          <a:ext cx="11315700" cy="580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86</xdr:row>
      <xdr:rowOff>0</xdr:rowOff>
    </xdr:from>
    <xdr:to>
      <xdr:col>13</xdr:col>
      <xdr:colOff>28575</xdr:colOff>
      <xdr:row>113</xdr:row>
      <xdr:rowOff>9525</xdr:rowOff>
    </xdr:to>
    <xdr:pic>
      <xdr:nvPicPr>
        <xdr:cNvPr id="7"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2525" y="17945100"/>
          <a:ext cx="11096625" cy="515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115</xdr:row>
      <xdr:rowOff>0</xdr:rowOff>
    </xdr:from>
    <xdr:to>
      <xdr:col>9</xdr:col>
      <xdr:colOff>842002</xdr:colOff>
      <xdr:row>151</xdr:row>
      <xdr:rowOff>113428</xdr:rowOff>
    </xdr:to>
    <xdr:pic>
      <xdr:nvPicPr>
        <xdr:cNvPr id="2" name="Picture 1"/>
        <xdr:cNvPicPr>
          <a:picLocks noChangeAspect="1"/>
        </xdr:cNvPicPr>
      </xdr:nvPicPr>
      <xdr:blipFill>
        <a:blip xmlns:r="http://schemas.openxmlformats.org/officeDocument/2006/relationships" r:embed="rId3"/>
        <a:stretch>
          <a:fillRect/>
        </a:stretch>
      </xdr:blipFill>
      <xdr:spPr>
        <a:xfrm>
          <a:off x="1154906" y="23479125"/>
          <a:ext cx="7676190" cy="69714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13</xdr:col>
      <xdr:colOff>360990</xdr:colOff>
      <xdr:row>73</xdr:row>
      <xdr:rowOff>113428</xdr:rowOff>
    </xdr:to>
    <xdr:pic>
      <xdr:nvPicPr>
        <xdr:cNvPr id="2" name="Picture 1"/>
        <xdr:cNvPicPr>
          <a:picLocks noChangeAspect="1"/>
        </xdr:cNvPicPr>
      </xdr:nvPicPr>
      <xdr:blipFill>
        <a:blip xmlns:r="http://schemas.openxmlformats.org/officeDocument/2006/relationships" r:embed="rId1"/>
        <a:stretch>
          <a:fillRect/>
        </a:stretch>
      </xdr:blipFill>
      <xdr:spPr>
        <a:xfrm>
          <a:off x="609600" y="9163050"/>
          <a:ext cx="7676190" cy="69714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2</xdr:row>
      <xdr:rowOff>114300</xdr:rowOff>
    </xdr:from>
    <xdr:to>
      <xdr:col>16</xdr:col>
      <xdr:colOff>219075</xdr:colOff>
      <xdr:row>33</xdr:row>
      <xdr:rowOff>133350</xdr:rowOff>
    </xdr:to>
    <xdr:pic>
      <xdr:nvPicPr>
        <xdr:cNvPr id="53" name="Picture 5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638175"/>
          <a:ext cx="9324975" cy="592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13</xdr:col>
      <xdr:colOff>360990</xdr:colOff>
      <xdr:row>73</xdr:row>
      <xdr:rowOff>113428</xdr:rowOff>
    </xdr:to>
    <xdr:pic>
      <xdr:nvPicPr>
        <xdr:cNvPr id="3" name="Picture 2"/>
        <xdr:cNvPicPr>
          <a:picLocks noChangeAspect="1"/>
        </xdr:cNvPicPr>
      </xdr:nvPicPr>
      <xdr:blipFill>
        <a:blip xmlns:r="http://schemas.openxmlformats.org/officeDocument/2006/relationships" r:embed="rId2"/>
        <a:stretch>
          <a:fillRect/>
        </a:stretch>
      </xdr:blipFill>
      <xdr:spPr>
        <a:xfrm>
          <a:off x="609600" y="7191375"/>
          <a:ext cx="7676190" cy="69714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16</xdr:col>
      <xdr:colOff>180975</xdr:colOff>
      <xdr:row>33</xdr:row>
      <xdr:rowOff>19050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523875"/>
          <a:ext cx="9324975" cy="592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xdr:row>
      <xdr:rowOff>0</xdr:rowOff>
    </xdr:from>
    <xdr:to>
      <xdr:col>14</xdr:col>
      <xdr:colOff>360990</xdr:colOff>
      <xdr:row>74</xdr:row>
      <xdr:rowOff>113428</xdr:rowOff>
    </xdr:to>
    <xdr:pic>
      <xdr:nvPicPr>
        <xdr:cNvPr id="5" name="Picture 4"/>
        <xdr:cNvPicPr>
          <a:picLocks noChangeAspect="1"/>
        </xdr:cNvPicPr>
      </xdr:nvPicPr>
      <xdr:blipFill>
        <a:blip xmlns:r="http://schemas.openxmlformats.org/officeDocument/2006/relationships" r:embed="rId2"/>
        <a:stretch>
          <a:fillRect/>
        </a:stretch>
      </xdr:blipFill>
      <xdr:spPr>
        <a:xfrm>
          <a:off x="1219200" y="7381875"/>
          <a:ext cx="7676190" cy="69714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17</xdr:row>
      <xdr:rowOff>0</xdr:rowOff>
    </xdr:from>
    <xdr:to>
      <xdr:col>11</xdr:col>
      <xdr:colOff>113340</xdr:colOff>
      <xdr:row>53</xdr:row>
      <xdr:rowOff>113428</xdr:rowOff>
    </xdr:to>
    <xdr:pic>
      <xdr:nvPicPr>
        <xdr:cNvPr id="2" name="Picture 1"/>
        <xdr:cNvPicPr>
          <a:picLocks noChangeAspect="1"/>
        </xdr:cNvPicPr>
      </xdr:nvPicPr>
      <xdr:blipFill>
        <a:blip xmlns:r="http://schemas.openxmlformats.org/officeDocument/2006/relationships" r:embed="rId1"/>
        <a:stretch>
          <a:fillRect/>
        </a:stretch>
      </xdr:blipFill>
      <xdr:spPr>
        <a:xfrm>
          <a:off x="1743075" y="4238625"/>
          <a:ext cx="7676190" cy="69714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abSelected="1" zoomScale="80" zoomScaleNormal="80" workbookViewId="0">
      <selection activeCell="A88" sqref="A88"/>
    </sheetView>
  </sheetViews>
  <sheetFormatPr defaultRowHeight="15" x14ac:dyDescent="0.25"/>
  <cols>
    <col min="1" max="1" width="41.42578125" style="16" customWidth="1"/>
    <col min="2" max="2" width="20.28515625" style="14" customWidth="1"/>
    <col min="3" max="4" width="18.42578125" style="14" customWidth="1"/>
    <col min="5" max="5" width="13.28515625" style="15" customWidth="1"/>
    <col min="6" max="6" width="11.28515625" style="15" customWidth="1"/>
    <col min="7" max="7" width="3" style="15" customWidth="1"/>
    <col min="8" max="8" width="13.28515625" style="14" customWidth="1"/>
    <col min="9" max="9" width="9.140625" style="14"/>
    <col min="10" max="10" width="6.28515625" style="14" customWidth="1"/>
    <col min="11" max="16384" width="9.140625" style="14"/>
  </cols>
  <sheetData>
    <row r="1" spans="1:12" ht="33.75" x14ac:dyDescent="0.5">
      <c r="A1" s="13" t="s">
        <v>104</v>
      </c>
    </row>
    <row r="2" spans="1:12" ht="18" customHeight="1" x14ac:dyDescent="0.35">
      <c r="K2" s="17" t="s">
        <v>106</v>
      </c>
    </row>
    <row r="3" spans="1:12" ht="45" customHeight="1" x14ac:dyDescent="0.25">
      <c r="A3" s="99" t="s">
        <v>115</v>
      </c>
      <c r="B3" s="99"/>
      <c r="C3" s="99"/>
      <c r="D3" s="99"/>
      <c r="E3" s="99"/>
      <c r="F3" s="99"/>
      <c r="G3" s="18"/>
      <c r="H3" s="19" t="s">
        <v>116</v>
      </c>
      <c r="I3" s="20" t="s">
        <v>27</v>
      </c>
      <c r="J3" s="21"/>
    </row>
    <row r="4" spans="1:12" x14ac:dyDescent="0.25">
      <c r="A4" s="22" t="s">
        <v>84</v>
      </c>
      <c r="B4" s="23"/>
      <c r="C4" s="23"/>
      <c r="D4" s="23"/>
      <c r="E4" s="23"/>
      <c r="F4" s="23"/>
      <c r="G4" s="23"/>
      <c r="H4" s="24" t="s">
        <v>14</v>
      </c>
      <c r="I4" s="25">
        <v>0.95</v>
      </c>
      <c r="J4" s="26"/>
    </row>
    <row r="5" spans="1:12" x14ac:dyDescent="0.25">
      <c r="A5" s="27"/>
      <c r="B5" s="23"/>
      <c r="C5" s="23"/>
      <c r="D5" s="23"/>
      <c r="E5" s="23"/>
      <c r="F5" s="23"/>
      <c r="G5" s="23"/>
      <c r="H5" s="24" t="s">
        <v>13</v>
      </c>
      <c r="I5" s="25">
        <v>1.05</v>
      </c>
      <c r="J5" s="26"/>
    </row>
    <row r="6" spans="1:12" ht="31.5" x14ac:dyDescent="0.5">
      <c r="A6" s="28" t="s">
        <v>106</v>
      </c>
      <c r="B6" s="23"/>
      <c r="C6" s="23"/>
      <c r="D6" s="23"/>
      <c r="E6" s="23"/>
      <c r="F6" s="23"/>
      <c r="G6" s="23"/>
    </row>
    <row r="7" spans="1:12" ht="45" x14ac:dyDescent="0.25">
      <c r="A7" s="14"/>
      <c r="B7" s="19" t="s">
        <v>15</v>
      </c>
      <c r="C7" s="19" t="s">
        <v>16</v>
      </c>
      <c r="D7" s="19" t="s">
        <v>59</v>
      </c>
      <c r="E7" s="19" t="s">
        <v>49</v>
      </c>
      <c r="F7" s="19" t="s">
        <v>100</v>
      </c>
    </row>
    <row r="8" spans="1:12" x14ac:dyDescent="0.25">
      <c r="A8" s="29" t="s">
        <v>107</v>
      </c>
      <c r="B8" s="30">
        <f>HEX2DEC(C8)</f>
        <v>61</v>
      </c>
      <c r="C8" s="55" t="s">
        <v>126</v>
      </c>
      <c r="D8" s="24" t="str">
        <f>IF(AND(1&lt;=B8, B8&lt;=255), "In Range", "Out of Range")</f>
        <v>In Range</v>
      </c>
      <c r="E8" s="24" t="s">
        <v>108</v>
      </c>
      <c r="F8" s="24" t="s">
        <v>126</v>
      </c>
    </row>
    <row r="9" spans="1:12" x14ac:dyDescent="0.25">
      <c r="A9" s="29" t="s">
        <v>76</v>
      </c>
      <c r="B9" s="100" t="s">
        <v>113</v>
      </c>
      <c r="C9" s="104"/>
      <c r="D9" s="104"/>
      <c r="E9" s="104"/>
      <c r="F9" s="104"/>
      <c r="G9" s="104"/>
    </row>
    <row r="10" spans="1:12" ht="67.5" customHeight="1" x14ac:dyDescent="0.25">
      <c r="B10" s="100" t="s">
        <v>114</v>
      </c>
      <c r="C10" s="100"/>
      <c r="D10" s="100"/>
      <c r="E10" s="100"/>
      <c r="F10" s="100"/>
      <c r="G10" s="31"/>
      <c r="H10" s="32"/>
      <c r="I10" s="32"/>
      <c r="J10" s="32"/>
      <c r="K10" s="32"/>
      <c r="L10" s="32"/>
    </row>
    <row r="11" spans="1:12" x14ac:dyDescent="0.25">
      <c r="B11" s="100" t="s">
        <v>128</v>
      </c>
      <c r="C11" s="100"/>
      <c r="D11" s="100"/>
      <c r="E11" s="100"/>
      <c r="F11" s="100"/>
      <c r="G11" s="33"/>
      <c r="H11" s="32"/>
      <c r="I11" s="32"/>
      <c r="J11" s="32"/>
      <c r="K11" s="32"/>
      <c r="L11" s="32"/>
    </row>
    <row r="12" spans="1:12" x14ac:dyDescent="0.25">
      <c r="B12" s="34"/>
      <c r="C12" s="34"/>
      <c r="D12" s="34"/>
      <c r="E12" s="34"/>
      <c r="F12" s="34"/>
      <c r="G12" s="33"/>
      <c r="H12" s="32"/>
      <c r="I12" s="32"/>
      <c r="J12" s="32"/>
      <c r="K12" s="32"/>
      <c r="L12" s="32"/>
    </row>
    <row r="13" spans="1:12" ht="15.75" thickBot="1" x14ac:dyDescent="0.3">
      <c r="A13" s="14"/>
      <c r="C13" s="35" t="s">
        <v>111</v>
      </c>
      <c r="D13" s="36"/>
      <c r="E13" s="37"/>
      <c r="F13" s="37"/>
      <c r="G13" s="37"/>
      <c r="H13" s="38"/>
      <c r="I13" s="38"/>
      <c r="J13" s="38"/>
      <c r="K13" s="32"/>
      <c r="L13" s="32"/>
    </row>
    <row r="14" spans="1:12" ht="25.5" customHeight="1" x14ac:dyDescent="0.25">
      <c r="A14" s="101" t="s">
        <v>112</v>
      </c>
      <c r="B14" s="39" t="s">
        <v>109</v>
      </c>
      <c r="C14" s="40">
        <f>($B$8) * 5 * $I$4</f>
        <v>289.75</v>
      </c>
      <c r="D14" s="41"/>
      <c r="E14" s="42"/>
      <c r="F14" s="43"/>
      <c r="G14" s="44"/>
      <c r="H14" s="37"/>
      <c r="I14" s="37"/>
      <c r="J14" s="37"/>
      <c r="K14" s="32"/>
      <c r="L14" s="32"/>
    </row>
    <row r="15" spans="1:12" ht="25.5" customHeight="1" thickBot="1" x14ac:dyDescent="0.3">
      <c r="A15" s="102"/>
      <c r="B15" s="45" t="s">
        <v>110</v>
      </c>
      <c r="C15" s="46">
        <f>($B$8 +1) * 5 * $I$5</f>
        <v>325.5</v>
      </c>
      <c r="D15" s="41"/>
      <c r="E15" s="42"/>
      <c r="F15" s="47"/>
      <c r="G15" s="48"/>
      <c r="H15" s="37"/>
      <c r="I15" s="37"/>
      <c r="J15" s="37"/>
      <c r="K15" s="32"/>
      <c r="L15" s="32"/>
    </row>
    <row r="16" spans="1:12" x14ac:dyDescent="0.25">
      <c r="A16" s="49"/>
      <c r="B16" s="42"/>
      <c r="C16" s="41"/>
      <c r="D16" s="41"/>
      <c r="E16" s="42"/>
      <c r="F16" s="47"/>
      <c r="G16" s="48"/>
      <c r="H16" s="37"/>
      <c r="I16" s="37"/>
      <c r="J16" s="37"/>
      <c r="K16" s="32"/>
      <c r="L16" s="32"/>
    </row>
    <row r="17" spans="1:12" x14ac:dyDescent="0.25">
      <c r="A17" s="49"/>
      <c r="B17" s="42"/>
      <c r="C17" s="41"/>
      <c r="D17" s="41"/>
      <c r="E17" s="42"/>
      <c r="F17" s="47"/>
      <c r="G17" s="48"/>
      <c r="H17" s="37"/>
      <c r="I17" s="37"/>
      <c r="J17" s="37"/>
      <c r="K17" s="32"/>
      <c r="L17" s="32"/>
    </row>
    <row r="18" spans="1:12" x14ac:dyDescent="0.25">
      <c r="A18" s="49"/>
      <c r="B18" s="42"/>
      <c r="C18" s="41"/>
      <c r="D18" s="41"/>
      <c r="E18" s="42"/>
      <c r="F18" s="47"/>
      <c r="G18" s="48"/>
      <c r="H18" s="37"/>
      <c r="I18" s="37"/>
      <c r="J18" s="37"/>
      <c r="K18" s="32"/>
      <c r="L18" s="32"/>
    </row>
    <row r="19" spans="1:12" x14ac:dyDescent="0.25">
      <c r="A19" s="49"/>
      <c r="B19" s="42"/>
      <c r="C19" s="41"/>
      <c r="D19" s="41"/>
      <c r="E19" s="42"/>
      <c r="F19" s="47"/>
      <c r="G19" s="48"/>
      <c r="H19" s="37"/>
      <c r="I19" s="37"/>
      <c r="J19" s="37"/>
      <c r="K19" s="32"/>
      <c r="L19" s="32"/>
    </row>
    <row r="20" spans="1:12" x14ac:dyDescent="0.25">
      <c r="A20" s="49"/>
      <c r="B20" s="42"/>
      <c r="C20" s="41"/>
      <c r="D20" s="41"/>
      <c r="E20" s="42"/>
      <c r="F20" s="47"/>
      <c r="G20" s="48"/>
      <c r="H20" s="37"/>
      <c r="I20" s="37"/>
      <c r="J20" s="37"/>
      <c r="K20" s="32"/>
      <c r="L20" s="32"/>
    </row>
    <row r="21" spans="1:12" ht="28.5" x14ac:dyDescent="0.45">
      <c r="A21" s="50" t="s">
        <v>129</v>
      </c>
      <c r="B21" s="23"/>
      <c r="C21" s="23"/>
      <c r="D21" s="23"/>
      <c r="E21" s="23"/>
      <c r="F21" s="23"/>
      <c r="G21" s="23"/>
      <c r="H21" s="37"/>
      <c r="I21" s="37"/>
      <c r="J21" s="37"/>
      <c r="K21" s="32"/>
      <c r="L21" s="32"/>
    </row>
    <row r="22" spans="1:12" ht="45" x14ac:dyDescent="0.25">
      <c r="A22" s="14"/>
      <c r="B22" s="19" t="s">
        <v>15</v>
      </c>
      <c r="C22" s="19" t="s">
        <v>16</v>
      </c>
      <c r="D22" s="19" t="s">
        <v>59</v>
      </c>
      <c r="E22" s="19" t="s">
        <v>49</v>
      </c>
      <c r="F22" s="19" t="s">
        <v>100</v>
      </c>
      <c r="H22" s="37"/>
      <c r="I22" s="37"/>
      <c r="J22" s="37"/>
      <c r="K22" s="32"/>
      <c r="L22" s="32"/>
    </row>
    <row r="23" spans="1:12" x14ac:dyDescent="0.25">
      <c r="A23" s="29" t="s">
        <v>125</v>
      </c>
      <c r="B23" s="30">
        <f>HEX2DEC(C23)</f>
        <v>168</v>
      </c>
      <c r="C23" s="55" t="s">
        <v>127</v>
      </c>
      <c r="D23" s="24" t="str">
        <f>IF(AND(1&lt;=B23, B23&lt;=255), "In Range", "Out of Range")</f>
        <v>In Range</v>
      </c>
      <c r="E23" s="24" t="s">
        <v>108</v>
      </c>
      <c r="F23" s="24" t="s">
        <v>127</v>
      </c>
      <c r="H23" s="37"/>
      <c r="I23" s="37"/>
      <c r="J23" s="37"/>
      <c r="K23" s="32"/>
      <c r="L23" s="32"/>
    </row>
    <row r="24" spans="1:12" x14ac:dyDescent="0.25">
      <c r="A24" s="29" t="s">
        <v>107</v>
      </c>
      <c r="B24" s="30">
        <f>HEX2DEC(C24)</f>
        <v>61</v>
      </c>
      <c r="C24" s="55" t="s">
        <v>126</v>
      </c>
      <c r="D24" s="24" t="str">
        <f>IF(AND(1&lt;=B24, B24&lt;=255), "In Range", "Out of Range")</f>
        <v>In Range</v>
      </c>
      <c r="E24" s="24" t="s">
        <v>108</v>
      </c>
      <c r="F24" s="24" t="s">
        <v>126</v>
      </c>
      <c r="H24" s="37"/>
      <c r="I24" s="37"/>
      <c r="J24" s="37"/>
      <c r="K24" s="32"/>
      <c r="L24" s="32"/>
    </row>
    <row r="25" spans="1:12" ht="18" customHeight="1" x14ac:dyDescent="0.35">
      <c r="A25" s="29" t="s">
        <v>76</v>
      </c>
      <c r="B25" s="103" t="s">
        <v>113</v>
      </c>
      <c r="C25" s="103"/>
      <c r="D25" s="103"/>
      <c r="E25" s="103"/>
      <c r="F25" s="103"/>
      <c r="G25" s="31"/>
      <c r="H25" s="37"/>
      <c r="I25" s="37"/>
      <c r="J25" s="37"/>
      <c r="K25" s="17" t="s">
        <v>117</v>
      </c>
      <c r="L25" s="32"/>
    </row>
    <row r="26" spans="1:12" ht="84.75" customHeight="1" x14ac:dyDescent="0.25">
      <c r="B26" s="100" t="s">
        <v>118</v>
      </c>
      <c r="C26" s="100"/>
      <c r="D26" s="100"/>
      <c r="E26" s="100"/>
      <c r="F26" s="100"/>
      <c r="G26" s="31"/>
      <c r="H26" s="37"/>
      <c r="I26" s="37"/>
      <c r="J26" s="37"/>
      <c r="K26" s="32"/>
      <c r="L26" s="32"/>
    </row>
    <row r="27" spans="1:12" ht="18" customHeight="1" x14ac:dyDescent="0.25">
      <c r="B27" s="100" t="s">
        <v>128</v>
      </c>
      <c r="C27" s="100"/>
      <c r="D27" s="100"/>
      <c r="E27" s="100"/>
      <c r="F27" s="100"/>
      <c r="G27" s="31"/>
      <c r="H27" s="37"/>
      <c r="I27" s="37"/>
      <c r="J27" s="37"/>
      <c r="K27" s="32"/>
      <c r="L27" s="32"/>
    </row>
    <row r="28" spans="1:12" x14ac:dyDescent="0.25">
      <c r="G28" s="33"/>
      <c r="H28" s="37"/>
      <c r="I28" s="37"/>
      <c r="J28" s="37"/>
      <c r="L28" s="32"/>
    </row>
    <row r="29" spans="1:12" ht="15.75" thickBot="1" x14ac:dyDescent="0.3">
      <c r="A29" s="14"/>
      <c r="C29" s="35" t="s">
        <v>111</v>
      </c>
      <c r="D29" s="36"/>
      <c r="E29" s="37"/>
      <c r="F29" s="37"/>
      <c r="G29" s="37"/>
      <c r="H29" s="37"/>
      <c r="I29" s="37"/>
      <c r="J29" s="37"/>
      <c r="K29" s="32"/>
      <c r="L29" s="32"/>
    </row>
    <row r="30" spans="1:12" ht="27.75" customHeight="1" x14ac:dyDescent="0.25">
      <c r="A30" s="101" t="s">
        <v>121</v>
      </c>
      <c r="B30" s="39" t="s">
        <v>119</v>
      </c>
      <c r="C30" s="40">
        <f>($B$23) * 15 * $I$4</f>
        <v>2394</v>
      </c>
      <c r="D30" s="41"/>
      <c r="E30" s="42"/>
      <c r="F30" s="43"/>
      <c r="G30" s="44"/>
      <c r="H30" s="37"/>
      <c r="I30" s="37"/>
      <c r="J30" s="37"/>
      <c r="K30" s="32"/>
      <c r="L30" s="32"/>
    </row>
    <row r="31" spans="1:12" ht="30" customHeight="1" thickBot="1" x14ac:dyDescent="0.3">
      <c r="A31" s="102"/>
      <c r="B31" s="45" t="s">
        <v>120</v>
      </c>
      <c r="C31" s="46">
        <f>($B$23+1) * 15 * $I$5</f>
        <v>2661.75</v>
      </c>
      <c r="D31" s="41"/>
      <c r="E31" s="42"/>
      <c r="F31" s="47"/>
      <c r="G31" s="48"/>
      <c r="H31" s="37"/>
      <c r="I31" s="37"/>
      <c r="J31" s="37"/>
      <c r="K31" s="32"/>
      <c r="L31" s="32"/>
    </row>
    <row r="32" spans="1:12" ht="6.75" customHeight="1" thickBot="1" x14ac:dyDescent="0.3">
      <c r="A32" s="51"/>
      <c r="B32" s="52"/>
      <c r="C32" s="53"/>
      <c r="D32" s="41"/>
      <c r="E32" s="42"/>
      <c r="F32" s="47"/>
      <c r="G32" s="48"/>
      <c r="H32" s="37"/>
      <c r="I32" s="37"/>
      <c r="J32" s="37"/>
      <c r="K32" s="32"/>
      <c r="L32" s="32"/>
    </row>
    <row r="33" spans="1:12" ht="45.75" customHeight="1" x14ac:dyDescent="0.25">
      <c r="A33" s="101" t="s">
        <v>122</v>
      </c>
      <c r="B33" s="39" t="s">
        <v>123</v>
      </c>
      <c r="C33" s="40">
        <f>($B$24) * 15 * $I$4</f>
        <v>869.25</v>
      </c>
      <c r="D33" s="41"/>
      <c r="H33" s="37"/>
      <c r="I33" s="37"/>
      <c r="J33" s="37"/>
      <c r="K33" s="32"/>
      <c r="L33" s="32"/>
    </row>
    <row r="34" spans="1:12" ht="15.75" thickBot="1" x14ac:dyDescent="0.3">
      <c r="A34" s="102"/>
      <c r="B34" s="45" t="s">
        <v>124</v>
      </c>
      <c r="C34" s="46">
        <f>($B$24+1) * 15 * $I$5</f>
        <v>976.5</v>
      </c>
      <c r="D34" s="41"/>
      <c r="H34" s="37"/>
      <c r="I34" s="37"/>
      <c r="J34" s="37"/>
      <c r="K34" s="32"/>
      <c r="L34" s="32"/>
    </row>
    <row r="35" spans="1:12" x14ac:dyDescent="0.25">
      <c r="H35" s="37"/>
      <c r="I35" s="37"/>
      <c r="J35" s="37"/>
      <c r="K35" s="32"/>
      <c r="L35" s="32"/>
    </row>
    <row r="36" spans="1:12" x14ac:dyDescent="0.25">
      <c r="H36" s="37"/>
      <c r="I36" s="37"/>
      <c r="J36" s="37"/>
      <c r="K36" s="32"/>
      <c r="L36" s="32"/>
    </row>
    <row r="37" spans="1:12" x14ac:dyDescent="0.25">
      <c r="H37" s="37"/>
      <c r="I37" s="37"/>
      <c r="J37" s="37"/>
      <c r="K37" s="32"/>
      <c r="L37" s="32"/>
    </row>
    <row r="38" spans="1:12" x14ac:dyDescent="0.25">
      <c r="A38" s="49"/>
      <c r="B38" s="42"/>
      <c r="C38" s="41"/>
      <c r="D38" s="41"/>
      <c r="E38" s="42"/>
      <c r="F38" s="47"/>
      <c r="G38" s="48"/>
      <c r="H38" s="37"/>
      <c r="I38" s="37"/>
      <c r="J38" s="37"/>
      <c r="K38" s="32"/>
      <c r="L38" s="32"/>
    </row>
    <row r="39" spans="1:12" x14ac:dyDescent="0.25">
      <c r="A39" s="49"/>
      <c r="B39" s="42"/>
      <c r="C39" s="41"/>
      <c r="D39" s="41"/>
      <c r="E39" s="42"/>
      <c r="F39" s="47"/>
      <c r="G39" s="48"/>
      <c r="H39" s="37"/>
      <c r="I39" s="37"/>
      <c r="J39" s="37"/>
      <c r="K39" s="32"/>
      <c r="L39" s="32"/>
    </row>
    <row r="40" spans="1:12" x14ac:dyDescent="0.25">
      <c r="A40" s="49"/>
      <c r="B40" s="42"/>
      <c r="C40" s="41"/>
      <c r="D40" s="41"/>
      <c r="E40" s="42"/>
      <c r="F40" s="47"/>
      <c r="G40" s="48"/>
      <c r="H40" s="37"/>
      <c r="I40" s="37"/>
      <c r="J40" s="37"/>
      <c r="K40" s="32"/>
      <c r="L40" s="32"/>
    </row>
    <row r="41" spans="1:12" x14ac:dyDescent="0.25">
      <c r="A41" s="49"/>
      <c r="B41" s="42"/>
      <c r="C41" s="41"/>
      <c r="D41" s="41"/>
      <c r="E41" s="42"/>
      <c r="F41" s="47"/>
      <c r="G41" s="48"/>
      <c r="H41" s="37"/>
      <c r="I41" s="37"/>
      <c r="J41" s="37"/>
      <c r="K41" s="32"/>
      <c r="L41" s="32"/>
    </row>
    <row r="42" spans="1:12" x14ac:dyDescent="0.25">
      <c r="A42" s="49"/>
      <c r="B42" s="42"/>
      <c r="C42" s="41"/>
      <c r="D42" s="41"/>
      <c r="E42" s="42"/>
      <c r="F42" s="47"/>
      <c r="G42" s="48"/>
      <c r="H42" s="37"/>
      <c r="I42" s="37"/>
      <c r="J42" s="37"/>
      <c r="K42" s="32"/>
      <c r="L42" s="32"/>
    </row>
    <row r="43" spans="1:12" x14ac:dyDescent="0.25">
      <c r="A43" s="49"/>
      <c r="B43" s="42"/>
      <c r="C43" s="41"/>
      <c r="D43" s="41"/>
      <c r="E43" s="42"/>
      <c r="F43" s="47"/>
      <c r="G43" s="48"/>
      <c r="H43" s="37"/>
      <c r="I43" s="37"/>
      <c r="J43" s="37"/>
      <c r="K43" s="32"/>
      <c r="L43" s="32"/>
    </row>
    <row r="47" spans="1:12" x14ac:dyDescent="0.25">
      <c r="E47" s="14"/>
      <c r="F47" s="14"/>
      <c r="G47" s="14"/>
    </row>
    <row r="48" spans="1:12" ht="18.75" x14ac:dyDescent="0.3">
      <c r="A48" s="54"/>
      <c r="E48" s="14"/>
      <c r="F48" s="14"/>
      <c r="G48" s="14"/>
    </row>
    <row r="82" spans="1:7" ht="18.75" x14ac:dyDescent="0.3">
      <c r="A82" s="54"/>
      <c r="E82" s="14"/>
      <c r="F82" s="14"/>
      <c r="G82" s="14"/>
    </row>
  </sheetData>
  <sheetProtection password="FB3F" sheet="1" objects="1" scenarios="1"/>
  <mergeCells count="10">
    <mergeCell ref="A3:F3"/>
    <mergeCell ref="B26:F26"/>
    <mergeCell ref="A30:A31"/>
    <mergeCell ref="B25:F25"/>
    <mergeCell ref="A33:A34"/>
    <mergeCell ref="B27:F27"/>
    <mergeCell ref="A14:A15"/>
    <mergeCell ref="B9:G9"/>
    <mergeCell ref="B11:F11"/>
    <mergeCell ref="B10:F10"/>
  </mergeCells>
  <conditionalFormatting sqref="D8">
    <cfRule type="cellIs" dxfId="37" priority="5" operator="equal">
      <formula>"Out of Range"</formula>
    </cfRule>
    <cfRule type="containsText" dxfId="36" priority="6" operator="containsText" text="In Range">
      <formula>NOT(ISERROR(SEARCH("In Range",D8)))</formula>
    </cfRule>
  </conditionalFormatting>
  <conditionalFormatting sqref="D23">
    <cfRule type="cellIs" dxfId="35" priority="3" operator="equal">
      <formula>"Out of Range"</formula>
    </cfRule>
    <cfRule type="containsText" dxfId="34" priority="4" operator="containsText" text="In Range">
      <formula>NOT(ISERROR(SEARCH("In Range",D23)))</formula>
    </cfRule>
  </conditionalFormatting>
  <conditionalFormatting sqref="D24">
    <cfRule type="cellIs" dxfId="33" priority="1" operator="equal">
      <formula>"Out of Range"</formula>
    </cfRule>
    <cfRule type="containsText" dxfId="32" priority="2" operator="containsText" text="In Range">
      <formula>NOT(ISERROR(SEARCH("In Range",D24)))</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zoomScale="90" zoomScaleNormal="90" workbookViewId="0">
      <selection activeCell="A168" sqref="A168"/>
    </sheetView>
  </sheetViews>
  <sheetFormatPr defaultRowHeight="15" x14ac:dyDescent="0.25"/>
  <cols>
    <col min="1" max="1" width="17.28515625" style="16" customWidth="1"/>
    <col min="2" max="2" width="20.28515625" style="14" customWidth="1"/>
    <col min="3" max="3" width="18.42578125" style="14" customWidth="1"/>
    <col min="4" max="4" width="9.5703125" style="15" customWidth="1"/>
    <col min="5" max="5" width="8.28515625" style="15" bestFit="1" customWidth="1"/>
    <col min="6" max="6" width="11.28515625" style="15" customWidth="1"/>
    <col min="7" max="7" width="22.28515625" style="15" customWidth="1"/>
    <col min="8" max="8" width="10.5703125" style="15" customWidth="1"/>
    <col min="9" max="9" width="1.85546875" style="15" customWidth="1"/>
    <col min="10" max="10" width="21.140625" style="14" customWidth="1"/>
    <col min="11" max="11" width="23.42578125" style="14" customWidth="1"/>
    <col min="12" max="12" width="5.5703125" style="14" customWidth="1"/>
    <col min="13" max="13" width="13.28515625" style="14" customWidth="1"/>
    <col min="14" max="16384" width="9.140625" style="14"/>
  </cols>
  <sheetData>
    <row r="1" spans="1:16" ht="26.25" x14ac:dyDescent="0.4">
      <c r="A1" s="56" t="s">
        <v>102</v>
      </c>
    </row>
    <row r="3" spans="1:16" x14ac:dyDescent="0.25">
      <c r="A3" s="99" t="s">
        <v>105</v>
      </c>
      <c r="B3" s="99"/>
      <c r="C3" s="99"/>
      <c r="D3" s="99"/>
      <c r="E3" s="99"/>
      <c r="F3" s="99"/>
      <c r="G3" s="99"/>
      <c r="H3" s="99"/>
      <c r="I3" s="99"/>
      <c r="J3" s="99"/>
    </row>
    <row r="4" spans="1:16" x14ac:dyDescent="0.25">
      <c r="A4" s="122" t="s">
        <v>84</v>
      </c>
      <c r="B4" s="123"/>
      <c r="C4" s="123"/>
      <c r="D4" s="123"/>
      <c r="E4" s="123"/>
      <c r="F4" s="123"/>
      <c r="G4" s="123"/>
      <c r="H4" s="123"/>
      <c r="I4" s="123"/>
      <c r="J4" s="123"/>
    </row>
    <row r="6" spans="1:16" ht="45" x14ac:dyDescent="0.25">
      <c r="D6" s="19" t="s">
        <v>15</v>
      </c>
      <c r="E6" s="19" t="s">
        <v>16</v>
      </c>
      <c r="F6" s="19" t="s">
        <v>49</v>
      </c>
      <c r="G6" s="19" t="s">
        <v>59</v>
      </c>
      <c r="H6" s="19" t="s">
        <v>100</v>
      </c>
      <c r="M6" s="19" t="s">
        <v>101</v>
      </c>
      <c r="N6" s="20" t="s">
        <v>27</v>
      </c>
    </row>
    <row r="7" spans="1:16" x14ac:dyDescent="0.25">
      <c r="C7" s="29" t="s">
        <v>73</v>
      </c>
      <c r="D7" s="30">
        <f>HEX2DEC(E7)</f>
        <v>127</v>
      </c>
      <c r="E7" s="55" t="s">
        <v>50</v>
      </c>
      <c r="F7" s="24" t="s">
        <v>50</v>
      </c>
      <c r="G7" s="24" t="str">
        <f>IF(AND(2&lt;=D7, D7&lt;=127), "In Range", "Out of Range")</f>
        <v>In Range</v>
      </c>
      <c r="H7" s="24" t="s">
        <v>50</v>
      </c>
      <c r="M7" s="24" t="s">
        <v>14</v>
      </c>
      <c r="N7" s="25">
        <v>0.95</v>
      </c>
    </row>
    <row r="8" spans="1:16" x14ac:dyDescent="0.25">
      <c r="C8" s="29" t="s">
        <v>74</v>
      </c>
      <c r="D8" s="30">
        <f>HEX2DEC(E8)</f>
        <v>31</v>
      </c>
      <c r="E8" s="55" t="s">
        <v>51</v>
      </c>
      <c r="F8" s="24" t="s">
        <v>51</v>
      </c>
      <c r="G8" s="24" t="str">
        <f>IF(AND(1&lt;=D8, D8&lt;=31), "In Range", "Out of Range")</f>
        <v>In Range</v>
      </c>
      <c r="H8" s="24">
        <v>18</v>
      </c>
      <c r="M8" s="24" t="s">
        <v>13</v>
      </c>
      <c r="N8" s="25">
        <v>1.05</v>
      </c>
    </row>
    <row r="9" spans="1:16" x14ac:dyDescent="0.25">
      <c r="D9" s="29" t="s">
        <v>96</v>
      </c>
      <c r="E9" s="55">
        <v>0.1</v>
      </c>
      <c r="F9" s="57" t="s">
        <v>69</v>
      </c>
      <c r="G9" s="24" t="str">
        <f>IF(H23&gt; (H21 + E9), "Margin", "No Margin")</f>
        <v>Margin</v>
      </c>
      <c r="H9" s="58" t="s">
        <v>97</v>
      </c>
      <c r="J9" s="37"/>
      <c r="K9" s="26"/>
    </row>
    <row r="10" spans="1:16" x14ac:dyDescent="0.25">
      <c r="A10" s="29" t="s">
        <v>76</v>
      </c>
      <c r="B10" s="100" t="s">
        <v>38</v>
      </c>
      <c r="C10" s="104"/>
      <c r="D10" s="104"/>
      <c r="E10" s="104"/>
      <c r="F10" s="104"/>
      <c r="G10" s="104"/>
      <c r="H10" s="104"/>
      <c r="I10" s="104"/>
      <c r="J10" s="104"/>
      <c r="K10" s="104"/>
    </row>
    <row r="11" spans="1:16" x14ac:dyDescent="0.25">
      <c r="B11" s="100" t="s">
        <v>39</v>
      </c>
      <c r="C11" s="104"/>
      <c r="D11" s="104"/>
      <c r="E11" s="104"/>
      <c r="F11" s="104"/>
      <c r="G11" s="104"/>
      <c r="H11" s="104"/>
      <c r="I11" s="104"/>
      <c r="J11" s="104"/>
      <c r="K11" s="104"/>
      <c r="L11" s="32"/>
      <c r="M11" s="32"/>
      <c r="N11" s="32"/>
      <c r="O11" s="32"/>
      <c r="P11" s="32"/>
    </row>
    <row r="12" spans="1:16" x14ac:dyDescent="0.25">
      <c r="B12" s="100" t="s">
        <v>75</v>
      </c>
      <c r="C12" s="104"/>
      <c r="D12" s="104"/>
      <c r="E12" s="104"/>
      <c r="F12" s="104"/>
      <c r="G12" s="104"/>
      <c r="H12" s="104"/>
      <c r="I12" s="104"/>
      <c r="J12" s="104"/>
      <c r="K12" s="104"/>
      <c r="L12" s="32"/>
      <c r="M12" s="32"/>
      <c r="N12" s="32"/>
      <c r="O12" s="32"/>
      <c r="P12" s="32"/>
    </row>
    <row r="13" spans="1:16" ht="31.5" customHeight="1" x14ac:dyDescent="0.25">
      <c r="B13" s="100" t="s">
        <v>91</v>
      </c>
      <c r="C13" s="104"/>
      <c r="D13" s="104"/>
      <c r="E13" s="104"/>
      <c r="F13" s="104"/>
      <c r="G13" s="104"/>
      <c r="H13" s="104"/>
      <c r="I13" s="104"/>
      <c r="J13" s="104"/>
      <c r="K13" s="104"/>
      <c r="L13" s="32"/>
      <c r="M13" s="32"/>
      <c r="N13" s="32"/>
      <c r="O13" s="32"/>
      <c r="P13" s="32"/>
    </row>
    <row r="14" spans="1:16" ht="15.75" thickBot="1" x14ac:dyDescent="0.3">
      <c r="K14" s="32"/>
      <c r="L14" s="32"/>
      <c r="M14" s="32"/>
      <c r="N14" s="32"/>
      <c r="O14" s="32"/>
      <c r="P14" s="32"/>
    </row>
    <row r="15" spans="1:16" x14ac:dyDescent="0.25">
      <c r="A15" s="14"/>
      <c r="C15" s="19" t="s">
        <v>25</v>
      </c>
      <c r="D15" s="37"/>
      <c r="E15" s="59"/>
      <c r="F15" s="60"/>
      <c r="G15" s="60"/>
      <c r="H15" s="60"/>
      <c r="I15" s="60"/>
      <c r="J15" s="61"/>
      <c r="K15" s="61"/>
      <c r="L15" s="62"/>
      <c r="M15" s="38"/>
      <c r="N15" s="38"/>
      <c r="O15" s="32"/>
      <c r="P15" s="32"/>
    </row>
    <row r="16" spans="1:16" x14ac:dyDescent="0.25">
      <c r="A16" s="119" t="s">
        <v>17</v>
      </c>
      <c r="B16" s="63" t="s">
        <v>1</v>
      </c>
      <c r="C16" s="64">
        <f>($D$7-1) * 0.55 * $N$7</f>
        <v>65.835000000000008</v>
      </c>
      <c r="D16" s="42"/>
      <c r="E16" s="65"/>
      <c r="F16" s="43" t="s">
        <v>26</v>
      </c>
      <c r="G16" s="44"/>
      <c r="H16" s="66" t="s">
        <v>25</v>
      </c>
      <c r="I16" s="32"/>
      <c r="J16" s="20" t="s">
        <v>35</v>
      </c>
      <c r="K16" s="20" t="s">
        <v>36</v>
      </c>
      <c r="L16" s="67"/>
      <c r="M16" s="37"/>
      <c r="N16" s="37"/>
      <c r="O16" s="32"/>
      <c r="P16" s="32"/>
    </row>
    <row r="17" spans="1:16" x14ac:dyDescent="0.25">
      <c r="A17" s="132"/>
      <c r="B17" s="63" t="s">
        <v>0</v>
      </c>
      <c r="C17" s="64">
        <f>($D$7) * 0.55 * $N$8</f>
        <v>73.342500000000015</v>
      </c>
      <c r="D17" s="42"/>
      <c r="E17" s="65"/>
      <c r="F17" s="111" t="s">
        <v>29</v>
      </c>
      <c r="G17" s="68" t="s">
        <v>19</v>
      </c>
      <c r="H17" s="69">
        <v>0</v>
      </c>
      <c r="I17" s="32"/>
      <c r="J17" s="108" t="s">
        <v>58</v>
      </c>
      <c r="K17" s="108" t="s">
        <v>53</v>
      </c>
      <c r="L17" s="67"/>
      <c r="M17" s="37"/>
      <c r="N17" s="37"/>
      <c r="O17" s="32"/>
      <c r="P17" s="32"/>
    </row>
    <row r="18" spans="1:16" x14ac:dyDescent="0.25">
      <c r="A18" s="49"/>
      <c r="B18" s="42"/>
      <c r="C18" s="41"/>
      <c r="D18" s="42"/>
      <c r="E18" s="65"/>
      <c r="F18" s="112"/>
      <c r="G18" s="68" t="s">
        <v>21</v>
      </c>
      <c r="H18" s="69">
        <f>(H19-H17)/2</f>
        <v>32.917500000000004</v>
      </c>
      <c r="I18" s="32"/>
      <c r="J18" s="108"/>
      <c r="K18" s="108"/>
      <c r="L18" s="67"/>
      <c r="M18" s="37"/>
      <c r="N18" s="37"/>
      <c r="O18" s="32"/>
      <c r="P18" s="32"/>
    </row>
    <row r="19" spans="1:16" ht="23.25" customHeight="1" x14ac:dyDescent="0.25">
      <c r="A19" s="120" t="s">
        <v>18</v>
      </c>
      <c r="B19" s="63" t="s">
        <v>2</v>
      </c>
      <c r="C19" s="64">
        <f>($D$8 + 1) * 0.55 * $N$7</f>
        <v>16.72</v>
      </c>
      <c r="D19" s="70"/>
      <c r="E19" s="65"/>
      <c r="F19" s="112"/>
      <c r="G19" s="68" t="s">
        <v>20</v>
      </c>
      <c r="H19" s="69">
        <f>C16</f>
        <v>65.835000000000008</v>
      </c>
      <c r="I19" s="32"/>
      <c r="J19" s="108"/>
      <c r="K19" s="108"/>
      <c r="L19" s="67"/>
      <c r="M19" s="32"/>
      <c r="N19" s="32"/>
      <c r="O19" s="32"/>
      <c r="P19" s="32"/>
    </row>
    <row r="20" spans="1:16" x14ac:dyDescent="0.25">
      <c r="A20" s="133"/>
      <c r="B20" s="63" t="s">
        <v>3</v>
      </c>
      <c r="C20" s="64">
        <f>($D$8+1) * 0.55 * $N$8</f>
        <v>18.480000000000004</v>
      </c>
      <c r="D20" s="42"/>
      <c r="E20" s="65"/>
      <c r="F20" s="47"/>
      <c r="G20" s="44"/>
      <c r="H20" s="71"/>
      <c r="I20" s="32"/>
      <c r="J20" s="72"/>
      <c r="K20" s="72"/>
      <c r="L20" s="67"/>
      <c r="M20" s="42"/>
      <c r="N20" s="37"/>
      <c r="O20" s="32"/>
      <c r="P20" s="32"/>
    </row>
    <row r="21" spans="1:16" x14ac:dyDescent="0.25">
      <c r="A21" s="49"/>
      <c r="B21" s="42"/>
      <c r="C21" s="41"/>
      <c r="D21" s="42"/>
      <c r="E21" s="65"/>
      <c r="F21" s="116" t="s">
        <v>30</v>
      </c>
      <c r="G21" s="68" t="s">
        <v>22</v>
      </c>
      <c r="H21" s="69">
        <f>C17</f>
        <v>73.342500000000015</v>
      </c>
      <c r="I21" s="32"/>
      <c r="J21" s="113" t="s">
        <v>37</v>
      </c>
      <c r="K21" s="113" t="s">
        <v>54</v>
      </c>
      <c r="L21" s="67"/>
      <c r="M21" s="42"/>
      <c r="N21" s="37"/>
      <c r="O21" s="32"/>
      <c r="P21" s="32"/>
    </row>
    <row r="22" spans="1:16" x14ac:dyDescent="0.25">
      <c r="A22" s="119" t="s">
        <v>28</v>
      </c>
      <c r="B22" s="73" t="s">
        <v>4</v>
      </c>
      <c r="C22" s="64">
        <f>C16+C19</f>
        <v>82.555000000000007</v>
      </c>
      <c r="D22" s="74"/>
      <c r="E22" s="65"/>
      <c r="F22" s="117"/>
      <c r="G22" s="68" t="s">
        <v>23</v>
      </c>
      <c r="H22" s="69">
        <f>(H23-H21)/2+H21</f>
        <v>77.948750000000018</v>
      </c>
      <c r="I22" s="32"/>
      <c r="J22" s="114"/>
      <c r="K22" s="114"/>
      <c r="L22" s="67"/>
      <c r="M22" s="42"/>
      <c r="N22" s="37"/>
      <c r="O22" s="32"/>
      <c r="P22" s="32"/>
    </row>
    <row r="23" spans="1:16" x14ac:dyDescent="0.25">
      <c r="A23" s="119"/>
      <c r="B23" s="73" t="s">
        <v>5</v>
      </c>
      <c r="C23" s="64">
        <f>C17+C20</f>
        <v>91.822500000000019</v>
      </c>
      <c r="D23" s="75"/>
      <c r="E23" s="65"/>
      <c r="F23" s="118"/>
      <c r="G23" s="68" t="s">
        <v>24</v>
      </c>
      <c r="H23" s="69">
        <f>C22</f>
        <v>82.555000000000007</v>
      </c>
      <c r="I23" s="32"/>
      <c r="J23" s="115"/>
      <c r="K23" s="115"/>
      <c r="L23" s="67"/>
      <c r="M23" s="76"/>
      <c r="N23" s="77"/>
      <c r="O23" s="32"/>
      <c r="P23" s="32"/>
    </row>
    <row r="24" spans="1:16" ht="15.75" thickBot="1" x14ac:dyDescent="0.3">
      <c r="C24" s="78"/>
      <c r="D24" s="79"/>
      <c r="E24" s="80"/>
      <c r="F24" s="81"/>
      <c r="G24" s="81"/>
      <c r="H24" s="81"/>
      <c r="I24" s="81"/>
      <c r="J24" s="82"/>
      <c r="K24" s="83"/>
      <c r="L24" s="84"/>
      <c r="M24" s="42"/>
      <c r="N24" s="77"/>
      <c r="O24" s="32"/>
      <c r="P24" s="32"/>
    </row>
    <row r="25" spans="1:16" x14ac:dyDescent="0.25">
      <c r="A25" s="120" t="s">
        <v>31</v>
      </c>
      <c r="B25" s="24" t="s">
        <v>32</v>
      </c>
      <c r="C25" s="64">
        <f>C22</f>
        <v>82.555000000000007</v>
      </c>
      <c r="D25" s="85"/>
      <c r="E25" s="33" t="s">
        <v>52</v>
      </c>
      <c r="K25" s="32"/>
      <c r="L25" s="32"/>
      <c r="M25" s="42"/>
      <c r="N25" s="77"/>
      <c r="O25" s="32"/>
      <c r="P25" s="32"/>
    </row>
    <row r="26" spans="1:16" x14ac:dyDescent="0.25">
      <c r="A26" s="121"/>
      <c r="B26" s="24" t="s">
        <v>33</v>
      </c>
      <c r="C26" s="64">
        <f>C23</f>
        <v>91.822500000000019</v>
      </c>
      <c r="D26" s="85"/>
    </row>
    <row r="27" spans="1:16" x14ac:dyDescent="0.25">
      <c r="A27" s="86"/>
      <c r="B27" s="37"/>
      <c r="C27" s="41"/>
      <c r="D27" s="85"/>
    </row>
    <row r="28" spans="1:16" x14ac:dyDescent="0.25">
      <c r="A28" s="87" t="s">
        <v>99</v>
      </c>
      <c r="D28" s="37"/>
    </row>
    <row r="29" spans="1:16" ht="29.25" customHeight="1" x14ac:dyDescent="0.25">
      <c r="D29" s="37"/>
      <c r="G29" s="19" t="s">
        <v>25</v>
      </c>
      <c r="H29" s="88"/>
      <c r="I29" s="14"/>
      <c r="J29" s="16" t="s">
        <v>98</v>
      </c>
      <c r="K29" s="55">
        <v>0</v>
      </c>
    </row>
    <row r="30" spans="1:16" x14ac:dyDescent="0.25">
      <c r="A30" s="128" t="s">
        <v>82</v>
      </c>
      <c r="B30" s="129"/>
      <c r="C30" s="63" t="s">
        <v>6</v>
      </c>
      <c r="D30" s="127" t="s">
        <v>8</v>
      </c>
      <c r="E30" s="127"/>
      <c r="F30" s="127"/>
      <c r="G30" s="64">
        <f xml:space="preserve"> (5-K29) *C22</f>
        <v>412.77500000000003</v>
      </c>
      <c r="H30" s="88"/>
      <c r="I30" s="14"/>
    </row>
    <row r="31" spans="1:16" x14ac:dyDescent="0.25">
      <c r="A31" s="130"/>
      <c r="B31" s="131"/>
      <c r="C31" s="63" t="s">
        <v>7</v>
      </c>
      <c r="D31" s="124" t="s">
        <v>34</v>
      </c>
      <c r="E31" s="125"/>
      <c r="F31" s="126"/>
      <c r="G31" s="64">
        <f xml:space="preserve"> (5-K29) *C23</f>
        <v>459.11250000000007</v>
      </c>
    </row>
    <row r="32" spans="1:16" ht="15" customHeight="1" x14ac:dyDescent="0.25">
      <c r="A32" s="109" t="s">
        <v>83</v>
      </c>
      <c r="B32" s="110"/>
      <c r="C32" s="63" t="s">
        <v>11</v>
      </c>
      <c r="D32" s="89"/>
      <c r="F32" s="89" t="s">
        <v>9</v>
      </c>
      <c r="G32" s="64">
        <f>(8-K29)*C22</f>
        <v>660.44</v>
      </c>
    </row>
    <row r="33" spans="1:11" x14ac:dyDescent="0.25">
      <c r="A33" s="109"/>
      <c r="B33" s="110"/>
      <c r="C33" s="63" t="s">
        <v>12</v>
      </c>
      <c r="D33" s="90"/>
      <c r="E33" s="24"/>
      <c r="F33" s="90" t="s">
        <v>10</v>
      </c>
      <c r="G33" s="64">
        <f>(8-K29)*C23</f>
        <v>734.58000000000015</v>
      </c>
    </row>
    <row r="35" spans="1:11" ht="18.75" x14ac:dyDescent="0.3">
      <c r="A35" s="91" t="s">
        <v>71</v>
      </c>
    </row>
    <row r="36" spans="1:11" x14ac:dyDescent="0.25">
      <c r="C36" s="92" t="s">
        <v>60</v>
      </c>
      <c r="D36" s="20" t="s">
        <v>61</v>
      </c>
    </row>
    <row r="37" spans="1:11" x14ac:dyDescent="0.25">
      <c r="B37" s="93" t="s">
        <v>87</v>
      </c>
      <c r="C37" s="97">
        <v>-0.01</v>
      </c>
      <c r="D37" s="97">
        <v>0.01</v>
      </c>
    </row>
    <row r="38" spans="1:11" x14ac:dyDescent="0.25">
      <c r="J38" s="106" t="s">
        <v>78</v>
      </c>
      <c r="K38" s="107"/>
    </row>
    <row r="39" spans="1:11" ht="30" x14ac:dyDescent="0.25">
      <c r="A39" s="94" t="s">
        <v>86</v>
      </c>
      <c r="C39" s="20" t="s">
        <v>70</v>
      </c>
      <c r="D39" s="20" t="s">
        <v>62</v>
      </c>
      <c r="E39" s="20" t="s">
        <v>63</v>
      </c>
      <c r="F39" s="24"/>
      <c r="G39" s="19" t="s">
        <v>77</v>
      </c>
      <c r="J39" s="19" t="s">
        <v>79</v>
      </c>
      <c r="K39" s="20" t="s">
        <v>80</v>
      </c>
    </row>
    <row r="40" spans="1:11" x14ac:dyDescent="0.25">
      <c r="A40" s="63"/>
      <c r="B40" s="95" t="s">
        <v>81</v>
      </c>
      <c r="C40" s="98">
        <v>78</v>
      </c>
      <c r="D40" s="96">
        <f>(C40*(1+$C$37))+(J40*0.000001)</f>
        <v>77.220027999999999</v>
      </c>
      <c r="E40" s="96">
        <f>(C40*(1+$D$37))+(K40*0.000001)</f>
        <v>78.780032000000006</v>
      </c>
      <c r="F40" s="24"/>
      <c r="G40" s="24" t="str">
        <f>IF(AND(D40&gt;$H$21,E40&lt;$H$23),"YES","NO")</f>
        <v>YES</v>
      </c>
      <c r="J40" s="24">
        <v>28</v>
      </c>
      <c r="K40" s="24">
        <v>32</v>
      </c>
    </row>
    <row r="42" spans="1:11" ht="30" x14ac:dyDescent="0.25">
      <c r="A42" s="94" t="s">
        <v>85</v>
      </c>
      <c r="C42" s="20" t="s">
        <v>70</v>
      </c>
      <c r="D42" s="20" t="s">
        <v>62</v>
      </c>
      <c r="E42" s="20" t="s">
        <v>63</v>
      </c>
      <c r="F42" s="19" t="s">
        <v>68</v>
      </c>
      <c r="G42" s="19" t="s">
        <v>72</v>
      </c>
    </row>
    <row r="43" spans="1:11" x14ac:dyDescent="0.25">
      <c r="A43" s="105" t="s">
        <v>64</v>
      </c>
      <c r="B43" s="105"/>
      <c r="C43" s="98">
        <v>1</v>
      </c>
      <c r="D43" s="96">
        <f>C43*(1+$C$37)</f>
        <v>0.99</v>
      </c>
      <c r="E43" s="96">
        <f>C43*(1+$D$37)</f>
        <v>1.01</v>
      </c>
      <c r="F43" s="24" t="s">
        <v>69</v>
      </c>
      <c r="G43" s="24" t="str">
        <f>IF(AND(D43&gt;$H$17,E43&lt;$H$23),"YES","NO")</f>
        <v>YES</v>
      </c>
    </row>
    <row r="44" spans="1:11" x14ac:dyDescent="0.25">
      <c r="A44" s="105" t="s">
        <v>65</v>
      </c>
      <c r="B44" s="105"/>
      <c r="C44" s="98">
        <v>25</v>
      </c>
      <c r="D44" s="96">
        <f>C44*(1+$C$37)</f>
        <v>24.75</v>
      </c>
      <c r="E44" s="96">
        <f>C44*(1+$D$37)</f>
        <v>25.25</v>
      </c>
      <c r="F44" s="24" t="str">
        <f>IF(C44&gt;C43,"YES","NO")</f>
        <v>YES</v>
      </c>
      <c r="G44" s="24" t="str">
        <f>IF(AND(D44&gt;$H$17,E44&lt;$H$23),"YES","NO")</f>
        <v>YES</v>
      </c>
    </row>
    <row r="45" spans="1:11" x14ac:dyDescent="0.25">
      <c r="A45" s="105" t="s">
        <v>66</v>
      </c>
      <c r="B45" s="105"/>
      <c r="C45" s="98">
        <v>50</v>
      </c>
      <c r="D45" s="96">
        <f>C45*(1+$C$37)</f>
        <v>49.5</v>
      </c>
      <c r="E45" s="96">
        <f>C45*(1+$D$37)</f>
        <v>50.5</v>
      </c>
      <c r="F45" s="24" t="str">
        <f>IF(AND(F44="YES", C45&gt;C44),"YES","NO")</f>
        <v>YES</v>
      </c>
      <c r="G45" s="24" t="str">
        <f>IF(AND(D45&gt;$H$17,E45&lt;$H$23),"YES","NO")</f>
        <v>YES</v>
      </c>
    </row>
    <row r="46" spans="1:11" x14ac:dyDescent="0.25">
      <c r="A46" s="105" t="s">
        <v>67</v>
      </c>
      <c r="B46" s="105"/>
      <c r="C46" s="98">
        <v>78</v>
      </c>
      <c r="D46" s="96">
        <f>C46*(1+$C$37)</f>
        <v>77.22</v>
      </c>
      <c r="E46" s="96">
        <f>C46*(1+$D$37)</f>
        <v>78.78</v>
      </c>
      <c r="F46" s="24" t="str">
        <f>IF(AND(F45="YES", C46&gt;C45),"YES","NO")</f>
        <v>YES</v>
      </c>
      <c r="G46" s="24" t="str">
        <f>IF(AND(D46&gt;$H$21,E46&lt;$H$23),"YES","NO")</f>
        <v>YES</v>
      </c>
    </row>
    <row r="50" spans="1:9" x14ac:dyDescent="0.25">
      <c r="D50" s="14"/>
      <c r="E50" s="14"/>
      <c r="F50" s="14"/>
      <c r="G50" s="14"/>
      <c r="H50" s="14"/>
      <c r="I50" s="14"/>
    </row>
    <row r="51" spans="1:9" ht="18.75" x14ac:dyDescent="0.3">
      <c r="A51" s="54" t="s">
        <v>88</v>
      </c>
      <c r="D51" s="14"/>
      <c r="E51" s="14"/>
      <c r="F51" s="14"/>
      <c r="G51" s="14"/>
      <c r="H51" s="14"/>
      <c r="I51" s="14"/>
    </row>
    <row r="85" spans="1:9" ht="18.75" x14ac:dyDescent="0.3">
      <c r="A85" s="54" t="s">
        <v>89</v>
      </c>
      <c r="D85" s="14"/>
      <c r="E85" s="14"/>
      <c r="F85" s="14"/>
      <c r="G85" s="14"/>
      <c r="H85" s="14"/>
      <c r="I85" s="14"/>
    </row>
  </sheetData>
  <sheetProtection password="FB3F" sheet="1" objects="1" scenarios="1"/>
  <mergeCells count="25">
    <mergeCell ref="A25:A26"/>
    <mergeCell ref="A4:J4"/>
    <mergeCell ref="A46:B46"/>
    <mergeCell ref="D31:F31"/>
    <mergeCell ref="D30:F30"/>
    <mergeCell ref="A30:B31"/>
    <mergeCell ref="J21:J23"/>
    <mergeCell ref="A16:A17"/>
    <mergeCell ref="A19:A20"/>
    <mergeCell ref="A3:J3"/>
    <mergeCell ref="A43:B43"/>
    <mergeCell ref="A44:B44"/>
    <mergeCell ref="A45:B45"/>
    <mergeCell ref="B10:K10"/>
    <mergeCell ref="B11:K11"/>
    <mergeCell ref="B12:K12"/>
    <mergeCell ref="B13:K13"/>
    <mergeCell ref="J38:K38"/>
    <mergeCell ref="K17:K19"/>
    <mergeCell ref="A32:B33"/>
    <mergeCell ref="F17:F19"/>
    <mergeCell ref="J17:J19"/>
    <mergeCell ref="K21:K23"/>
    <mergeCell ref="F21:F23"/>
    <mergeCell ref="A22:A23"/>
  </mergeCells>
  <conditionalFormatting sqref="G7">
    <cfRule type="cellIs" dxfId="31" priority="44" operator="equal">
      <formula>"Out of Range"</formula>
    </cfRule>
    <cfRule type="containsText" dxfId="30" priority="46" operator="containsText" text="In Range">
      <formula>NOT(ISERROR(SEARCH("In Range",G7)))</formula>
    </cfRule>
  </conditionalFormatting>
  <conditionalFormatting sqref="G8">
    <cfRule type="cellIs" dxfId="29" priority="42" operator="equal">
      <formula>"Out of Range"</formula>
    </cfRule>
    <cfRule type="containsText" dxfId="28" priority="43" operator="containsText" text="In Range">
      <formula>NOT(ISERROR(SEARCH("In Range",G8)))</formula>
    </cfRule>
  </conditionalFormatting>
  <conditionalFormatting sqref="F44">
    <cfRule type="cellIs" dxfId="27" priority="40" operator="equal">
      <formula>"NO"</formula>
    </cfRule>
    <cfRule type="cellIs" dxfId="26" priority="41" operator="equal">
      <formula>"YES"</formula>
    </cfRule>
  </conditionalFormatting>
  <conditionalFormatting sqref="F45:F46">
    <cfRule type="cellIs" dxfId="25" priority="38" operator="equal">
      <formula>"NO"</formula>
    </cfRule>
    <cfRule type="cellIs" dxfId="24" priority="39" operator="equal">
      <formula>"YES"</formula>
    </cfRule>
  </conditionalFormatting>
  <conditionalFormatting sqref="F43">
    <cfRule type="cellIs" dxfId="23" priority="36" operator="equal">
      <formula>"NO"</formula>
    </cfRule>
    <cfRule type="cellIs" dxfId="22" priority="37" operator="equal">
      <formula>"YES"</formula>
    </cfRule>
  </conditionalFormatting>
  <conditionalFormatting sqref="G43">
    <cfRule type="cellIs" dxfId="21" priority="34" operator="equal">
      <formula>"NO"</formula>
    </cfRule>
    <cfRule type="cellIs" dxfId="20" priority="35" operator="equal">
      <formula>"YES"</formula>
    </cfRule>
  </conditionalFormatting>
  <conditionalFormatting sqref="G44">
    <cfRule type="cellIs" dxfId="19" priority="20" operator="equal">
      <formula>"NO"</formula>
    </cfRule>
    <cfRule type="cellIs" dxfId="18" priority="21" operator="equal">
      <formula>"YES"</formula>
    </cfRule>
  </conditionalFormatting>
  <conditionalFormatting sqref="G45">
    <cfRule type="cellIs" dxfId="17" priority="18" operator="equal">
      <formula>"NO"</formula>
    </cfRule>
    <cfRule type="cellIs" dxfId="16" priority="19" operator="equal">
      <formula>"YES"</formula>
    </cfRule>
  </conditionalFormatting>
  <conditionalFormatting sqref="D43">
    <cfRule type="cellIs" dxfId="15" priority="17" operator="between">
      <formula>$H$17</formula>
      <formula>$H$23</formula>
    </cfRule>
  </conditionalFormatting>
  <conditionalFormatting sqref="E43">
    <cfRule type="cellIs" dxfId="14" priority="16" operator="between">
      <formula>$H$17</formula>
      <formula>$H$23</formula>
    </cfRule>
  </conditionalFormatting>
  <conditionalFormatting sqref="D44:D45">
    <cfRule type="cellIs" dxfId="13" priority="15" operator="between">
      <formula>$H$17</formula>
      <formula>$H$23</formula>
    </cfRule>
  </conditionalFormatting>
  <conditionalFormatting sqref="E44:E45">
    <cfRule type="cellIs" dxfId="12" priority="14" operator="between">
      <formula>$H$17</formula>
      <formula>$H$23</formula>
    </cfRule>
  </conditionalFormatting>
  <conditionalFormatting sqref="D46">
    <cfRule type="cellIs" dxfId="11" priority="13" operator="between">
      <formula>$H$21</formula>
      <formula>$H$23</formula>
    </cfRule>
  </conditionalFormatting>
  <conditionalFormatting sqref="E46">
    <cfRule type="cellIs" dxfId="10" priority="11" operator="between">
      <formula>$H$21</formula>
      <formula>$H$23</formula>
    </cfRule>
  </conditionalFormatting>
  <conditionalFormatting sqref="G46">
    <cfRule type="cellIs" dxfId="9" priority="9" operator="equal">
      <formula>"NO"</formula>
    </cfRule>
    <cfRule type="cellIs" dxfId="8" priority="10" operator="equal">
      <formula>"YES"</formula>
    </cfRule>
  </conditionalFormatting>
  <conditionalFormatting sqref="F40">
    <cfRule type="cellIs" dxfId="7" priority="7" operator="equal">
      <formula>"NO"</formula>
    </cfRule>
    <cfRule type="cellIs" dxfId="6" priority="8" operator="equal">
      <formula>"YES"</formula>
    </cfRule>
  </conditionalFormatting>
  <conditionalFormatting sqref="G40">
    <cfRule type="cellIs" dxfId="5" priority="5" operator="equal">
      <formula>"NO"</formula>
    </cfRule>
    <cfRule type="cellIs" dxfId="4" priority="6" operator="equal">
      <formula>"YES"</formula>
    </cfRule>
  </conditionalFormatting>
  <conditionalFormatting sqref="D40">
    <cfRule type="cellIs" dxfId="3" priority="4" operator="between">
      <formula>$H$21</formula>
      <formula>$H$23</formula>
    </cfRule>
  </conditionalFormatting>
  <conditionalFormatting sqref="E40">
    <cfRule type="cellIs" dxfId="2" priority="3" operator="between">
      <formula>$H$21</formula>
      <formula>$H$23</formula>
    </cfRule>
  </conditionalFormatting>
  <conditionalFormatting sqref="G9">
    <cfRule type="cellIs" dxfId="1" priority="1" operator="equal">
      <formula>"No Margin"</formula>
    </cfRule>
    <cfRule type="containsText" dxfId="0" priority="2" operator="containsText" text="Margin">
      <formula>NOT(ISERROR(SEARCH("Margin",G9)))</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workbookViewId="0">
      <selection activeCell="A79" sqref="A79"/>
    </sheetView>
  </sheetViews>
  <sheetFormatPr defaultRowHeight="15" x14ac:dyDescent="0.25"/>
  <sheetData>
    <row r="1" spans="1:20" ht="26.25" x14ac:dyDescent="0.4">
      <c r="A1" s="6" t="s">
        <v>103</v>
      </c>
    </row>
    <row r="3" spans="1:20" ht="15.75" x14ac:dyDescent="0.25">
      <c r="A3" s="8" t="s">
        <v>92</v>
      </c>
    </row>
    <row r="4" spans="1:20" x14ac:dyDescent="0.25">
      <c r="B4" s="2" t="s">
        <v>143</v>
      </c>
    </row>
    <row r="5" spans="1:20" x14ac:dyDescent="0.25">
      <c r="B5" s="2" t="s">
        <v>144</v>
      </c>
    </row>
    <row r="6" spans="1:20" x14ac:dyDescent="0.25">
      <c r="B6" s="1"/>
    </row>
    <row r="7" spans="1:20" ht="15.75" x14ac:dyDescent="0.25">
      <c r="A7" s="8" t="s">
        <v>93</v>
      </c>
    </row>
    <row r="9" spans="1:20" ht="54" customHeight="1" x14ac:dyDescent="0.25">
      <c r="B9" s="9" t="s">
        <v>57</v>
      </c>
      <c r="G9" s="135" t="s">
        <v>140</v>
      </c>
      <c r="H9" s="136"/>
      <c r="I9" s="136"/>
      <c r="J9" s="136"/>
      <c r="K9" s="136"/>
      <c r="L9" s="136"/>
      <c r="M9" s="136"/>
      <c r="N9" s="136"/>
      <c r="O9" s="136"/>
      <c r="P9" s="137"/>
      <c r="Q9" s="137"/>
      <c r="R9" s="137"/>
    </row>
    <row r="10" spans="1:20" ht="48" customHeight="1" x14ac:dyDescent="0.25">
      <c r="B10" s="2" t="s">
        <v>56</v>
      </c>
      <c r="G10" s="135" t="s">
        <v>141</v>
      </c>
      <c r="H10" s="136"/>
      <c r="I10" s="136"/>
      <c r="J10" s="136"/>
      <c r="K10" s="136"/>
      <c r="L10" s="136"/>
      <c r="M10" s="136"/>
      <c r="N10" s="136"/>
      <c r="O10" s="136"/>
      <c r="P10" s="138"/>
      <c r="Q10" s="138"/>
      <c r="R10" s="138"/>
    </row>
    <row r="11" spans="1:20" ht="15.75" customHeight="1" x14ac:dyDescent="0.25">
      <c r="B11" s="2" t="s">
        <v>40</v>
      </c>
      <c r="C11" s="4"/>
      <c r="D11" s="4"/>
      <c r="G11" s="7"/>
      <c r="H11" s="7"/>
      <c r="I11" s="7"/>
      <c r="J11" s="7"/>
      <c r="K11" s="7"/>
      <c r="L11" s="7"/>
      <c r="M11" s="7"/>
      <c r="N11" s="7"/>
    </row>
    <row r="13" spans="1:20" ht="25.5" customHeight="1" x14ac:dyDescent="0.25">
      <c r="B13" s="3" t="s">
        <v>90</v>
      </c>
      <c r="C13" s="4"/>
      <c r="G13" s="135" t="s">
        <v>142</v>
      </c>
      <c r="H13" s="134"/>
      <c r="I13" s="134"/>
      <c r="J13" s="134"/>
      <c r="K13" s="134"/>
      <c r="L13" s="134"/>
      <c r="M13" s="134"/>
      <c r="N13" s="134"/>
      <c r="O13" s="134"/>
      <c r="P13" s="134"/>
      <c r="Q13" s="134"/>
      <c r="R13" s="134"/>
      <c r="S13" s="7"/>
      <c r="T13" s="7"/>
    </row>
    <row r="14" spans="1:20" ht="18" x14ac:dyDescent="0.25">
      <c r="B14" s="2" t="s">
        <v>41</v>
      </c>
      <c r="C14" s="4"/>
      <c r="D14" s="4"/>
      <c r="G14" s="134"/>
      <c r="H14" s="134"/>
      <c r="I14" s="134"/>
      <c r="J14" s="134"/>
      <c r="K14" s="134"/>
      <c r="L14" s="134"/>
      <c r="M14" s="134"/>
      <c r="N14" s="134"/>
      <c r="O14" s="134"/>
      <c r="P14" s="134"/>
      <c r="Q14" s="134"/>
      <c r="R14" s="134"/>
      <c r="S14" s="11"/>
      <c r="T14" s="11"/>
    </row>
    <row r="15" spans="1:20" x14ac:dyDescent="0.25">
      <c r="D15" s="4"/>
      <c r="E15" s="4"/>
      <c r="G15" s="134"/>
      <c r="H15" s="134"/>
      <c r="I15" s="134"/>
      <c r="J15" s="134"/>
      <c r="K15" s="134"/>
      <c r="L15" s="134"/>
      <c r="M15" s="134"/>
      <c r="N15" s="134"/>
      <c r="O15" s="134"/>
      <c r="P15" s="134"/>
      <c r="Q15" s="134"/>
      <c r="R15" s="134"/>
    </row>
    <row r="16" spans="1:20" ht="18" x14ac:dyDescent="0.25">
      <c r="B16" s="2" t="s">
        <v>94</v>
      </c>
      <c r="G16" s="134"/>
      <c r="H16" s="134"/>
      <c r="I16" s="134"/>
      <c r="J16" s="134"/>
      <c r="K16" s="134"/>
      <c r="L16" s="134"/>
      <c r="M16" s="134"/>
      <c r="N16" s="134"/>
      <c r="O16" s="134"/>
      <c r="P16" s="134"/>
      <c r="Q16" s="134"/>
      <c r="R16" s="134"/>
    </row>
    <row r="17" spans="1:18" ht="18" x14ac:dyDescent="0.25">
      <c r="B17" s="2" t="s">
        <v>95</v>
      </c>
      <c r="G17" t="s">
        <v>145</v>
      </c>
    </row>
    <row r="19" spans="1:18" s="10" customFormat="1" ht="15.75" x14ac:dyDescent="0.25">
      <c r="A19" s="9" t="s">
        <v>47</v>
      </c>
    </row>
    <row r="20" spans="1:18" ht="18" x14ac:dyDescent="0.25">
      <c r="B20" s="2" t="s">
        <v>42</v>
      </c>
    </row>
    <row r="21" spans="1:18" ht="18" x14ac:dyDescent="0.25">
      <c r="B21" s="2" t="s">
        <v>43</v>
      </c>
    </row>
    <row r="22" spans="1:18" x14ac:dyDescent="0.25">
      <c r="B22" s="2"/>
    </row>
    <row r="23" spans="1:18" ht="18" x14ac:dyDescent="0.25">
      <c r="B23" s="2" t="s">
        <v>44</v>
      </c>
    </row>
    <row r="24" spans="1:18" ht="18" x14ac:dyDescent="0.25">
      <c r="B24" s="2" t="s">
        <v>55</v>
      </c>
    </row>
    <row r="25" spans="1:18" x14ac:dyDescent="0.25">
      <c r="B25" s="2"/>
    </row>
    <row r="26" spans="1:18" ht="15.75" x14ac:dyDescent="0.25">
      <c r="A26" s="9" t="s">
        <v>48</v>
      </c>
    </row>
    <row r="27" spans="1:18" ht="18" x14ac:dyDescent="0.25">
      <c r="B27" s="2" t="s">
        <v>45</v>
      </c>
    </row>
    <row r="28" spans="1:18" ht="18" x14ac:dyDescent="0.25">
      <c r="B28" s="2" t="s">
        <v>46</v>
      </c>
    </row>
    <row r="30" spans="1:18" ht="15.75" x14ac:dyDescent="0.25">
      <c r="A30" s="9" t="s">
        <v>76</v>
      </c>
    </row>
    <row r="31" spans="1:18" ht="30.75" customHeight="1" x14ac:dyDescent="0.25">
      <c r="B31" s="134" t="s">
        <v>137</v>
      </c>
      <c r="C31" s="134"/>
      <c r="D31" s="134"/>
      <c r="E31" s="134"/>
      <c r="F31" s="134"/>
      <c r="G31" s="134"/>
      <c r="H31" s="134"/>
      <c r="I31" s="134"/>
      <c r="J31" s="134"/>
      <c r="K31" s="134"/>
      <c r="L31" s="134"/>
      <c r="M31" s="134"/>
      <c r="N31" s="134"/>
      <c r="O31" s="134"/>
      <c r="P31" s="134"/>
      <c r="Q31" s="134"/>
      <c r="R31" s="134"/>
    </row>
    <row r="32" spans="1:18" ht="34.5" customHeight="1" x14ac:dyDescent="0.25">
      <c r="B32" s="134" t="s">
        <v>138</v>
      </c>
      <c r="C32" s="134"/>
      <c r="D32" s="134"/>
      <c r="E32" s="134"/>
      <c r="F32" s="134"/>
      <c r="G32" s="134"/>
      <c r="H32" s="134"/>
      <c r="I32" s="134"/>
      <c r="J32" s="134"/>
      <c r="K32" s="134"/>
      <c r="L32" s="134"/>
      <c r="M32" s="134"/>
      <c r="N32" s="134"/>
      <c r="O32" s="134"/>
      <c r="P32" s="134"/>
      <c r="Q32" s="134"/>
      <c r="R32" s="134"/>
    </row>
    <row r="33" spans="2:18" ht="45.75" customHeight="1" x14ac:dyDescent="0.25">
      <c r="B33" s="134" t="s">
        <v>139</v>
      </c>
      <c r="C33" s="134"/>
      <c r="D33" s="134"/>
      <c r="E33" s="134"/>
      <c r="F33" s="134"/>
      <c r="G33" s="134"/>
      <c r="H33" s="134"/>
      <c r="I33" s="134"/>
      <c r="J33" s="134"/>
      <c r="K33" s="134"/>
      <c r="L33" s="134"/>
      <c r="M33" s="134"/>
      <c r="N33" s="134"/>
      <c r="O33" s="134"/>
      <c r="P33" s="134"/>
      <c r="Q33" s="134"/>
      <c r="R33" s="134"/>
    </row>
  </sheetData>
  <sheetProtection password="FB3F" sheet="1" objects="1" scenarios="1"/>
  <mergeCells count="6">
    <mergeCell ref="B33:R33"/>
    <mergeCell ref="B31:R31"/>
    <mergeCell ref="B32:R32"/>
    <mergeCell ref="G9:R9"/>
    <mergeCell ref="G10:R10"/>
    <mergeCell ref="G13:R1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91" sqref="B91"/>
    </sheetView>
  </sheetViews>
  <sheetFormatPr defaultRowHeight="15" x14ac:dyDescent="0.25"/>
  <sheetData>
    <row r="1" spans="1:1" ht="26.25" x14ac:dyDescent="0.4">
      <c r="A1" s="6" t="s">
        <v>131</v>
      </c>
    </row>
  </sheetData>
  <sheetProtection password="FB3F"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84" sqref="A84"/>
    </sheetView>
  </sheetViews>
  <sheetFormatPr defaultRowHeight="15" x14ac:dyDescent="0.25"/>
  <sheetData>
    <row r="1" spans="1:1" ht="26.25" x14ac:dyDescent="0.4">
      <c r="A1" s="6" t="s">
        <v>130</v>
      </c>
    </row>
  </sheetData>
  <sheetProtection password="FB3F"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A59" sqref="A59"/>
    </sheetView>
  </sheetViews>
  <sheetFormatPr defaultRowHeight="15" x14ac:dyDescent="0.25"/>
  <cols>
    <col min="1" max="1" width="26.140625" customWidth="1"/>
    <col min="9" max="9" width="31.140625" customWidth="1"/>
  </cols>
  <sheetData>
    <row r="1" spans="1:12" ht="26.25" x14ac:dyDescent="0.4">
      <c r="A1" s="6" t="s">
        <v>136</v>
      </c>
    </row>
    <row r="3" spans="1:12" x14ac:dyDescent="0.25">
      <c r="A3" s="5" t="s">
        <v>135</v>
      </c>
    </row>
    <row r="4" spans="1:12" ht="48.75" customHeight="1" x14ac:dyDescent="0.25">
      <c r="A4" s="5" t="s">
        <v>132</v>
      </c>
      <c r="B4" s="139" t="s">
        <v>133</v>
      </c>
      <c r="C4" s="139"/>
      <c r="D4" s="139"/>
      <c r="E4" s="139"/>
      <c r="F4" s="139"/>
      <c r="G4" s="139"/>
      <c r="H4" s="139"/>
      <c r="I4" s="139"/>
      <c r="J4" s="12"/>
      <c r="K4" s="12"/>
      <c r="L4" s="12"/>
    </row>
    <row r="5" spans="1:12" ht="48.75" customHeight="1" x14ac:dyDescent="0.25">
      <c r="A5" s="5" t="s">
        <v>35</v>
      </c>
      <c r="B5" s="139" t="s">
        <v>134</v>
      </c>
      <c r="C5" s="139"/>
      <c r="D5" s="139"/>
      <c r="E5" s="139"/>
      <c r="F5" s="139"/>
      <c r="G5" s="139"/>
      <c r="H5" s="139"/>
      <c r="I5" s="139"/>
    </row>
  </sheetData>
  <sheetProtection password="FB3F" sheet="1" objects="1" scenarios="1"/>
  <mergeCells count="2">
    <mergeCell ref="B4:I4"/>
    <mergeCell ref="B5:I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MCU ESM Calculator</vt:lpstr>
      <vt:lpstr>WD Calculator</vt:lpstr>
      <vt:lpstr>WD Definitions</vt:lpstr>
      <vt:lpstr>WD Sequence Timing Good Event</vt:lpstr>
      <vt:lpstr>WD Sequence Timing Bad Event</vt:lpstr>
      <vt:lpstr>WD to MCU Synchronizing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2018-09-17T21:23:11Z</dcterms:modified>
</cp:coreProperties>
</file>