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cast\Chris Stone\Lora Based Sensor\Lora Gateway\TPS54290 calculation\"/>
    </mc:Choice>
  </mc:AlternateContent>
  <bookViews>
    <workbookView xWindow="0" yWindow="0" windowWidth="20490" windowHeight="7755"/>
  </bookViews>
  <sheets>
    <sheet name="Components_Selction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4" l="1"/>
  <c r="C61" i="4"/>
  <c r="C77" i="4" l="1"/>
  <c r="C79" i="4"/>
  <c r="D28" i="4"/>
  <c r="D29" i="4"/>
  <c r="C53" i="4" l="1"/>
  <c r="D19" i="4"/>
  <c r="C41" i="4" l="1"/>
  <c r="C40" i="4"/>
  <c r="C71" i="4" s="1"/>
  <c r="C47" i="4"/>
  <c r="C54" i="4"/>
  <c r="C45" i="4"/>
  <c r="C44" i="4"/>
  <c r="D20" i="4"/>
  <c r="C50" i="4" s="1"/>
  <c r="C28" i="4"/>
  <c r="C78" i="4" s="1"/>
  <c r="C46" i="4" l="1"/>
  <c r="C51" i="4" s="1"/>
  <c r="C52" i="4" s="1"/>
  <c r="C80" i="4"/>
  <c r="C75" i="4"/>
  <c r="C29" i="4"/>
  <c r="C18" i="4"/>
  <c r="C17" i="4"/>
  <c r="C15" i="4"/>
  <c r="C22" i="4" s="1"/>
  <c r="C24" i="4" s="1"/>
  <c r="C14" i="4"/>
  <c r="C36" i="4" s="1"/>
  <c r="C13" i="4"/>
  <c r="C21" i="4" s="1"/>
  <c r="C12" i="4"/>
  <c r="C35" i="4" s="1"/>
  <c r="C59" i="4" l="1"/>
  <c r="C58" i="4"/>
  <c r="C48" i="4"/>
  <c r="C49" i="4" s="1"/>
  <c r="C55" i="4" s="1"/>
  <c r="C19" i="4"/>
  <c r="C25" i="4"/>
  <c r="C31" i="4"/>
  <c r="C26" i="4"/>
  <c r="C32" i="4"/>
  <c r="C23" i="4"/>
  <c r="C20" i="4"/>
  <c r="C60" i="4" l="1"/>
  <c r="C66" i="4" s="1"/>
  <c r="C67" i="4" s="1"/>
  <c r="C68" i="4" s="1"/>
  <c r="C73" i="4" s="1"/>
  <c r="C74" i="4" s="1"/>
  <c r="C76" i="4" s="1"/>
  <c r="C56" i="4"/>
  <c r="C57" i="4" s="1"/>
  <c r="C62" i="4" s="1"/>
  <c r="C63" i="4" s="1"/>
  <c r="C64" i="4" s="1"/>
  <c r="C69" i="4" s="1"/>
  <c r="C70" i="4" s="1"/>
  <c r="C72" i="4" s="1"/>
</calcChain>
</file>

<file path=xl/sharedStrings.xml><?xml version="1.0" encoding="utf-8"?>
<sst xmlns="http://schemas.openxmlformats.org/spreadsheetml/2006/main" count="78" uniqueCount="68">
  <si>
    <t>V</t>
  </si>
  <si>
    <t>Vin(Min)</t>
  </si>
  <si>
    <t>Vin(Max)</t>
  </si>
  <si>
    <t>Vin(UVLO)</t>
  </si>
  <si>
    <t>Vout2</t>
  </si>
  <si>
    <t>Vout1</t>
  </si>
  <si>
    <t>Iout1</t>
  </si>
  <si>
    <t>A</t>
  </si>
  <si>
    <t>Iout2</t>
  </si>
  <si>
    <t>Fsw</t>
  </si>
  <si>
    <t>Hz</t>
  </si>
  <si>
    <t>Duty Cycle Estimation</t>
  </si>
  <si>
    <t>D1Max</t>
  </si>
  <si>
    <t>D1Min</t>
  </si>
  <si>
    <t>D2Max</t>
  </si>
  <si>
    <t>D2Min</t>
  </si>
  <si>
    <t>Inductor Selection</t>
  </si>
  <si>
    <t>I1rippe</t>
  </si>
  <si>
    <t>I2rippl2</t>
  </si>
  <si>
    <t>L1Min</t>
  </si>
  <si>
    <t>L2Min</t>
  </si>
  <si>
    <t>Iripple1</t>
  </si>
  <si>
    <t>I2ripple</t>
  </si>
  <si>
    <t>Il1(rms)</t>
  </si>
  <si>
    <t>Il2(rms)</t>
  </si>
  <si>
    <t>Il1(Peak)</t>
  </si>
  <si>
    <t>Il2(Peak)</t>
  </si>
  <si>
    <t>Output Capacitor Selection</t>
  </si>
  <si>
    <t>Cout1(min)</t>
  </si>
  <si>
    <t>Cout2(Min)</t>
  </si>
  <si>
    <t>ESR1Max</t>
  </si>
  <si>
    <t>Input Capacitor RMS</t>
  </si>
  <si>
    <t>I1rms</t>
  </si>
  <si>
    <t>I2rms</t>
  </si>
  <si>
    <t>Input Capacitor Selection</t>
  </si>
  <si>
    <t>Recommended 10uF</t>
  </si>
  <si>
    <t>K</t>
  </si>
  <si>
    <t>R1bias</t>
  </si>
  <si>
    <t>R2bias</t>
  </si>
  <si>
    <t>Feedback Resistor calculations</t>
  </si>
  <si>
    <t>Compensation Values Calculations</t>
  </si>
  <si>
    <t>Ton</t>
  </si>
  <si>
    <t>FM2</t>
  </si>
  <si>
    <t>FM1</t>
  </si>
  <si>
    <t>RL1</t>
  </si>
  <si>
    <t>RL2</t>
  </si>
  <si>
    <t>FC1</t>
  </si>
  <si>
    <t>FC2</t>
  </si>
  <si>
    <t>KEA1</t>
  </si>
  <si>
    <t>dB</t>
  </si>
  <si>
    <t>KEA2</t>
  </si>
  <si>
    <t>Rcomp1</t>
  </si>
  <si>
    <t>Rcomp2</t>
  </si>
  <si>
    <t>Fpole1</t>
  </si>
  <si>
    <t>Ccomp1</t>
  </si>
  <si>
    <t>22uF</t>
  </si>
  <si>
    <t>15uH</t>
  </si>
  <si>
    <t>Ccomp2</t>
  </si>
  <si>
    <t>Fpole2</t>
  </si>
  <si>
    <t xml:space="preserve"> </t>
  </si>
  <si>
    <t>ESR2Max</t>
  </si>
  <si>
    <t>44k</t>
  </si>
  <si>
    <t>50.4k</t>
  </si>
  <si>
    <t>1.1nF</t>
  </si>
  <si>
    <t>680pF</t>
  </si>
  <si>
    <t>Input Parameters</t>
  </si>
  <si>
    <t>From Data sheet</t>
  </si>
  <si>
    <t>44uF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</si>
</sst>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64" fontId="0" fillId="0" borderId="0" xfId="0" applyNumberFormat="1"/>
    <xf numFmtId="0" fontId="0" fillId="2" borderId="0" xfId="0" applyFill="1"/>
    <xf numFmtId="0" fontId="0" fillId="0" borderId="1" xfId="0" applyFill="1" applyBorder="1"/>
    <xf numFmtId="0" fontId="0" fillId="2" borderId="1" xfId="0" applyFill="1" applyBorder="1"/>
    <xf numFmtId="0" fontId="0" fillId="4" borderId="1" xfId="0" applyFill="1" applyBorder="1"/>
    <xf numFmtId="0" fontId="2" fillId="4" borderId="1" xfId="0" applyFont="1" applyFill="1" applyBorder="1"/>
    <xf numFmtId="0" fontId="0" fillId="0" borderId="1" xfId="0" applyFont="1" applyBorder="1"/>
    <xf numFmtId="0" fontId="1" fillId="2" borderId="1" xfId="0" applyFont="1" applyFill="1" applyBorder="1"/>
    <xf numFmtId="0" fontId="1" fillId="4" borderId="1" xfId="0" applyFont="1" applyFill="1" applyBorder="1"/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3" borderId="1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457200</xdr:colOff>
      <xdr:row>17</xdr:row>
      <xdr:rowOff>0</xdr:rowOff>
    </xdr:from>
    <xdr:to>
      <xdr:col>13</xdr:col>
      <xdr:colOff>263879</xdr:colOff>
      <xdr:row>24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7850" y="3238500"/>
          <a:ext cx="5254979" cy="1400175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 editAs="oneCell">
    <xdr:from>
      <xdr:col>14</xdr:col>
      <xdr:colOff>1683</xdr:colOff>
      <xdr:row>13</xdr:row>
      <xdr:rowOff>78441</xdr:rowOff>
    </xdr:from>
    <xdr:to>
      <xdr:col>23</xdr:col>
      <xdr:colOff>560294</xdr:colOff>
      <xdr:row>24</xdr:row>
      <xdr:rowOff>47626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07565" y="2554941"/>
          <a:ext cx="6004670" cy="2064685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507626</xdr:colOff>
      <xdr:row>12</xdr:row>
      <xdr:rowOff>183777</xdr:rowOff>
    </xdr:from>
    <xdr:to>
      <xdr:col>10</xdr:col>
      <xdr:colOff>388844</xdr:colOff>
      <xdr:row>15</xdr:row>
      <xdr:rowOff>159110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95950" y="2469777"/>
          <a:ext cx="3478306" cy="546833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142875</xdr:colOff>
      <xdr:row>27</xdr:row>
      <xdr:rowOff>76201</xdr:rowOff>
    </xdr:from>
    <xdr:to>
      <xdr:col>8</xdr:col>
      <xdr:colOff>436698</xdr:colOff>
      <xdr:row>31</xdr:row>
      <xdr:rowOff>114301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343525" y="5219701"/>
          <a:ext cx="2694123" cy="800100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 editAs="oneCell">
    <xdr:from>
      <xdr:col>10</xdr:col>
      <xdr:colOff>169769</xdr:colOff>
      <xdr:row>25</xdr:row>
      <xdr:rowOff>179295</xdr:rowOff>
    </xdr:from>
    <xdr:to>
      <xdr:col>18</xdr:col>
      <xdr:colOff>225263</xdr:colOff>
      <xdr:row>32</xdr:row>
      <xdr:rowOff>131690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955181" y="4941795"/>
          <a:ext cx="4896435" cy="1285895"/>
        </a:xfrm>
        <a:prstGeom prst="rect">
          <a:avLst/>
        </a:prstGeom>
        <a:ln w="12700">
          <a:solidFill>
            <a:schemeClr val="tx1"/>
          </a:solidFill>
        </a:ln>
        <a:effectLst>
          <a:softEdge rad="0"/>
        </a:effectLst>
      </xdr:spPr>
    </xdr:pic>
    <xdr:clientData/>
  </xdr:twoCellAnchor>
  <xdr:twoCellAnchor editAs="oneCell">
    <xdr:from>
      <xdr:col>5</xdr:col>
      <xdr:colOff>38101</xdr:colOff>
      <xdr:row>33</xdr:row>
      <xdr:rowOff>106831</xdr:rowOff>
    </xdr:from>
    <xdr:to>
      <xdr:col>11</xdr:col>
      <xdr:colOff>419100</xdr:colOff>
      <xdr:row>37</xdr:row>
      <xdr:rowOff>10145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238751" y="6393331"/>
          <a:ext cx="4610099" cy="665314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66675</xdr:colOff>
      <xdr:row>39</xdr:row>
      <xdr:rowOff>9525</xdr:rowOff>
    </xdr:from>
    <xdr:to>
      <xdr:col>6</xdr:col>
      <xdr:colOff>841417</xdr:colOff>
      <xdr:row>41</xdr:row>
      <xdr:rowOff>57150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267325" y="7439025"/>
          <a:ext cx="1384342" cy="428625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104776</xdr:colOff>
      <xdr:row>46</xdr:row>
      <xdr:rowOff>96139</xdr:rowOff>
    </xdr:from>
    <xdr:to>
      <xdr:col>17</xdr:col>
      <xdr:colOff>257737</xdr:colOff>
      <xdr:row>50</xdr:row>
      <xdr:rowOff>133220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293100" y="8859139"/>
          <a:ext cx="7985872" cy="799081"/>
        </a:xfrm>
        <a:prstGeom prst="rect">
          <a:avLst/>
        </a:prstGeom>
        <a:ln w="15875">
          <a:solidFill>
            <a:schemeClr val="tx1"/>
          </a:solidFill>
        </a:ln>
        <a:effectLst>
          <a:softEdge rad="0"/>
        </a:effectLst>
      </xdr:spPr>
    </xdr:pic>
    <xdr:clientData/>
  </xdr:twoCellAnchor>
  <xdr:twoCellAnchor editAs="oneCell">
    <xdr:from>
      <xdr:col>5</xdr:col>
      <xdr:colOff>118782</xdr:colOff>
      <xdr:row>54</xdr:row>
      <xdr:rowOff>160804</xdr:rowOff>
    </xdr:from>
    <xdr:to>
      <xdr:col>12</xdr:col>
      <xdr:colOff>499129</xdr:colOff>
      <xdr:row>59</xdr:row>
      <xdr:rowOff>103542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307106" y="10447804"/>
          <a:ext cx="5187670" cy="895238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66675</xdr:colOff>
      <xdr:row>64</xdr:row>
      <xdr:rowOff>0</xdr:rowOff>
    </xdr:from>
    <xdr:to>
      <xdr:col>15</xdr:col>
      <xdr:colOff>599175</xdr:colOff>
      <xdr:row>67</xdr:row>
      <xdr:rowOff>85643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267325" y="12192000"/>
          <a:ext cx="7200000" cy="657143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67236</xdr:colOff>
      <xdr:row>68</xdr:row>
      <xdr:rowOff>149039</xdr:rowOff>
    </xdr:from>
    <xdr:to>
      <xdr:col>14</xdr:col>
      <xdr:colOff>209336</xdr:colOff>
      <xdr:row>72</xdr:row>
      <xdr:rowOff>110849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255560" y="13103039"/>
          <a:ext cx="6159658" cy="723810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94130</xdr:colOff>
      <xdr:row>73</xdr:row>
      <xdr:rowOff>140073</xdr:rowOff>
    </xdr:from>
    <xdr:to>
      <xdr:col>12</xdr:col>
      <xdr:colOff>7812</xdr:colOff>
      <xdr:row>78</xdr:row>
      <xdr:rowOff>111383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282454" y="14046573"/>
          <a:ext cx="4721005" cy="923810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0"/>
  <sheetViews>
    <sheetView tabSelected="1" zoomScale="85" zoomScaleNormal="85" workbookViewId="0">
      <selection activeCell="G7" sqref="G7"/>
    </sheetView>
  </sheetViews>
  <sheetFormatPr defaultRowHeight="15" x14ac:dyDescent="0.25"/>
  <cols>
    <col min="2" max="2" width="32.140625" bestFit="1" customWidth="1"/>
    <col min="3" max="3" width="12" bestFit="1" customWidth="1"/>
    <col min="4" max="4" width="15.5703125" bestFit="1" customWidth="1"/>
    <col min="7" max="7" width="14.85546875" bestFit="1" customWidth="1"/>
    <col min="8" max="8" width="12" bestFit="1" customWidth="1"/>
  </cols>
  <sheetData>
    <row r="2" spans="1:4" x14ac:dyDescent="0.25">
      <c r="A2" s="18" t="s">
        <v>65</v>
      </c>
      <c r="B2" s="18"/>
      <c r="C2" s="18"/>
      <c r="D2" s="18"/>
    </row>
    <row r="3" spans="1:4" x14ac:dyDescent="0.25">
      <c r="A3" s="1"/>
      <c r="B3" s="1" t="s">
        <v>1</v>
      </c>
      <c r="C3" s="1">
        <v>4.5</v>
      </c>
      <c r="D3" s="1" t="s">
        <v>0</v>
      </c>
    </row>
    <row r="4" spans="1:4" x14ac:dyDescent="0.25">
      <c r="A4" s="1"/>
      <c r="B4" s="1" t="s">
        <v>2</v>
      </c>
      <c r="C4" s="1">
        <v>13.2</v>
      </c>
      <c r="D4" s="1" t="s">
        <v>0</v>
      </c>
    </row>
    <row r="5" spans="1:4" x14ac:dyDescent="0.25">
      <c r="A5" s="1"/>
      <c r="B5" s="1" t="s">
        <v>3</v>
      </c>
      <c r="C5" s="1">
        <v>4.4000000000000004</v>
      </c>
      <c r="D5" s="1" t="s">
        <v>0</v>
      </c>
    </row>
    <row r="6" spans="1:4" x14ac:dyDescent="0.25">
      <c r="A6" s="1"/>
      <c r="B6" s="1" t="s">
        <v>5</v>
      </c>
      <c r="C6" s="1">
        <v>1.8</v>
      </c>
      <c r="D6" s="1" t="s">
        <v>0</v>
      </c>
    </row>
    <row r="7" spans="1:4" x14ac:dyDescent="0.25">
      <c r="A7" s="1"/>
      <c r="B7" s="1" t="s">
        <v>4</v>
      </c>
      <c r="C7" s="1">
        <v>3.7</v>
      </c>
      <c r="D7" s="1" t="s">
        <v>0</v>
      </c>
    </row>
    <row r="8" spans="1:4" x14ac:dyDescent="0.25">
      <c r="A8" s="1"/>
      <c r="B8" s="1" t="s">
        <v>6</v>
      </c>
      <c r="C8" s="1">
        <v>1.5</v>
      </c>
      <c r="D8" s="1" t="s">
        <v>7</v>
      </c>
    </row>
    <row r="9" spans="1:4" x14ac:dyDescent="0.25">
      <c r="A9" s="1"/>
      <c r="B9" s="1" t="s">
        <v>8</v>
      </c>
      <c r="C9" s="1">
        <v>2.5</v>
      </c>
      <c r="D9" s="1" t="s">
        <v>7</v>
      </c>
    </row>
    <row r="10" spans="1:4" x14ac:dyDescent="0.25">
      <c r="A10" s="1"/>
      <c r="B10" s="1" t="s">
        <v>9</v>
      </c>
      <c r="C10" s="1">
        <v>300000</v>
      </c>
      <c r="D10" s="1" t="s">
        <v>10</v>
      </c>
    </row>
    <row r="11" spans="1:4" x14ac:dyDescent="0.25">
      <c r="A11" s="11" t="s">
        <v>11</v>
      </c>
      <c r="B11" s="12"/>
      <c r="C11" s="12"/>
      <c r="D11" s="13"/>
    </row>
    <row r="12" spans="1:4" x14ac:dyDescent="0.25">
      <c r="A12" s="1"/>
      <c r="B12" s="1" t="s">
        <v>12</v>
      </c>
      <c r="C12" s="1">
        <f>C6/C3</f>
        <v>0.4</v>
      </c>
      <c r="D12" s="1"/>
    </row>
    <row r="13" spans="1:4" x14ac:dyDescent="0.25">
      <c r="A13" s="1"/>
      <c r="B13" s="1" t="s">
        <v>13</v>
      </c>
      <c r="C13" s="1">
        <f>C6/C4</f>
        <v>0.13636363636363638</v>
      </c>
      <c r="D13" s="1"/>
    </row>
    <row r="14" spans="1:4" x14ac:dyDescent="0.25">
      <c r="A14" s="1"/>
      <c r="B14" s="1" t="s">
        <v>14</v>
      </c>
      <c r="C14" s="1">
        <f>C7/C3</f>
        <v>0.8222222222222223</v>
      </c>
      <c r="D14" s="1"/>
    </row>
    <row r="15" spans="1:4" x14ac:dyDescent="0.25">
      <c r="A15" s="1"/>
      <c r="B15" s="1" t="s">
        <v>15</v>
      </c>
      <c r="C15" s="1">
        <f>C7/C4</f>
        <v>0.28030303030303033</v>
      </c>
      <c r="D15" s="1"/>
    </row>
    <row r="16" spans="1:4" x14ac:dyDescent="0.25">
      <c r="A16" s="18" t="s">
        <v>16</v>
      </c>
      <c r="B16" s="18"/>
      <c r="C16" s="18"/>
      <c r="D16" s="18"/>
    </row>
    <row r="17" spans="1:7" x14ac:dyDescent="0.25">
      <c r="A17" s="1"/>
      <c r="B17" s="1" t="s">
        <v>17</v>
      </c>
      <c r="C17" s="1">
        <f>0.3*C8</f>
        <v>0.44999999999999996</v>
      </c>
      <c r="D17" s="1"/>
    </row>
    <row r="18" spans="1:7" x14ac:dyDescent="0.25">
      <c r="A18" s="1"/>
      <c r="B18" s="1" t="s">
        <v>18</v>
      </c>
      <c r="C18" s="1">
        <f>0.3*C9</f>
        <v>0.75</v>
      </c>
      <c r="D18" s="1"/>
    </row>
    <row r="19" spans="1:7" x14ac:dyDescent="0.25">
      <c r="A19" s="1"/>
      <c r="B19" s="1" t="s">
        <v>19</v>
      </c>
      <c r="C19" s="8">
        <f>((C4-C6)/C17)*C13*(1/C10)</f>
        <v>1.1515151515151517E-5</v>
      </c>
      <c r="D19" s="9">
        <f>15*10^-6</f>
        <v>1.4999999999999999E-5</v>
      </c>
      <c r="E19" s="3" t="s">
        <v>56</v>
      </c>
    </row>
    <row r="20" spans="1:7" x14ac:dyDescent="0.25">
      <c r="A20" s="1"/>
      <c r="B20" s="1" t="s">
        <v>20</v>
      </c>
      <c r="C20" s="1">
        <f>((C4-C7)/C18)*C15*(1/C10)</f>
        <v>1.1835016835016836E-5</v>
      </c>
      <c r="D20" s="9">
        <f>15*10^-6</f>
        <v>1.4999999999999999E-5</v>
      </c>
      <c r="E20" s="3" t="s">
        <v>56</v>
      </c>
    </row>
    <row r="21" spans="1:7" x14ac:dyDescent="0.25">
      <c r="A21" s="1"/>
      <c r="B21" s="1" t="s">
        <v>21</v>
      </c>
      <c r="C21" s="1">
        <f>((C4-C6)/D19)*C13*(1/C10)</f>
        <v>0.34545454545454551</v>
      </c>
      <c r="D21" s="1"/>
    </row>
    <row r="22" spans="1:7" x14ac:dyDescent="0.25">
      <c r="A22" s="1"/>
      <c r="B22" s="1" t="s">
        <v>22</v>
      </c>
      <c r="C22" s="1">
        <f>((C4-C7)/D20)*C15*(1/C10)</f>
        <v>0.59175084175084181</v>
      </c>
      <c r="D22" s="1"/>
      <c r="G22" s="2"/>
    </row>
    <row r="23" spans="1:7" x14ac:dyDescent="0.25">
      <c r="A23" s="1"/>
      <c r="B23" s="1" t="s">
        <v>23</v>
      </c>
      <c r="C23" s="10">
        <f>SQRT(((C8)^2)+((1/12)*(C21)^2))</f>
        <v>1.503311312929317</v>
      </c>
      <c r="D23" s="1"/>
    </row>
    <row r="24" spans="1:7" x14ac:dyDescent="0.25">
      <c r="A24" s="1"/>
      <c r="B24" s="1" t="s">
        <v>24</v>
      </c>
      <c r="C24" s="10">
        <f>SQRT(((C9)^2)+((1/12)*(C22)^2))</f>
        <v>2.5058293547032959</v>
      </c>
      <c r="D24" s="1"/>
    </row>
    <row r="25" spans="1:7" x14ac:dyDescent="0.25">
      <c r="A25" s="1"/>
      <c r="B25" s="1" t="s">
        <v>25</v>
      </c>
      <c r="C25" s="10">
        <f>C8+(1/2)*C21</f>
        <v>1.6727272727272728</v>
      </c>
      <c r="D25" s="1"/>
    </row>
    <row r="26" spans="1:7" x14ac:dyDescent="0.25">
      <c r="A26" s="1"/>
      <c r="B26" s="1" t="s">
        <v>26</v>
      </c>
      <c r="C26" s="10">
        <f>C9+(1/2)*C22</f>
        <v>2.7958754208754208</v>
      </c>
      <c r="D26" s="1"/>
    </row>
    <row r="27" spans="1:7" x14ac:dyDescent="0.25">
      <c r="A27" s="19" t="s">
        <v>27</v>
      </c>
      <c r="B27" s="19"/>
      <c r="C27" s="19"/>
      <c r="D27" s="19"/>
    </row>
    <row r="28" spans="1:7" x14ac:dyDescent="0.25">
      <c r="A28" s="1"/>
      <c r="B28" s="1" t="s">
        <v>28</v>
      </c>
      <c r="C28" s="1">
        <f>(1*D19)/(C6*0.2)</f>
        <v>4.1666666666666658E-5</v>
      </c>
      <c r="D28" s="5">
        <f>44*10^-6</f>
        <v>4.3999999999999999E-5</v>
      </c>
      <c r="E28" s="5" t="s">
        <v>67</v>
      </c>
    </row>
    <row r="29" spans="1:7" x14ac:dyDescent="0.25">
      <c r="A29" s="1"/>
      <c r="B29" s="1" t="s">
        <v>29</v>
      </c>
      <c r="C29" s="1">
        <f>(1*D20)/(C7*0.2)</f>
        <v>2.0270270270270266E-5</v>
      </c>
      <c r="D29" s="5">
        <f>22*10^-6</f>
        <v>2.1999999999999999E-5</v>
      </c>
      <c r="E29" s="5" t="s">
        <v>55</v>
      </c>
    </row>
    <row r="30" spans="1:7" x14ac:dyDescent="0.25">
      <c r="A30" s="1"/>
      <c r="B30" s="1"/>
      <c r="C30" s="1"/>
      <c r="D30" s="1"/>
      <c r="E30" s="1"/>
    </row>
    <row r="31" spans="1:7" x14ac:dyDescent="0.25">
      <c r="A31" s="1"/>
      <c r="B31" s="1" t="s">
        <v>30</v>
      </c>
      <c r="C31" s="6">
        <f>(0.02-((C21)/(8*C28*C10)))/C21</f>
        <v>4.7894736842105247E-2</v>
      </c>
      <c r="D31" s="1"/>
      <c r="E31" s="1"/>
    </row>
    <row r="32" spans="1:7" x14ac:dyDescent="0.25">
      <c r="A32" s="1"/>
      <c r="B32" s="1" t="s">
        <v>60</v>
      </c>
      <c r="C32" s="6">
        <f>(0.03-((C22)/(8*C29*C10)))/C22</f>
        <v>3.0141457246720391E-2</v>
      </c>
      <c r="D32" s="1"/>
      <c r="E32" s="1"/>
    </row>
    <row r="33" spans="1:4" x14ac:dyDescent="0.25">
      <c r="A33" s="20" t="s">
        <v>34</v>
      </c>
      <c r="B33" s="20"/>
      <c r="C33" s="20"/>
      <c r="D33" s="20"/>
    </row>
    <row r="34" spans="1:4" x14ac:dyDescent="0.25">
      <c r="A34" s="1"/>
      <c r="B34" s="1" t="s">
        <v>31</v>
      </c>
      <c r="C34" s="1"/>
      <c r="D34" s="1"/>
    </row>
    <row r="35" spans="1:4" x14ac:dyDescent="0.25">
      <c r="A35" s="1"/>
      <c r="B35" s="1" t="s">
        <v>32</v>
      </c>
      <c r="C35" s="1">
        <f>C8*SQRT(C12*(1-C12))</f>
        <v>0.73484692283495345</v>
      </c>
      <c r="D35" s="1"/>
    </row>
    <row r="36" spans="1:4" x14ac:dyDescent="0.25">
      <c r="A36" s="1"/>
      <c r="B36" s="1" t="s">
        <v>33</v>
      </c>
      <c r="C36" s="1">
        <f>C9*SQRT(C14*(1-C14))</f>
        <v>0.95581391856029163</v>
      </c>
      <c r="D36" s="1"/>
    </row>
    <row r="37" spans="1:4" x14ac:dyDescent="0.25">
      <c r="A37" s="1"/>
      <c r="B37" s="5" t="s">
        <v>35</v>
      </c>
      <c r="C37" s="5"/>
      <c r="D37" s="1"/>
    </row>
    <row r="38" spans="1:4" x14ac:dyDescent="0.25">
      <c r="A38" s="1"/>
      <c r="B38" s="1"/>
      <c r="C38" s="1"/>
      <c r="D38" s="1"/>
    </row>
    <row r="39" spans="1:4" x14ac:dyDescent="0.25">
      <c r="A39" s="18" t="s">
        <v>39</v>
      </c>
      <c r="B39" s="18"/>
      <c r="C39" s="18"/>
      <c r="D39" s="18"/>
    </row>
    <row r="40" spans="1:4" x14ac:dyDescent="0.25">
      <c r="A40" s="1"/>
      <c r="B40" s="5" t="s">
        <v>37</v>
      </c>
      <c r="C40" s="5">
        <f>(0.8*20)/(C6-0.8)</f>
        <v>16</v>
      </c>
      <c r="D40" s="5" t="s">
        <v>36</v>
      </c>
    </row>
    <row r="41" spans="1:4" x14ac:dyDescent="0.25">
      <c r="A41" s="1"/>
      <c r="B41" s="5" t="s">
        <v>38</v>
      </c>
      <c r="C41" s="5">
        <f>(0.8*33)/(C7-0.8)</f>
        <v>9.1034482758620694</v>
      </c>
      <c r="D41" s="5" t="s">
        <v>36</v>
      </c>
    </row>
    <row r="42" spans="1:4" x14ac:dyDescent="0.25">
      <c r="A42" s="1"/>
      <c r="B42" s="1"/>
      <c r="C42" s="1"/>
      <c r="D42" s="1"/>
    </row>
    <row r="43" spans="1:4" x14ac:dyDescent="0.25">
      <c r="A43" s="11" t="s">
        <v>40</v>
      </c>
      <c r="B43" s="12"/>
      <c r="C43" s="12"/>
      <c r="D43" s="13"/>
    </row>
    <row r="44" spans="1:4" x14ac:dyDescent="0.25">
      <c r="B44" s="1" t="s">
        <v>36</v>
      </c>
      <c r="C44" s="1">
        <f>5.6*10^5</f>
        <v>560000</v>
      </c>
      <c r="D44" s="1" t="s">
        <v>66</v>
      </c>
    </row>
    <row r="45" spans="1:4" x14ac:dyDescent="0.25">
      <c r="B45" s="1" t="s">
        <v>41</v>
      </c>
      <c r="C45" s="1">
        <f>393*10^-9</f>
        <v>3.9300000000000004E-7</v>
      </c>
      <c r="D45" s="1" t="s">
        <v>66</v>
      </c>
    </row>
    <row r="46" spans="1:4" x14ac:dyDescent="0.25">
      <c r="B46" s="15" t="s">
        <v>43</v>
      </c>
      <c r="C46" s="1">
        <f>19.7*(EXP(C44*C45))</f>
        <v>24.549675488053577</v>
      </c>
      <c r="D46" s="1"/>
    </row>
    <row r="47" spans="1:4" x14ac:dyDescent="0.25">
      <c r="B47" s="16"/>
      <c r="C47" s="1">
        <f>95*10^-6*((C4-C6)/D19)</f>
        <v>72.199999999999989</v>
      </c>
      <c r="D47" s="1"/>
    </row>
    <row r="48" spans="1:4" x14ac:dyDescent="0.25">
      <c r="B48" s="16"/>
      <c r="C48" s="1">
        <f>C46+C47</f>
        <v>96.749675488053569</v>
      </c>
      <c r="D48" s="1"/>
    </row>
    <row r="49" spans="2:4" x14ac:dyDescent="0.25">
      <c r="B49" s="17"/>
      <c r="C49" s="6">
        <f>C10/C48</f>
        <v>3100.785594232234</v>
      </c>
      <c r="D49" s="1"/>
    </row>
    <row r="50" spans="2:4" x14ac:dyDescent="0.25">
      <c r="B50" s="15" t="s">
        <v>42</v>
      </c>
      <c r="C50" s="1">
        <f>95*10^-6*((C4-C7)/D20)</f>
        <v>60.166666666666664</v>
      </c>
      <c r="D50" s="1"/>
    </row>
    <row r="51" spans="2:4" x14ac:dyDescent="0.25">
      <c r="B51" s="16"/>
      <c r="C51" s="1">
        <f>C46+C50</f>
        <v>84.716342154720238</v>
      </c>
      <c r="D51" s="1"/>
    </row>
    <row r="52" spans="2:4" x14ac:dyDescent="0.25">
      <c r="B52" s="17"/>
      <c r="C52" s="6">
        <f>C10/C51</f>
        <v>3541.2293823085533</v>
      </c>
      <c r="D52" s="1"/>
    </row>
    <row r="53" spans="2:4" x14ac:dyDescent="0.25">
      <c r="B53" s="1" t="s">
        <v>44</v>
      </c>
      <c r="C53" s="6">
        <f>C6/C8</f>
        <v>1.2</v>
      </c>
      <c r="D53" s="1"/>
    </row>
    <row r="54" spans="2:4" x14ac:dyDescent="0.25">
      <c r="B54" s="1" t="s">
        <v>45</v>
      </c>
      <c r="C54" s="6">
        <f>C7/C9</f>
        <v>1.48</v>
      </c>
      <c r="D54" s="1"/>
    </row>
    <row r="55" spans="2:4" x14ac:dyDescent="0.25">
      <c r="B55" s="15" t="s">
        <v>46</v>
      </c>
      <c r="C55" s="1">
        <f>C4*C49*2*10^-4</f>
        <v>8.1860739687730977</v>
      </c>
      <c r="D55" s="1"/>
    </row>
    <row r="56" spans="2:4" x14ac:dyDescent="0.25">
      <c r="B56" s="16"/>
      <c r="C56" s="1">
        <f>C4*C49*95*10^-6</f>
        <v>3.888385135167221</v>
      </c>
      <c r="D56" s="1"/>
    </row>
    <row r="57" spans="2:4" x14ac:dyDescent="0.25">
      <c r="B57" s="17"/>
      <c r="C57" s="6">
        <f>C55/(1+(C56/(2*C53)))</f>
        <v>3.1242643544816842</v>
      </c>
      <c r="D57" s="1"/>
    </row>
    <row r="58" spans="2:4" x14ac:dyDescent="0.25">
      <c r="B58" s="15" t="s">
        <v>47</v>
      </c>
      <c r="C58" s="1">
        <f>C4*C52*2*10^-4</f>
        <v>9.3488455692945802</v>
      </c>
      <c r="D58" s="1"/>
    </row>
    <row r="59" spans="2:4" x14ac:dyDescent="0.25">
      <c r="B59" s="16"/>
      <c r="C59" s="1">
        <f>C4*C52*95*10^-6</f>
        <v>4.4407016454149257</v>
      </c>
      <c r="D59" s="1"/>
    </row>
    <row r="60" spans="2:4" x14ac:dyDescent="0.25">
      <c r="B60" s="17"/>
      <c r="C60" s="6">
        <f>C58/(1+(C59/(2*C54)))</f>
        <v>3.7391836897324988</v>
      </c>
      <c r="D60" s="1"/>
    </row>
    <row r="61" spans="2:4" x14ac:dyDescent="0.25">
      <c r="B61" s="15" t="s">
        <v>48</v>
      </c>
      <c r="C61" s="1">
        <f>1+(2*3.14*30000*2*C53*D28)</f>
        <v>20.895039999999998</v>
      </c>
      <c r="D61" s="1"/>
    </row>
    <row r="62" spans="2:4" x14ac:dyDescent="0.25">
      <c r="B62" s="16"/>
      <c r="C62" s="1">
        <f>C57/C61</f>
        <v>0.14952181735386411</v>
      </c>
      <c r="D62" s="1"/>
    </row>
    <row r="63" spans="2:4" x14ac:dyDescent="0.25">
      <c r="B63" s="16"/>
      <c r="C63" s="1">
        <f>LOG(C62)</f>
        <v>-0.82529543299119412</v>
      </c>
      <c r="D63" s="1"/>
    </row>
    <row r="64" spans="2:4" x14ac:dyDescent="0.25">
      <c r="B64" s="17"/>
      <c r="C64" s="7">
        <f>-20*C63</f>
        <v>16.505908659823881</v>
      </c>
      <c r="D64" s="1" t="s">
        <v>49</v>
      </c>
    </row>
    <row r="65" spans="2:6" x14ac:dyDescent="0.25">
      <c r="B65" s="15" t="s">
        <v>50</v>
      </c>
      <c r="C65" s="1">
        <f>1+(2*3.14*30000*2*C54*D29)</f>
        <v>13.268608</v>
      </c>
      <c r="D65" s="1"/>
    </row>
    <row r="66" spans="2:6" x14ac:dyDescent="0.25">
      <c r="B66" s="16"/>
      <c r="C66" s="1">
        <f>C60/C65</f>
        <v>0.28180677956063654</v>
      </c>
      <c r="D66" s="1"/>
    </row>
    <row r="67" spans="2:6" x14ac:dyDescent="0.25">
      <c r="B67" s="16"/>
      <c r="C67" s="1">
        <f>LOG(C66)</f>
        <v>-0.55004856307067451</v>
      </c>
      <c r="D67" s="1"/>
    </row>
    <row r="68" spans="2:6" x14ac:dyDescent="0.25">
      <c r="B68" s="17"/>
      <c r="C68" s="6">
        <f>-20*C67</f>
        <v>11.00097126141349</v>
      </c>
      <c r="D68" s="1" t="s">
        <v>49</v>
      </c>
    </row>
    <row r="69" spans="2:6" x14ac:dyDescent="0.25">
      <c r="B69" s="14" t="s">
        <v>51</v>
      </c>
      <c r="C69" s="4">
        <f>10^(C64/20)</f>
        <v>6.687987196098355</v>
      </c>
      <c r="D69" s="1"/>
    </row>
    <row r="70" spans="2:6" x14ac:dyDescent="0.25">
      <c r="B70" s="14"/>
      <c r="C70" s="1">
        <f>C69*(20+C40)</f>
        <v>240.76753905954078</v>
      </c>
      <c r="D70" s="1"/>
    </row>
    <row r="71" spans="2:6" x14ac:dyDescent="0.25">
      <c r="B71" s="14"/>
      <c r="C71" s="1">
        <f>325*C40</f>
        <v>5200</v>
      </c>
      <c r="D71" s="1"/>
    </row>
    <row r="72" spans="2:6" x14ac:dyDescent="0.25">
      <c r="B72" s="14"/>
      <c r="C72" s="6">
        <f>(C70/(C71*10^-6))</f>
        <v>46301.449819142457</v>
      </c>
      <c r="D72" s="5" t="s">
        <v>61</v>
      </c>
    </row>
    <row r="73" spans="2:6" x14ac:dyDescent="0.25">
      <c r="B73" s="15" t="s">
        <v>52</v>
      </c>
      <c r="C73" s="1">
        <f>10^(C68/20)</f>
        <v>3.5485306689892084</v>
      </c>
      <c r="D73" s="1"/>
      <c r="F73" t="s">
        <v>59</v>
      </c>
    </row>
    <row r="74" spans="2:6" x14ac:dyDescent="0.25">
      <c r="B74" s="16"/>
      <c r="C74" s="1">
        <f>C73*(33+C41)</f>
        <v>149.40537747709737</v>
      </c>
      <c r="D74" s="1"/>
    </row>
    <row r="75" spans="2:6" x14ac:dyDescent="0.25">
      <c r="B75" s="16"/>
      <c r="C75" s="1">
        <f>325*C41</f>
        <v>2958.6206896551726</v>
      </c>
      <c r="D75" s="1"/>
    </row>
    <row r="76" spans="2:6" x14ac:dyDescent="0.25">
      <c r="B76" s="17"/>
      <c r="C76" s="6">
        <f>(C74/(C75*10^-6))</f>
        <v>50498.321058692585</v>
      </c>
      <c r="D76" s="5" t="s">
        <v>62</v>
      </c>
    </row>
    <row r="77" spans="2:6" x14ac:dyDescent="0.25">
      <c r="B77" s="1" t="s">
        <v>53</v>
      </c>
      <c r="C77" s="1">
        <f>1/(2*3.14*C53*D28)</f>
        <v>3015.827060413048</v>
      </c>
      <c r="D77" s="1"/>
    </row>
    <row r="78" spans="2:6" x14ac:dyDescent="0.25">
      <c r="B78" s="1" t="s">
        <v>54</v>
      </c>
      <c r="C78" s="6">
        <f>1/(2*3.14*C77*44000)</f>
        <v>1.1999999999999998E-9</v>
      </c>
      <c r="D78" s="5" t="s">
        <v>63</v>
      </c>
    </row>
    <row r="79" spans="2:6" x14ac:dyDescent="0.25">
      <c r="B79" s="1" t="s">
        <v>58</v>
      </c>
      <c r="C79" s="1">
        <f>1/(2*3.14*C54*D29)</f>
        <v>4890.5303682373751</v>
      </c>
      <c r="D79" s="1"/>
    </row>
    <row r="80" spans="2:6" x14ac:dyDescent="0.25">
      <c r="B80" s="1" t="s">
        <v>57</v>
      </c>
      <c r="C80" s="6">
        <f>1/(2*3.14*C79*50400)</f>
        <v>6.460317460317459E-10</v>
      </c>
      <c r="D80" s="5" t="s">
        <v>64</v>
      </c>
    </row>
  </sheetData>
  <mergeCells count="15">
    <mergeCell ref="A2:D2"/>
    <mergeCell ref="A11:D11"/>
    <mergeCell ref="A16:D16"/>
    <mergeCell ref="A27:D27"/>
    <mergeCell ref="A39:D39"/>
    <mergeCell ref="A33:D33"/>
    <mergeCell ref="A43:D43"/>
    <mergeCell ref="B69:B72"/>
    <mergeCell ref="B73:B76"/>
    <mergeCell ref="B65:B68"/>
    <mergeCell ref="B61:B64"/>
    <mergeCell ref="B58:B60"/>
    <mergeCell ref="B55:B57"/>
    <mergeCell ref="B46:B49"/>
    <mergeCell ref="B50:B52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Components_Selction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Naru, Venkata (Contractor)</dc:creator>
  <cp:lastModifiedBy>Singh, Bhupendar (Contractor)</cp:lastModifiedBy>
  <dcterms:created xsi:type="dcterms:W3CDTF">2017-05-24T16:04:44Z</dcterms:created>
  <dcterms:modified xsi:type="dcterms:W3CDTF">2017-12-13T17:07:59Z</dcterms:modified>
</cp:coreProperties>
</file>