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521" windowWidth="1252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<sst xmlns="http://schemas.openxmlformats.org/spreadsheetml/2006/main" count="75" uniqueCount="60">
  <si>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GC4016 Gain Calculations</t>
  </si>
  <si>
    <t>(4 channel tuner version)</t>
  </si>
  <si>
    <t>CIC Decimation</t>
  </si>
  <si>
    <t>CFIR Decimation</t>
  </si>
  <si>
    <t>PFIR Decimation</t>
  </si>
  <si>
    <t>Nzeros = Interpolation Factor - 1</t>
  </si>
  <si>
    <t xml:space="preserve">Nzeros  </t>
  </si>
  <si>
    <t>N = CIC Decimation</t>
  </si>
  <si>
    <t>N</t>
  </si>
  <si>
    <t>Temp1 = 62 - (5*log2(N) )+ log2(Nzeros+1)</t>
  </si>
  <si>
    <t>Temp1</t>
  </si>
  <si>
    <t>Adjust for Big Scale as 6*Big Scale</t>
  </si>
  <si>
    <t>Adjust for Scale</t>
  </si>
  <si>
    <t>Adjusting the Scale, Big Scale, and Shift to Normalize the CIC Gain</t>
  </si>
  <si>
    <t>Scale = Temp1 - (6*Bscale) - 4</t>
  </si>
  <si>
    <t>Scale</t>
  </si>
  <si>
    <t>Shift</t>
  </si>
  <si>
    <t>Corrected CIC Voltage Gain</t>
  </si>
  <si>
    <t>Big_scale</t>
  </si>
  <si>
    <t>BigScale not bounded</t>
  </si>
  <si>
    <t>Big_scale = INT((Temp1-Shift) / 6)</t>
  </si>
  <si>
    <t>Scale not bounded</t>
  </si>
  <si>
    <t>Coarse Gain (used to adjust gain up), voltage gain DB</t>
  </si>
  <si>
    <t>Coarse Gain unbounded</t>
  </si>
  <si>
    <t>CFIR Coefficient Sum</t>
  </si>
  <si>
    <t xml:space="preserve">Corr Coarse Gain dB </t>
  </si>
  <si>
    <t>Corr CIC Gain dB</t>
  </si>
  <si>
    <t>CFIR Fractional Gain</t>
  </si>
  <si>
    <t>Corr CFIR Gain dB</t>
  </si>
  <si>
    <t>PFIR Coefficient Sum</t>
  </si>
  <si>
    <t>PFIR Fractional Gain</t>
  </si>
  <si>
    <t>Corr PFIR Gain dB</t>
  </si>
  <si>
    <t>Set to 1 -&gt; Assumes Resampler is Bypassed</t>
  </si>
  <si>
    <t>Resampler Fractional Gain</t>
  </si>
  <si>
    <t>Corr Resampler Gain in dB</t>
  </si>
  <si>
    <t>Final Shift Gain</t>
  </si>
  <si>
    <t>Coarse Gain Setting - not adjusted up, for communication SQRT(CICDecimation) may adjust gain</t>
  </si>
  <si>
    <t>Set to 1 -&gt; Assumes Final Shift is Bypassed</t>
  </si>
  <si>
    <t>Final Shift Gain in dB</t>
  </si>
  <si>
    <t>Fine Gain Ratio</t>
  </si>
  <si>
    <t>CICGain - CoarseGain - CFIRGain - PFIRGain - ResamperGain - FinalShiftGain</t>
  </si>
  <si>
    <t>Fine Gain in dB</t>
  </si>
  <si>
    <t>Chip Gain w/o Fine Gain to achieve 0dB error</t>
  </si>
  <si>
    <t>Gain Error in dB</t>
  </si>
  <si>
    <t>Input Gain(dB) - assumed in the range of +/-6dB, for &gt; 6dB use Coarse Gain, for attenuation affect Scale, BigScale (enter)</t>
  </si>
  <si>
    <t>x</t>
  </si>
  <si>
    <t>Final Gain in dB</t>
  </si>
  <si>
    <t>Correction Fine Gain Needed in dB</t>
  </si>
  <si>
    <t>Total Gain in dB</t>
  </si>
  <si>
    <t>Resampler Coefficent Sum</t>
  </si>
  <si>
    <t>Calculated Fine Gain counts</t>
  </si>
  <si>
    <t>**</t>
  </si>
  <si>
    <t>MIX20B</t>
  </si>
  <si>
    <t>Set Shift = 4, insure MIX20B is ON if dec &lt;3104</t>
  </si>
  <si>
    <t>Mixer Freq</t>
  </si>
  <si>
    <t>Fclk</t>
  </si>
  <si>
    <t>Ftune</t>
  </si>
  <si>
    <t>Freqword</t>
  </si>
  <si>
    <t>Interpolation Factor - zero stuffing+1 (enter)</t>
  </si>
  <si>
    <t>Total Decimation (enter) - complex, enter 2x for Split IQ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</si>
</sst>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workbookViewId="0" topLeftCell="A1">
      <selection activeCell="G6" sqref="G6"/>
    </sheetView>
  </sheetViews>
  <sheetFormatPr defaultColWidth="9.140625" defaultRowHeight="12.75"/>
  <cols>
    <col min="3" max="3" width="9.57421875" style="0" bestFit="1" customWidth="1"/>
  </cols>
  <sheetData>
    <row r="1" ht="12.75">
      <c r="A1" t="s">
        <v>0</v>
      </c>
    </row>
    <row r="2" ht="12.75">
      <c r="C2" t="s">
        <v>1</v>
      </c>
    </row>
    <row r="3" spans="1:3" ht="12.75">
      <c r="A3" t="s">
        <v>45</v>
      </c>
      <c r="B3">
        <v>1</v>
      </c>
      <c r="C3" t="s">
        <v>58</v>
      </c>
    </row>
    <row r="4" spans="1:3" ht="12.75">
      <c r="A4" t="s">
        <v>45</v>
      </c>
      <c r="B4">
        <v>32</v>
      </c>
      <c r="C4" t="s">
        <v>59</v>
      </c>
    </row>
    <row r="5" spans="3:4" ht="12.75">
      <c r="C5">
        <f>(B4/C6/C7)</f>
        <v>8</v>
      </c>
      <c r="D5" t="s">
        <v>2</v>
      </c>
    </row>
    <row r="6" spans="3:4" ht="12.75">
      <c r="C6">
        <v>2</v>
      </c>
      <c r="D6" t="s">
        <v>3</v>
      </c>
    </row>
    <row r="7" spans="3:4" ht="12.75">
      <c r="C7">
        <v>2</v>
      </c>
      <c r="D7" t="s">
        <v>4</v>
      </c>
    </row>
    <row r="8" spans="1:3" ht="12.75">
      <c r="A8" t="s">
        <v>45</v>
      </c>
      <c r="B8">
        <v>0</v>
      </c>
      <c r="C8" t="s">
        <v>44</v>
      </c>
    </row>
    <row r="10" spans="2:3" ht="12.75">
      <c r="B10">
        <f>(B75)</f>
        <v>-0.00014667575393101373</v>
      </c>
      <c r="C10" t="s">
        <v>46</v>
      </c>
    </row>
    <row r="11" spans="2:3" ht="12.75">
      <c r="B11">
        <f>(B77)</f>
        <v>0.00014667575393101373</v>
      </c>
      <c r="C11" t="s">
        <v>43</v>
      </c>
    </row>
    <row r="13" ht="12.75">
      <c r="C13" t="s">
        <v>13</v>
      </c>
    </row>
    <row r="14" ht="12.75">
      <c r="C14" s="1" t="s">
        <v>5</v>
      </c>
    </row>
    <row r="15" spans="2:5" ht="12.75">
      <c r="B15">
        <f>(B3-1)</f>
        <v>0</v>
      </c>
      <c r="C15" t="s">
        <v>6</v>
      </c>
      <c r="E15" t="s">
        <v>51</v>
      </c>
    </row>
    <row r="16" ht="12.75">
      <c r="C16" s="1" t="s">
        <v>7</v>
      </c>
    </row>
    <row r="17" spans="2:7" ht="12.75">
      <c r="B17">
        <f>INT(C5)</f>
        <v>8</v>
      </c>
      <c r="C17" t="s">
        <v>8</v>
      </c>
      <c r="F17">
        <f>(B17-1)</f>
        <v>7</v>
      </c>
      <c r="G17" t="s">
        <v>51</v>
      </c>
    </row>
    <row r="18" ht="12.75">
      <c r="C18" s="1" t="s">
        <v>9</v>
      </c>
    </row>
    <row r="19" spans="2:3" ht="12.75">
      <c r="B19">
        <f>62-(5*LOG(B17,2))+LOG((B15+1),2)</f>
        <v>47</v>
      </c>
      <c r="C19" t="s">
        <v>10</v>
      </c>
    </row>
    <row r="20" ht="12.75">
      <c r="C20" t="s">
        <v>11</v>
      </c>
    </row>
    <row r="21" ht="12.75">
      <c r="C21" t="s">
        <v>20</v>
      </c>
    </row>
    <row r="22" spans="3:5" ht="12.75">
      <c r="C22" t="s">
        <v>19</v>
      </c>
      <c r="E22">
        <f>INT((B19-4)/6)</f>
        <v>7</v>
      </c>
    </row>
    <row r="23" spans="2:4" ht="12.75">
      <c r="B23">
        <f>IF(E22&gt;7,7,IF(E22&lt;0,0,E22))</f>
        <v>7</v>
      </c>
      <c r="C23" s="1" t="s">
        <v>18</v>
      </c>
      <c r="D23" t="s">
        <v>51</v>
      </c>
    </row>
    <row r="24" spans="3:10" ht="12.75">
      <c r="C24" t="s">
        <v>53</v>
      </c>
      <c r="H24" t="s">
        <v>52</v>
      </c>
      <c r="I24">
        <f>IF(B4&lt;3104,1,0)</f>
        <v>1</v>
      </c>
      <c r="J24" t="s">
        <v>51</v>
      </c>
    </row>
    <row r="25" spans="2:4" ht="12.75">
      <c r="B25">
        <v>4</v>
      </c>
      <c r="C25" t="s">
        <v>16</v>
      </c>
      <c r="D25" t="s">
        <v>51</v>
      </c>
    </row>
    <row r="26" ht="12.75">
      <c r="C26" t="s">
        <v>12</v>
      </c>
    </row>
    <row r="27" ht="12.75">
      <c r="C27" t="s">
        <v>14</v>
      </c>
    </row>
    <row r="28" spans="3:5" ht="12.75">
      <c r="C28" t="s">
        <v>21</v>
      </c>
      <c r="E28">
        <f>INT((B19-B25)-(6*B23))</f>
        <v>1</v>
      </c>
    </row>
    <row r="29" spans="2:4" ht="12.75">
      <c r="B29">
        <f>IF(E28&gt;5,5,IF(E28&lt;0,0,E28))</f>
        <v>1</v>
      </c>
      <c r="C29" t="s">
        <v>15</v>
      </c>
      <c r="D29" t="s">
        <v>51</v>
      </c>
    </row>
    <row r="31" spans="2:3" ht="12.75">
      <c r="B31">
        <f>(POWER(B17,5)*POWER(2,(B25+B29+(6*B23)-62)))/(POWER(2,B15))</f>
        <v>1</v>
      </c>
      <c r="C31" t="s">
        <v>17</v>
      </c>
    </row>
    <row r="32" spans="2:3" ht="12.75">
      <c r="B32">
        <f>20*LOG(B31,10)</f>
        <v>0</v>
      </c>
      <c r="C32" t="s">
        <v>26</v>
      </c>
    </row>
    <row r="35" spans="3:4" ht="12.75">
      <c r="C35">
        <f>IF(B8&gt;=6,INT(B8/6)*6,0)</f>
        <v>0</v>
      </c>
      <c r="D35" t="s">
        <v>22</v>
      </c>
    </row>
    <row r="36" spans="3:4" ht="12.75">
      <c r="C36">
        <f>INT(C35/6)</f>
        <v>0</v>
      </c>
      <c r="D36" t="s">
        <v>23</v>
      </c>
    </row>
    <row r="37" spans="2:12" ht="12.75">
      <c r="B37">
        <f>INT(C35/6)</f>
        <v>0</v>
      </c>
      <c r="C37" t="s">
        <v>36</v>
      </c>
      <c r="L37" t="s">
        <v>51</v>
      </c>
    </row>
    <row r="39" spans="2:3" ht="12.75">
      <c r="B39">
        <f>20*LOG(POWER(2,B37),10)</f>
        <v>0</v>
      </c>
      <c r="C39" t="s">
        <v>25</v>
      </c>
    </row>
    <row r="42" spans="1:3" ht="12.75">
      <c r="A42" t="s">
        <v>45</v>
      </c>
      <c r="B42">
        <v>59993</v>
      </c>
      <c r="C42" t="s">
        <v>24</v>
      </c>
    </row>
    <row r="44" spans="2:3" ht="12.75">
      <c r="B44">
        <f>(B42/65536)</f>
        <v>0.9154205322265625</v>
      </c>
      <c r="C44" t="s">
        <v>27</v>
      </c>
    </row>
    <row r="45" spans="2:3" ht="12.75">
      <c r="B45">
        <f>20*LOG(B44,10)</f>
        <v>-0.7675870177091197</v>
      </c>
      <c r="C45" t="s">
        <v>28</v>
      </c>
    </row>
    <row r="48" spans="1:3" ht="12.75">
      <c r="A48" t="s">
        <v>45</v>
      </c>
      <c r="B48">
        <v>41417</v>
      </c>
      <c r="C48" t="s">
        <v>29</v>
      </c>
    </row>
    <row r="50" spans="2:3" ht="12.75">
      <c r="B50">
        <f>(B48/65536)</f>
        <v>0.6319732666015625</v>
      </c>
      <c r="C50" t="s">
        <v>30</v>
      </c>
    </row>
    <row r="51" spans="2:3" ht="12.75">
      <c r="B51">
        <f>20*LOG(B50,10)</f>
        <v>-3.9860258524847056</v>
      </c>
      <c r="C51" t="s">
        <v>31</v>
      </c>
    </row>
    <row r="54" spans="1:3" ht="12.75">
      <c r="A54" t="s">
        <v>45</v>
      </c>
      <c r="B54">
        <v>134782</v>
      </c>
      <c r="C54" t="s">
        <v>49</v>
      </c>
    </row>
    <row r="55" spans="1:3" ht="12.75">
      <c r="A55" t="s">
        <v>45</v>
      </c>
      <c r="B55">
        <v>1</v>
      </c>
      <c r="C55" t="s">
        <v>32</v>
      </c>
    </row>
    <row r="56" spans="2:3" ht="12.75">
      <c r="B56">
        <f>IF(B55=1,1,(B54/65536))</f>
        <v>1</v>
      </c>
      <c r="C56" t="s">
        <v>33</v>
      </c>
    </row>
    <row r="57" spans="2:3" ht="12.75">
      <c r="B57">
        <f>20*LOG(B56,10)</f>
        <v>0</v>
      </c>
      <c r="C57" t="s">
        <v>34</v>
      </c>
    </row>
    <row r="59" ht="12.75">
      <c r="C59" t="s">
        <v>35</v>
      </c>
    </row>
    <row r="60" ht="12.75">
      <c r="C60" t="s">
        <v>37</v>
      </c>
    </row>
    <row r="61" spans="2:3" ht="12.75">
      <c r="B61">
        <v>1</v>
      </c>
      <c r="C61" t="s">
        <v>35</v>
      </c>
    </row>
    <row r="62" spans="2:3" ht="12.75">
      <c r="B62">
        <f>20*LOG(B61,10)</f>
        <v>0</v>
      </c>
      <c r="C62" t="s">
        <v>38</v>
      </c>
    </row>
    <row r="64" ht="12.75">
      <c r="C64" t="s">
        <v>42</v>
      </c>
    </row>
    <row r="65" spans="2:3" ht="12.75">
      <c r="B65">
        <f>B32+(B37*6)+B45+B51+B57+B62</f>
        <v>-4.753612870193825</v>
      </c>
      <c r="C65" t="s">
        <v>40</v>
      </c>
    </row>
    <row r="67" ht="12.75">
      <c r="C67" t="s">
        <v>47</v>
      </c>
    </row>
    <row r="68" ht="12.75">
      <c r="B68">
        <f>(B8-B65)</f>
        <v>4.753612870193825</v>
      </c>
    </row>
    <row r="70" spans="2:3" ht="12.75">
      <c r="B70">
        <f>POWER(10,(B68/20))</f>
        <v>1.7285448141197917</v>
      </c>
      <c r="C70" t="s">
        <v>39</v>
      </c>
    </row>
    <row r="72" spans="3:7" ht="12.75">
      <c r="C72" t="s">
        <v>50</v>
      </c>
      <c r="F72">
        <f>INT((1024*B70)+0.5)</f>
        <v>1770</v>
      </c>
      <c r="G72" t="s">
        <v>51</v>
      </c>
    </row>
    <row r="73" spans="2:3" ht="12.75">
      <c r="B73">
        <f>(20*LOG((F72/1024)))</f>
        <v>4.753466194439894</v>
      </c>
      <c r="C73" t="s">
        <v>41</v>
      </c>
    </row>
    <row r="75" spans="2:3" ht="12.75">
      <c r="B75">
        <f>(B65+B73)</f>
        <v>-0.00014667575393101373</v>
      </c>
      <c r="C75" t="s">
        <v>48</v>
      </c>
    </row>
    <row r="77" spans="2:3" ht="12.75">
      <c r="B77">
        <f>(B8-B75)</f>
        <v>0.00014667575393101373</v>
      </c>
      <c r="C77" t="s">
        <v>43</v>
      </c>
    </row>
    <row r="80" ht="12.75">
      <c r="B80" t="s">
        <v>54</v>
      </c>
    </row>
    <row r="82" spans="2:3" ht="12.75">
      <c r="B82" t="s">
        <v>55</v>
      </c>
      <c r="C82" s="2">
        <v>100000000</v>
      </c>
    </row>
    <row r="83" spans="2:3" ht="12.75">
      <c r="B83" t="s">
        <v>56</v>
      </c>
      <c r="C83" s="2">
        <v>15000000</v>
      </c>
    </row>
    <row r="85" spans="2:3" ht="12.75">
      <c r="B85" t="s">
        <v>57</v>
      </c>
      <c r="C85" t="str">
        <f>DEC2HEX(ROUND(C83/C82*POWER(2,32),0),8)</f>
        <v>26666666</v>
      </c>
    </row>
  </sheetData>
  <printOptions gridLines="1"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graychip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Quintal</dc:creator>
  <cp:keywords/>
  <dc:description/>
  <cp:lastModifiedBy>TI User</cp:lastModifiedBy>
  <cp:lastPrinted>2002-08-14T18:45:30Z</cp:lastPrinted>
  <dcterms:created xsi:type="dcterms:W3CDTF">2001-06-19T22:05:57Z</dcterms:created>
  <dcterms:modified xsi:type="dcterms:W3CDTF">2009-04-30T19:19:58Z</dcterms:modified>
  <cp:category/>
  <cp:version/>
  <cp:contentType/>
  <cp:contentStatus/>
</cp:coreProperties>
</file>