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48" windowWidth="19140" windowHeight="7428" tabRatio="692"/>
  </bookViews>
  <sheets>
    <sheet name="Example Chirp&amp;RadarEquation" sheetId="5" r:id="rId1"/>
  </sheets>
  <calcPr calcId="145621"/>
</workbook>
</file>

<file path=xl/calcChain.xml><?xml version="1.0" encoding="utf-8"?>
<calcChain xmlns="http://schemas.openxmlformats.org/spreadsheetml/2006/main">
  <c r="L20" i="5" l="1"/>
  <c r="L22" i="5" s="1"/>
  <c r="J20" i="5"/>
  <c r="J22" i="5" s="1"/>
  <c r="J36" i="5" l="1"/>
  <c r="J9" i="5" l="1"/>
  <c r="J11" i="5" s="1"/>
  <c r="J25" i="5"/>
  <c r="J27" i="5"/>
  <c r="J28" i="5" s="1"/>
  <c r="J32" i="5"/>
  <c r="J33" i="5" l="1"/>
  <c r="K33" i="5" s="1"/>
  <c r="O32" i="5"/>
  <c r="O33" i="5" s="1"/>
  <c r="P33" i="5" s="1"/>
  <c r="J16" i="5"/>
  <c r="J18" i="5" s="1"/>
  <c r="J15" i="5"/>
  <c r="J30" i="5" s="1"/>
  <c r="J13" i="5"/>
  <c r="C22" i="5"/>
  <c r="C17" i="5"/>
  <c r="C20" i="5" s="1"/>
  <c r="C14" i="5"/>
  <c r="C13" i="5"/>
  <c r="H9" i="5"/>
  <c r="H10" i="5" s="1"/>
  <c r="J37" i="5" l="1"/>
  <c r="J12" i="5"/>
  <c r="J14" i="5"/>
  <c r="C23" i="5"/>
  <c r="C24" i="5" s="1"/>
</calcChain>
</file>

<file path=xl/sharedStrings.xml><?xml version="1.0" encoding="utf-8"?>
<sst xmlns="http://schemas.openxmlformats.org/spreadsheetml/2006/main" count="111" uniqueCount="99">
  <si>
    <t>TxPower</t>
  </si>
  <si>
    <t>dBm</t>
  </si>
  <si>
    <t>dB</t>
  </si>
  <si>
    <t>IntegrationTime</t>
  </si>
  <si>
    <t>ms</t>
  </si>
  <si>
    <t>Required SNR for detection</t>
  </si>
  <si>
    <t>K(Boltzaman Constant)</t>
  </si>
  <si>
    <t>Ant temp</t>
  </si>
  <si>
    <t>Noise Figure</t>
  </si>
  <si>
    <t>Total Noise</t>
  </si>
  <si>
    <t>MaxRangedB4</t>
  </si>
  <si>
    <t>Const</t>
  </si>
  <si>
    <t>lambda</t>
  </si>
  <si>
    <t>MaxRange=</t>
  </si>
  <si>
    <t>m2</t>
  </si>
  <si>
    <t>SNRdB</t>
  </si>
  <si>
    <t>range resolution</t>
  </si>
  <si>
    <t>m</t>
  </si>
  <si>
    <t>standard deviation of range estimate</t>
  </si>
  <si>
    <t>SNR to Range Resolution Converter</t>
  </si>
  <si>
    <t>number of TX antennas</t>
  </si>
  <si>
    <t>number of RX antennas</t>
  </si>
  <si>
    <t>per element tx antenna gain</t>
  </si>
  <si>
    <t>per element rx antenna gain</t>
  </si>
  <si>
    <t>total tx ant gain</t>
  </si>
  <si>
    <t>total rx ant gain</t>
  </si>
  <si>
    <t>dBW</t>
  </si>
  <si>
    <t>TX routing loss</t>
  </si>
  <si>
    <t>RX routing loss</t>
  </si>
  <si>
    <t>RCS  (10=&gt;car, 1.99 motor cycle)</t>
  </si>
  <si>
    <t>Units</t>
  </si>
  <si>
    <t>Params</t>
  </si>
  <si>
    <t>Board</t>
  </si>
  <si>
    <t>Complex 1x mode</t>
  </si>
  <si>
    <t>DFE Outrate (ksps)</t>
  </si>
  <si>
    <t>SynthSlope (Mhz/us)</t>
  </si>
  <si>
    <t>ADCStartTime(us)</t>
  </si>
  <si>
    <t>Excess RampTime(us)</t>
  </si>
  <si>
    <t>IdleTime(us)</t>
  </si>
  <si>
    <t>numADCSamp</t>
  </si>
  <si>
    <t>ADCSampletime(us)</t>
  </si>
  <si>
    <t>RF Start Freq (Ghz)</t>
  </si>
  <si>
    <t>RF End Freq (Ghz)</t>
  </si>
  <si>
    <t>chirp period (us)</t>
  </si>
  <si>
    <t>frame time (us)</t>
  </si>
  <si>
    <t>Fdiff (Mhz)</t>
  </si>
  <si>
    <t>c0 (m/sec)</t>
  </si>
  <si>
    <t>2*transit_time</t>
  </si>
  <si>
    <t>distance (m)</t>
  </si>
  <si>
    <t>det freq</t>
  </si>
  <si>
    <t>rangeresolution</t>
  </si>
  <si>
    <t>minfreq</t>
  </si>
  <si>
    <t>maxfreq</t>
  </si>
  <si>
    <t>maxdist (m)</t>
  </si>
  <si>
    <t>mindist (m)</t>
  </si>
  <si>
    <t>noncoherentcomb gain (db)</t>
  </si>
  <si>
    <t>numFFTbins</t>
  </si>
  <si>
    <t>FFTbin/deltafreq</t>
  </si>
  <si>
    <t>numchirps/frame</t>
  </si>
  <si>
    <t>needed integration time</t>
  </si>
  <si>
    <t>for max range</t>
  </si>
  <si>
    <t>activetime/frame (us)</t>
  </si>
  <si>
    <t>combination of C7,C8,C15, C24, Row28 for max range</t>
  </si>
  <si>
    <t>adjusted for RF ontime and numframes to avg</t>
  </si>
  <si>
    <t>Rx gain improvement with non coherent combine C8, row15</t>
  </si>
  <si>
    <t>RampEndtime (us)</t>
  </si>
  <si>
    <t>includes Synth active time trying to use full range if possible</t>
  </si>
  <si>
    <t>yes</t>
  </si>
  <si>
    <t>Enter the green parameters for the FMCW system</t>
  </si>
  <si>
    <t>Enter the blue parameters for the chirp/profile configuration</t>
  </si>
  <si>
    <t>zoom factor</t>
  </si>
  <si>
    <t>RangeMax (m)</t>
  </si>
  <si>
    <t>m/bin</t>
  </si>
  <si>
    <t>notes:</t>
  </si>
  <si>
    <t>set C2 for desired RCS</t>
  </si>
  <si>
    <t>set C3 for detection SNR</t>
  </si>
  <si>
    <t>set C7,C8 for number antennas, Tx MIMO is 1 Tx</t>
  </si>
  <si>
    <t>set C9,C10 from Antenna measurement dbi</t>
  </si>
  <si>
    <t>C11,C12 are board losses requires EM simulation</t>
  </si>
  <si>
    <t>Set C15 for Max Range in C24</t>
  </si>
  <si>
    <t>Set max range J1 should be &lt; C24</t>
  </si>
  <si>
    <t>1243, IWR1443 &lt;= 18.75e6</t>
  </si>
  <si>
    <t>AWR1443, 1642 &lt;= 6.25e6</t>
  </si>
  <si>
    <t>Set DFE Out rate J3 per part</t>
  </si>
  <si>
    <t>ADCStartTime - is related to DFE out rate - swra553</t>
  </si>
  <si>
    <t>Set SynthSlope, based on desired Range Resolution J18</t>
  </si>
  <si>
    <t>Idle time J7 is adjusted per SynthSlope - swra553</t>
  </si>
  <si>
    <t>numADCsamples - is adjusted for a fixed example &lt;=1024, RF End Frequency is &lt; end Freq 81Ghz</t>
  </si>
  <si>
    <t>For range,  max freq, maxdist are computed J24, J25</t>
  </si>
  <si>
    <t>you can enter a distance, and get the corresponding IF frequency J21, L21</t>
  </si>
  <si>
    <t>the number of chirps per frame is calculated based on needed integration time J15</t>
  </si>
  <si>
    <t>if High Accuracy lab, the zoom factor for 1D FFT is N33, based on next larger power of 2 FFT size from numADCsamp (J32, O32</t>
  </si>
  <si>
    <t>this is not setup to explain velocity or phase</t>
  </si>
  <si>
    <t>you need number of chirps for velocity bins</t>
  </si>
  <si>
    <t>swra553</t>
  </si>
  <si>
    <t>EVM ant</t>
  </si>
  <si>
    <t>EVM RF</t>
  </si>
  <si>
    <t>customer use case</t>
  </si>
  <si>
    <t>use the Sensing Estimator for more Integrated System calculation, this is an example of simpler calculates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</si>
</sst>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0"/>
      <color rgb="FF21212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11" fontId="0" fillId="0" borderId="0" xfId="0" applyNumberFormat="1"/>
    <xf numFmtId="0" fontId="0" fillId="2" borderId="0" xfId="0" applyFill="1"/>
    <xf numFmtId="0" fontId="1" fillId="0" borderId="0" xfId="0" applyFont="1"/>
    <xf numFmtId="0" fontId="0" fillId="0" borderId="0" xfId="0" applyFill="1"/>
    <xf numFmtId="0" fontId="0" fillId="3" borderId="0" xfId="0" applyFill="1"/>
    <xf numFmtId="0" fontId="0" fillId="2" borderId="0" xfId="0" applyFont="1" applyFill="1"/>
    <xf numFmtId="11" fontId="0" fillId="2" borderId="0" xfId="0" applyNumberFormat="1" applyFill="1"/>
    <xf numFmtId="0" fontId="1" fillId="3" borderId="0" xfId="0" applyFont="1" applyFill="1" applyAlignment="1">
      <alignment wrapText="1"/>
    </xf>
    <xf numFmtId="0" fontId="1" fillId="3" borderId="0" xfId="0" applyFont="1" applyFill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164" fontId="0" fillId="0" borderId="0" xfId="0" applyNumberFormat="1" applyFill="1"/>
    <xf numFmtId="11" fontId="0" fillId="0" borderId="0" xfId="0" applyNumberFormat="1" applyFill="1"/>
    <xf numFmtId="2" fontId="0" fillId="0" borderId="0" xfId="0" applyNumberFormat="1" applyFill="1"/>
    <xf numFmtId="165" fontId="0" fillId="0" borderId="0" xfId="0" applyNumberFormat="1"/>
    <xf numFmtId="0" fontId="0" fillId="4" borderId="0" xfId="0" applyFill="1"/>
    <xf numFmtId="0" fontId="0" fillId="5" borderId="0" xfId="0" applyFill="1"/>
    <xf numFmtId="11" fontId="0" fillId="4" borderId="0" xfId="0" applyNumberFormat="1" applyFill="1"/>
    <xf numFmtId="0" fontId="0" fillId="6" borderId="0" xfId="0" applyFill="1"/>
    <xf numFmtId="0" fontId="0" fillId="7" borderId="0" xfId="0" applyFill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CC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7"/>
  <sheetViews>
    <sheetView tabSelected="1" workbookViewId="0">
      <selection activeCell="Q2" sqref="Q2"/>
    </sheetView>
  </sheetViews>
  <sheetFormatPr defaultRowHeight="14.4" x14ac:dyDescent="0.3"/>
  <cols>
    <col min="1" max="1" width="35.109375" customWidth="1"/>
    <col min="3" max="3" width="13.33203125" customWidth="1"/>
    <col min="6" max="6" width="17.44140625" hidden="1" customWidth="1"/>
    <col min="7" max="8" width="8.88671875" hidden="1" customWidth="1"/>
    <col min="9" max="9" width="14.44140625" customWidth="1"/>
    <col min="10" max="10" width="12" bestFit="1" customWidth="1"/>
    <col min="12" max="12" width="12" bestFit="1" customWidth="1"/>
  </cols>
  <sheetData>
    <row r="1" spans="1:18" ht="18" x14ac:dyDescent="0.35">
      <c r="A1" s="12" t="s">
        <v>31</v>
      </c>
      <c r="B1" s="12" t="s">
        <v>30</v>
      </c>
      <c r="C1" s="11" t="s">
        <v>32</v>
      </c>
      <c r="E1" t="s">
        <v>71</v>
      </c>
      <c r="J1" s="18">
        <v>20</v>
      </c>
      <c r="Q1" t="s">
        <v>98</v>
      </c>
    </row>
    <row r="2" spans="1:18" x14ac:dyDescent="0.3">
      <c r="A2" t="s">
        <v>29</v>
      </c>
      <c r="B2" t="s">
        <v>14</v>
      </c>
      <c r="C2" s="2">
        <v>0.5</v>
      </c>
      <c r="D2" s="19" t="s">
        <v>97</v>
      </c>
      <c r="E2" t="s">
        <v>33</v>
      </c>
      <c r="F2" s="2"/>
      <c r="G2" s="2"/>
      <c r="H2" s="2"/>
      <c r="J2" s="18" t="s">
        <v>67</v>
      </c>
      <c r="Q2" t="s">
        <v>73</v>
      </c>
    </row>
    <row r="3" spans="1:18" x14ac:dyDescent="0.3">
      <c r="A3" t="s">
        <v>5</v>
      </c>
      <c r="B3" t="s">
        <v>2</v>
      </c>
      <c r="C3" s="2">
        <v>16</v>
      </c>
      <c r="D3" s="22" t="s">
        <v>97</v>
      </c>
      <c r="E3" t="s">
        <v>34</v>
      </c>
      <c r="J3" s="20">
        <v>6250</v>
      </c>
      <c r="Q3" t="s">
        <v>74</v>
      </c>
    </row>
    <row r="4" spans="1:18" x14ac:dyDescent="0.3">
      <c r="A4" t="s">
        <v>8</v>
      </c>
      <c r="B4" t="s">
        <v>2</v>
      </c>
      <c r="C4" s="2">
        <v>15</v>
      </c>
      <c r="E4" t="s">
        <v>35</v>
      </c>
      <c r="J4" s="18">
        <v>40</v>
      </c>
      <c r="Q4" t="s">
        <v>75</v>
      </c>
    </row>
    <row r="5" spans="1:18" x14ac:dyDescent="0.3">
      <c r="A5" t="s">
        <v>0</v>
      </c>
      <c r="B5" t="s">
        <v>1</v>
      </c>
      <c r="C5" s="2">
        <v>10</v>
      </c>
      <c r="D5" s="21"/>
      <c r="E5" t="s">
        <v>36</v>
      </c>
      <c r="J5" s="18">
        <v>7</v>
      </c>
      <c r="L5" t="s">
        <v>94</v>
      </c>
      <c r="Q5" t="s">
        <v>76</v>
      </c>
    </row>
    <row r="6" spans="1:18" x14ac:dyDescent="0.3">
      <c r="C6" s="2"/>
      <c r="E6" t="s">
        <v>37</v>
      </c>
      <c r="F6" s="10" t="s">
        <v>19</v>
      </c>
      <c r="G6" s="10"/>
      <c r="H6" s="10"/>
      <c r="J6" s="18">
        <v>1</v>
      </c>
      <c r="Q6" t="s">
        <v>77</v>
      </c>
    </row>
    <row r="7" spans="1:18" x14ac:dyDescent="0.3">
      <c r="A7" t="s">
        <v>20</v>
      </c>
      <c r="C7" s="2">
        <v>1</v>
      </c>
      <c r="E7" t="s">
        <v>38</v>
      </c>
      <c r="F7" s="5"/>
      <c r="G7" s="5"/>
      <c r="H7" s="5"/>
      <c r="I7" s="4"/>
      <c r="J7" s="18">
        <v>7</v>
      </c>
      <c r="L7" t="s">
        <v>94</v>
      </c>
      <c r="Q7" t="s">
        <v>78</v>
      </c>
    </row>
    <row r="8" spans="1:18" x14ac:dyDescent="0.3">
      <c r="A8" t="s">
        <v>21</v>
      </c>
      <c r="C8" s="2">
        <v>1</v>
      </c>
      <c r="E8" t="s">
        <v>39</v>
      </c>
      <c r="F8" s="5" t="s">
        <v>15</v>
      </c>
      <c r="G8" s="5" t="s">
        <v>2</v>
      </c>
      <c r="H8" s="6">
        <v>18</v>
      </c>
      <c r="I8" s="4"/>
      <c r="J8" s="18">
        <v>512</v>
      </c>
      <c r="Q8" t="s">
        <v>79</v>
      </c>
    </row>
    <row r="9" spans="1:18" x14ac:dyDescent="0.3">
      <c r="A9" t="s">
        <v>22</v>
      </c>
      <c r="B9" t="s">
        <v>2</v>
      </c>
      <c r="C9" s="2">
        <v>9</v>
      </c>
      <c r="D9" s="19" t="s">
        <v>95</v>
      </c>
      <c r="E9" t="s">
        <v>40</v>
      </c>
      <c r="F9" s="5" t="s">
        <v>16</v>
      </c>
      <c r="G9" s="5" t="s">
        <v>17</v>
      </c>
      <c r="H9" s="7">
        <f>0.04</f>
        <v>0.04</v>
      </c>
      <c r="I9" s="4"/>
      <c r="J9" s="16">
        <f>J8*10^6/(J3*10^3)</f>
        <v>81.92</v>
      </c>
    </row>
    <row r="10" spans="1:18" ht="28.8" x14ac:dyDescent="0.3">
      <c r="A10" t="s">
        <v>23</v>
      </c>
      <c r="B10" t="s">
        <v>2</v>
      </c>
      <c r="C10" s="2">
        <v>9</v>
      </c>
      <c r="D10" s="19" t="s">
        <v>95</v>
      </c>
      <c r="E10" t="s">
        <v>41</v>
      </c>
      <c r="F10" s="8" t="s">
        <v>18</v>
      </c>
      <c r="G10" s="9" t="s">
        <v>17</v>
      </c>
      <c r="H10" s="9">
        <f>SQRT(6)*H9/(2*PI()*POWER(10,H8/20))</f>
        <v>1.9631602331354006E-3</v>
      </c>
      <c r="I10" s="4"/>
      <c r="J10" s="18">
        <v>77</v>
      </c>
      <c r="Q10" t="s">
        <v>80</v>
      </c>
    </row>
    <row r="11" spans="1:18" x14ac:dyDescent="0.3">
      <c r="A11" t="s">
        <v>27</v>
      </c>
      <c r="C11" s="2">
        <v>2</v>
      </c>
      <c r="D11" s="19" t="s">
        <v>96</v>
      </c>
      <c r="E11" t="s">
        <v>42</v>
      </c>
      <c r="F11" s="4"/>
      <c r="G11" s="4"/>
      <c r="H11" s="4"/>
      <c r="I11" s="4"/>
      <c r="J11" s="4">
        <f>(J9+J6+J5)*J4/10^3+J10</f>
        <v>80.596800000000002</v>
      </c>
      <c r="K11" t="s">
        <v>66</v>
      </c>
      <c r="Q11" t="s">
        <v>83</v>
      </c>
    </row>
    <row r="12" spans="1:18" x14ac:dyDescent="0.3">
      <c r="A12" t="s">
        <v>28</v>
      </c>
      <c r="C12" s="2">
        <v>2</v>
      </c>
      <c r="D12" s="19" t="s">
        <v>96</v>
      </c>
      <c r="E12" t="s">
        <v>65</v>
      </c>
      <c r="F12" s="4"/>
      <c r="G12" s="4"/>
      <c r="H12" s="4"/>
      <c r="I12" s="4"/>
      <c r="J12" s="16">
        <f>J13-J7</f>
        <v>89.92</v>
      </c>
      <c r="R12" t="s">
        <v>81</v>
      </c>
    </row>
    <row r="13" spans="1:18" x14ac:dyDescent="0.3">
      <c r="A13" t="s">
        <v>24</v>
      </c>
      <c r="B13" t="s">
        <v>2</v>
      </c>
      <c r="C13" s="4">
        <f>C9-C11+20*LOG10(C7)</f>
        <v>7</v>
      </c>
      <c r="E13" t="s">
        <v>43</v>
      </c>
      <c r="F13" s="4"/>
      <c r="G13" s="4"/>
      <c r="H13" s="4"/>
      <c r="I13" s="4"/>
      <c r="J13" s="16">
        <f>(J5+J9+J6+J7)</f>
        <v>96.92</v>
      </c>
      <c r="R13" t="s">
        <v>82</v>
      </c>
    </row>
    <row r="14" spans="1:18" x14ac:dyDescent="0.3">
      <c r="A14" t="s">
        <v>25</v>
      </c>
      <c r="B14" t="s">
        <v>2</v>
      </c>
      <c r="C14" s="4">
        <f>C10-C12+10*LOG10(C8)</f>
        <v>7</v>
      </c>
      <c r="E14" t="s">
        <v>44</v>
      </c>
      <c r="F14" s="4"/>
      <c r="G14" s="4"/>
      <c r="H14" s="4"/>
      <c r="I14" s="4"/>
      <c r="J14" s="4">
        <f>J13*J15</f>
        <v>1066.1200000000001</v>
      </c>
    </row>
    <row r="15" spans="1:18" x14ac:dyDescent="0.3">
      <c r="A15" t="s">
        <v>3</v>
      </c>
      <c r="B15" t="s">
        <v>4</v>
      </c>
      <c r="C15" s="2">
        <v>0.85</v>
      </c>
      <c r="E15" t="s">
        <v>58</v>
      </c>
      <c r="F15" s="4"/>
      <c r="G15" s="4"/>
      <c r="H15" s="4"/>
      <c r="I15" s="4"/>
      <c r="J15">
        <f>CEILING(J36/(J9*10^-6),1)</f>
        <v>11</v>
      </c>
      <c r="K15" t="s">
        <v>63</v>
      </c>
      <c r="Q15" t="s">
        <v>84</v>
      </c>
    </row>
    <row r="16" spans="1:18" x14ac:dyDescent="0.3">
      <c r="E16" t="s">
        <v>45</v>
      </c>
      <c r="F16" s="4"/>
      <c r="G16" s="4"/>
      <c r="H16" s="4"/>
      <c r="I16" s="4"/>
      <c r="J16" s="4">
        <f>J4*(J9+J6+J5)</f>
        <v>3596.8</v>
      </c>
      <c r="Q16" t="s">
        <v>85</v>
      </c>
    </row>
    <row r="17" spans="1:18" x14ac:dyDescent="0.3">
      <c r="A17" t="s">
        <v>12</v>
      </c>
      <c r="C17">
        <f>300000000/77000000000</f>
        <v>3.8961038961038961E-3</v>
      </c>
      <c r="E17" t="s">
        <v>46</v>
      </c>
      <c r="F17" s="4"/>
      <c r="G17" s="4"/>
      <c r="H17" s="4"/>
      <c r="I17" s="4"/>
      <c r="J17" s="13">
        <v>299792458</v>
      </c>
      <c r="Q17" t="s">
        <v>86</v>
      </c>
    </row>
    <row r="18" spans="1:18" x14ac:dyDescent="0.3">
      <c r="A18" t="s">
        <v>6</v>
      </c>
      <c r="B18" s="1"/>
      <c r="C18" s="1">
        <v>1.38065E-23</v>
      </c>
      <c r="E18" t="s">
        <v>50</v>
      </c>
      <c r="F18" s="4"/>
      <c r="G18" s="4"/>
      <c r="H18" s="4"/>
      <c r="I18" s="4"/>
      <c r="J18" s="14">
        <f>J17/(J16*10^6*2)</f>
        <v>4.1674885731761563E-2</v>
      </c>
    </row>
    <row r="19" spans="1:18" x14ac:dyDescent="0.3">
      <c r="A19" t="s">
        <v>7</v>
      </c>
      <c r="C19">
        <v>290</v>
      </c>
      <c r="F19" s="4"/>
      <c r="G19" s="4"/>
      <c r="H19" s="4"/>
      <c r="I19" s="4"/>
      <c r="J19" s="4"/>
      <c r="Q19" t="s">
        <v>87</v>
      </c>
    </row>
    <row r="20" spans="1:18" x14ac:dyDescent="0.3">
      <c r="A20" t="s">
        <v>11</v>
      </c>
      <c r="C20">
        <f>10*LOG10(C17*C17/(POWER(4*PI(),3)))</f>
        <v>-81.163685329719272</v>
      </c>
      <c r="E20" t="s">
        <v>47</v>
      </c>
      <c r="F20" s="4"/>
      <c r="G20" s="4"/>
      <c r="H20" s="4"/>
      <c r="I20" s="4"/>
      <c r="J20" s="4">
        <f>$J$21*2/$J$17</f>
        <v>6.6712819039630409E-9</v>
      </c>
      <c r="L20" s="4">
        <f>$L$21*2/$J$17</f>
        <v>1.3342563807926082E-7</v>
      </c>
    </row>
    <row r="21" spans="1:18" x14ac:dyDescent="0.3">
      <c r="E21" t="s">
        <v>48</v>
      </c>
      <c r="F21" s="4"/>
      <c r="G21" s="4"/>
      <c r="H21" s="4"/>
      <c r="I21" s="4"/>
      <c r="J21" s="18">
        <v>1</v>
      </c>
      <c r="L21" s="18">
        <v>20</v>
      </c>
      <c r="Q21" t="s">
        <v>88</v>
      </c>
    </row>
    <row r="22" spans="1:18" x14ac:dyDescent="0.3">
      <c r="A22" t="s">
        <v>9</v>
      </c>
      <c r="B22" t="s">
        <v>26</v>
      </c>
      <c r="C22" s="1">
        <f>10*LOG10(C18*C19*1000/C15)+C4</f>
        <v>-158.26937330579003</v>
      </c>
      <c r="E22" t="s">
        <v>49</v>
      </c>
      <c r="F22" s="4"/>
      <c r="G22" s="4"/>
      <c r="H22" s="4"/>
      <c r="I22" s="4"/>
      <c r="J22" s="15">
        <f>$J$20*$J$4*10^12</f>
        <v>266851.27615852165</v>
      </c>
      <c r="L22" s="15">
        <f>$L$20*$J$4*10^12</f>
        <v>5337025.523170433</v>
      </c>
      <c r="Q22" t="s">
        <v>89</v>
      </c>
    </row>
    <row r="23" spans="1:18" x14ac:dyDescent="0.3">
      <c r="A23" t="s">
        <v>10</v>
      </c>
      <c r="C23" s="1">
        <f>10*LOG10(C2)+C5-30-C6+C13+C14+C20-C22-C3</f>
        <v>52.095388019430942</v>
      </c>
      <c r="F23" s="4"/>
      <c r="G23" s="4"/>
      <c r="H23" s="4"/>
      <c r="I23" s="4"/>
      <c r="J23" s="4"/>
    </row>
    <row r="24" spans="1:18" x14ac:dyDescent="0.3">
      <c r="A24" s="3" t="s">
        <v>13</v>
      </c>
      <c r="B24" s="3"/>
      <c r="C24" s="3">
        <f>POWER(10,(C23/40))</f>
        <v>20.062483865579939</v>
      </c>
      <c r="E24" t="s">
        <v>51</v>
      </c>
      <c r="F24" s="4"/>
      <c r="G24" s="4"/>
      <c r="H24" s="4"/>
      <c r="I24" s="4"/>
      <c r="J24" s="15">
        <v>200000</v>
      </c>
      <c r="Q24" t="s">
        <v>90</v>
      </c>
    </row>
    <row r="25" spans="1:18" x14ac:dyDescent="0.3">
      <c r="A25" s="3"/>
      <c r="B25" s="3"/>
      <c r="C25" s="3"/>
      <c r="E25" t="s">
        <v>54</v>
      </c>
      <c r="I25" s="4"/>
      <c r="J25" s="16">
        <f>(J24/(J$4*10^12)/2)*J$17</f>
        <v>0.74948114500000007</v>
      </c>
    </row>
    <row r="26" spans="1:18" x14ac:dyDescent="0.3">
      <c r="A26" s="3"/>
      <c r="B26" s="3"/>
      <c r="C26" s="3"/>
      <c r="I26" s="4"/>
      <c r="J26" s="4"/>
      <c r="Q26" t="s">
        <v>91</v>
      </c>
    </row>
    <row r="27" spans="1:18" x14ac:dyDescent="0.3">
      <c r="A27" s="3" t="s">
        <v>68</v>
      </c>
      <c r="E27" t="s">
        <v>52</v>
      </c>
      <c r="I27" s="4"/>
      <c r="J27" s="4">
        <f>0.9*J3*10^3</f>
        <v>5625000</v>
      </c>
    </row>
    <row r="28" spans="1:18" x14ac:dyDescent="0.3">
      <c r="A28" s="3" t="s">
        <v>69</v>
      </c>
      <c r="E28" t="s">
        <v>53</v>
      </c>
      <c r="I28" s="4"/>
      <c r="J28" s="16">
        <f>(J27/(J$4*10^12)/2)*J$17</f>
        <v>21.079157203125</v>
      </c>
      <c r="Q28" t="s">
        <v>92</v>
      </c>
    </row>
    <row r="29" spans="1:18" x14ac:dyDescent="0.3">
      <c r="I29" s="4"/>
      <c r="J29" s="16"/>
      <c r="R29" t="s">
        <v>93</v>
      </c>
    </row>
    <row r="30" spans="1:18" x14ac:dyDescent="0.3">
      <c r="E30" t="s">
        <v>55</v>
      </c>
      <c r="J30" s="17">
        <f>LOG(J15*$C$8,10)*6</f>
        <v>6.2483561109493495</v>
      </c>
      <c r="K30" t="s">
        <v>64</v>
      </c>
    </row>
    <row r="31" spans="1:18" x14ac:dyDescent="0.3">
      <c r="J31" s="4"/>
    </row>
    <row r="32" spans="1:18" x14ac:dyDescent="0.3">
      <c r="E32" t="s">
        <v>56</v>
      </c>
      <c r="J32">
        <f>2^CEILING(LOG(J8,2),1)</f>
        <v>512</v>
      </c>
      <c r="M32" t="s">
        <v>70</v>
      </c>
      <c r="N32">
        <v>16</v>
      </c>
      <c r="O32">
        <f>J32*N32</f>
        <v>8192</v>
      </c>
    </row>
    <row r="33" spans="5:17" x14ac:dyDescent="0.3">
      <c r="E33" t="s">
        <v>57</v>
      </c>
      <c r="J33" s="1">
        <f>$J$3*10^3/J32</f>
        <v>12207.03125</v>
      </c>
      <c r="K33" s="16">
        <f>(J33/(J$4*10^12)/2)*J$17</f>
        <v>4.5744698791503911E-2</v>
      </c>
      <c r="L33" t="s">
        <v>72</v>
      </c>
      <c r="O33" s="1">
        <f>$J$3*10^3/O32</f>
        <v>762.939453125</v>
      </c>
      <c r="P33" s="14">
        <f>(O33/(J$4*10^12)/2)*J$17</f>
        <v>2.8590436744689945E-3</v>
      </c>
      <c r="Q33" t="s">
        <v>72</v>
      </c>
    </row>
    <row r="35" spans="5:17" x14ac:dyDescent="0.3">
      <c r="E35" t="s">
        <v>59</v>
      </c>
    </row>
    <row r="36" spans="5:17" x14ac:dyDescent="0.3">
      <c r="E36" t="s">
        <v>60</v>
      </c>
      <c r="J36" s="1">
        <f>C15*10^-3</f>
        <v>8.4999999999999995E-4</v>
      </c>
      <c r="K36" t="s">
        <v>62</v>
      </c>
    </row>
    <row r="37" spans="5:17" x14ac:dyDescent="0.3">
      <c r="E37" t="s">
        <v>61</v>
      </c>
      <c r="J37">
        <f>J15*J9</f>
        <v>901.12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Example Chirp&amp;RadarEquation</vt:lpstr>
    </vt:vector>
  </TitlesOfParts>
  <Company>Texas Instruments Incorporated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Sandeep Rao</dc:creator>
  <cp:lastModifiedBy>Quintal, Joe</cp:lastModifiedBy>
  <dcterms:created xsi:type="dcterms:W3CDTF">2016-09-25T07:36:41Z</dcterms:created>
  <dcterms:modified xsi:type="dcterms:W3CDTF">2018-08-24T16:11:26Z</dcterms:modified>
</cp:coreProperties>
</file>