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showInkAnnotation="0" codeName="ThisWorkbook"/>
  <mc:AlternateContent xmlns:mc="http://schemas.openxmlformats.org/markup-compatibility/2006">
    <mc:Choice Requires="x15">
      <x15ac:absPath xmlns:x15ac="http://schemas.microsoft.com/office/spreadsheetml/2010/11/ac" url="C:\Users\Simon\Desktop\LDC_Tool_Spreadsheet_calculators\"/>
    </mc:Choice>
  </mc:AlternateContent>
  <bookViews>
    <workbookView xWindow="0" yWindow="0" windowWidth="23040" windowHeight="9192"/>
  </bookViews>
  <sheets>
    <sheet name="Spiral_Inductor_Designer" sheetId="2" r:id="rId1"/>
    <sheet name="Sheet1" sheetId="3" r:id="rId2"/>
  </sheets>
  <functionGroups builtInGroupCount="18"/>
  <definedNames>
    <definedName name="ac">#REF!</definedName>
    <definedName name="alphac">#REF!</definedName>
    <definedName name="alphar">#REF!</definedName>
    <definedName name="ar">#REF!</definedName>
    <definedName name="area">#REF!</definedName>
    <definedName name="boa">#REF!</definedName>
    <definedName name="br">#REF!</definedName>
    <definedName name="button_materials">#REF!</definedName>
    <definedName name="button_shapes">#REF!</definedName>
    <definedName name="CMAX">#REF!</definedName>
    <definedName name="CMIN">#REF!</definedName>
    <definedName name="E">#REF!</definedName>
    <definedName name="force_functions">#REF!</definedName>
    <definedName name="h">#REF!</definedName>
    <definedName name="Mega" localSheetId="0">#REF!</definedName>
    <definedName name="Mega">#REF!</definedName>
    <definedName name="micro">#REF!</definedName>
    <definedName name="N">#REF!</definedName>
    <definedName name="nu">#REF!</definedName>
    <definedName name="pico" localSheetId="0">#REF!</definedName>
    <definedName name="pico">#REF!</definedName>
    <definedName name="solver_adj" localSheetId="0" hidden="1">Spiral_Inductor_Designer!$D$24</definedName>
    <definedName name="solver_cvg" localSheetId="0" hidden="1">0.0001</definedName>
    <definedName name="solver_drv" localSheetId="0" hidden="1">1</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0</definedName>
    <definedName name="solver_nwt" localSheetId="0" hidden="1">1</definedName>
    <definedName name="solver_opt" localSheetId="0" hidden="1">Spiral_Inductor_Designer!$D$204</definedName>
    <definedName name="solver_pre" localSheetId="0" hidden="1">0.000001</definedName>
    <definedName name="solver_rbv" localSheetId="0" hidden="1">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1</definedName>
    <definedName name="solver_val" localSheetId="0" hidden="1">0</definedName>
    <definedName name="solver_ver" localSheetId="0" hidden="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3" l="1"/>
  <c r="E9" i="3" s="1"/>
  <c r="C38" i="3"/>
  <c r="C39" i="3" s="1"/>
  <c r="C40" i="3" s="1"/>
  <c r="C32" i="3"/>
  <c r="C33" i="3" s="1"/>
  <c r="C34" i="3" s="1"/>
  <c r="D267" i="2" l="1"/>
  <c r="D266" i="2"/>
  <c r="D265" i="2"/>
  <c r="D264" i="2"/>
  <c r="D258" i="2"/>
  <c r="D250" i="2"/>
  <c r="D239" i="2"/>
  <c r="D238" i="2"/>
  <c r="D237" i="2"/>
  <c r="C304" i="2"/>
  <c r="C303" i="2"/>
  <c r="D302" i="2"/>
  <c r="C302" i="2"/>
  <c r="D301" i="2"/>
  <c r="B301" i="2"/>
  <c r="D296" i="2"/>
  <c r="C296" i="2"/>
  <c r="B295" i="2"/>
  <c r="D295" i="2" s="1"/>
  <c r="B294" i="2"/>
  <c r="D294" i="2" s="1"/>
  <c r="E246" i="2" l="1"/>
  <c r="C246" i="2"/>
  <c r="B246" i="2"/>
  <c r="D236" i="2"/>
  <c r="D235" i="2"/>
  <c r="D234" i="2"/>
  <c r="C223" i="2"/>
  <c r="D223" i="2" s="1"/>
  <c r="D224" i="2" s="1"/>
  <c r="D74" i="2"/>
  <c r="D72" i="2"/>
  <c r="D91" i="2" s="1"/>
  <c r="D71" i="2"/>
  <c r="D63" i="2"/>
  <c r="C58" i="2"/>
  <c r="D58" i="2" s="1"/>
  <c r="D53" i="2"/>
  <c r="D263" i="2" s="1"/>
  <c r="C47" i="2"/>
  <c r="D47" i="2" s="1"/>
  <c r="D48" i="2" s="1"/>
  <c r="D262" i="2" s="1"/>
  <c r="E40" i="2"/>
  <c r="C37" i="2"/>
  <c r="D37" i="2" s="1"/>
  <c r="D38" i="2" s="1"/>
  <c r="D260" i="2" s="1"/>
  <c r="C34" i="2"/>
  <c r="D34" i="2" s="1"/>
  <c r="D35" i="2" s="1"/>
  <c r="D261" i="2" s="1"/>
  <c r="F29" i="2"/>
  <c r="E29" i="2"/>
  <c r="D30" i="2" s="1"/>
  <c r="D270" i="2" s="1"/>
  <c r="C26" i="2"/>
  <c r="D26" i="2" s="1"/>
  <c r="D27" i="2" s="1"/>
  <c r="D259" i="2" s="1"/>
  <c r="B25" i="2"/>
  <c r="D31" i="2" l="1"/>
  <c r="D32" i="2" s="1"/>
  <c r="D84" i="2"/>
  <c r="D82" i="2" s="1"/>
  <c r="D251" i="2"/>
  <c r="D225" i="2"/>
  <c r="D226" i="2" s="1"/>
  <c r="D227" i="2" s="1"/>
  <c r="D75" i="2"/>
  <c r="D83" i="2" s="1"/>
  <c r="D57" i="2"/>
  <c r="D269" i="2" s="1"/>
  <c r="D64" i="2"/>
  <c r="E41" i="2"/>
  <c r="D76" i="2"/>
  <c r="D54" i="2" l="1"/>
  <c r="D198" i="2"/>
  <c r="D199" i="2" s="1"/>
  <c r="D99" i="2"/>
  <c r="D137" i="2"/>
  <c r="D85" i="2"/>
  <c r="D252" i="2"/>
  <c r="D55" i="2"/>
  <c r="D136" i="2"/>
  <c r="D56" i="2"/>
  <c r="E42" i="2"/>
  <c r="D65" i="2"/>
  <c r="D129" i="2"/>
  <c r="D128" i="2"/>
  <c r="D59" i="2"/>
  <c r="D81" i="2" l="1"/>
  <c r="D106" i="2"/>
  <c r="D130" i="2"/>
  <c r="D138" i="2"/>
  <c r="D100" i="2"/>
  <c r="D86" i="2"/>
  <c r="D101" i="2" s="1"/>
  <c r="D253" i="2"/>
  <c r="D60" i="2"/>
  <c r="D73" i="2" s="1"/>
  <c r="D66" i="2"/>
  <c r="E43" i="2"/>
  <c r="D139" i="2" l="1"/>
  <c r="D107" i="2"/>
  <c r="D80" i="2"/>
  <c r="D112" i="2"/>
  <c r="D147" i="2"/>
  <c r="D108" i="2"/>
  <c r="D131" i="2"/>
  <c r="D146" i="2"/>
  <c r="D144" i="2"/>
  <c r="D145" i="2"/>
  <c r="D87" i="2"/>
  <c r="D102" i="2" s="1"/>
  <c r="D254" i="2"/>
  <c r="E44" i="2"/>
  <c r="D67" i="2"/>
  <c r="D140" i="2" l="1"/>
  <c r="D113" i="2"/>
  <c r="D148" i="2"/>
  <c r="D79" i="2"/>
  <c r="D117" i="2"/>
  <c r="D132" i="2"/>
  <c r="D153" i="2"/>
  <c r="D155" i="2"/>
  <c r="D156" i="2"/>
  <c r="D152" i="2"/>
  <c r="D154" i="2"/>
  <c r="D88" i="2"/>
  <c r="D255" i="2"/>
  <c r="D68" i="2"/>
  <c r="E45" i="2"/>
  <c r="D69" i="2" s="1"/>
  <c r="D118" i="2" l="1"/>
  <c r="D103" i="2"/>
  <c r="D157" i="2"/>
  <c r="D78" i="2"/>
  <c r="D121" i="2"/>
  <c r="D141" i="2"/>
  <c r="D149" i="2"/>
  <c r="D160" i="2"/>
  <c r="D164" i="2"/>
  <c r="D165" i="2"/>
  <c r="D162" i="2"/>
  <c r="D163" i="2"/>
  <c r="D161" i="2"/>
  <c r="D133" i="2"/>
  <c r="D114" i="2"/>
  <c r="D109" i="2"/>
  <c r="D90" i="2"/>
  <c r="D126" i="2" s="1"/>
  <c r="D257" i="2"/>
  <c r="D89" i="2"/>
  <c r="D105" i="2" s="1"/>
  <c r="D256" i="2"/>
  <c r="D111" i="2" l="1"/>
  <c r="D158" i="2"/>
  <c r="D135" i="2"/>
  <c r="D122" i="2"/>
  <c r="D77" i="2"/>
  <c r="D124" i="2"/>
  <c r="D125" i="2"/>
  <c r="D166" i="2"/>
  <c r="D167" i="2"/>
  <c r="D104" i="2"/>
  <c r="D171" i="2"/>
  <c r="D172" i="2"/>
  <c r="D173" i="2"/>
  <c r="D168" i="2"/>
  <c r="D174" i="2"/>
  <c r="D175" i="2"/>
  <c r="D169" i="2"/>
  <c r="D170" i="2"/>
  <c r="D115" i="2"/>
  <c r="D134" i="2"/>
  <c r="D120" i="2"/>
  <c r="D110" i="2"/>
  <c r="D123" i="2"/>
  <c r="D119" i="2"/>
  <c r="D159" i="2"/>
  <c r="D143" i="2"/>
  <c r="D116" i="2"/>
  <c r="D142" i="2"/>
  <c r="D151" i="2"/>
  <c r="D150" i="2"/>
  <c r="D92" i="2" l="1"/>
  <c r="D93" i="2" s="1"/>
  <c r="D94" i="2" s="1"/>
  <c r="D195" i="2" s="1"/>
  <c r="F195" i="2" s="1"/>
  <c r="D178" i="2"/>
  <c r="D177" i="2"/>
  <c r="D183" i="2"/>
  <c r="D187" i="2"/>
  <c r="D190" i="2"/>
  <c r="D189" i="2"/>
  <c r="D180" i="2"/>
  <c r="D179" i="2"/>
  <c r="D176" i="2"/>
  <c r="D188" i="2"/>
  <c r="D182" i="2"/>
  <c r="D181" i="2"/>
  <c r="D184" i="2"/>
  <c r="D185" i="2"/>
  <c r="D186" i="2"/>
  <c r="D196" i="2" l="1"/>
  <c r="E197" i="2" s="1"/>
  <c r="D192" i="2"/>
  <c r="D207" i="2"/>
  <c r="D95" i="2"/>
  <c r="D96" i="2" s="1"/>
  <c r="D97" i="2" s="1"/>
  <c r="D193" i="2" s="1"/>
  <c r="D230" i="2" s="1"/>
  <c r="D240" i="2" s="1"/>
  <c r="D241" i="2" s="1"/>
  <c r="D268" i="2" s="1"/>
  <c r="D231" i="2" l="1"/>
  <c r="D232" i="2" s="1"/>
  <c r="D233" i="2" s="1"/>
  <c r="D242" i="2" s="1"/>
  <c r="F242" i="2" s="1"/>
  <c r="D197" i="2"/>
  <c r="F197" i="2" s="1"/>
  <c r="D200" i="2"/>
  <c r="D201" i="2" s="1"/>
  <c r="D204" i="2" s="1"/>
  <c r="F241" i="2"/>
  <c r="D243" i="2" l="1"/>
  <c r="D244" i="2" s="1"/>
  <c r="D202" i="2"/>
  <c r="D203" i="2" s="1"/>
  <c r="F243" i="2" l="1"/>
  <c r="D245" i="2"/>
  <c r="D246" i="2" s="1"/>
</calcChain>
</file>

<file path=xl/sharedStrings.xml><?xml version="1.0" encoding="utf-8"?>
<sst xmlns="http://schemas.openxmlformats.org/spreadsheetml/2006/main" count="441" uniqueCount="356">
  <si>
    <t>LC Sensor calculations</t>
  </si>
  <si>
    <t>LDC Device</t>
  </si>
  <si>
    <t>LDC1612/4</t>
  </si>
  <si>
    <t>Operating temperature</t>
  </si>
  <si>
    <t>T</t>
  </si>
  <si>
    <r>
      <rPr>
        <sz val="12"/>
        <color indexed="8"/>
        <rFont val="Calibri"/>
        <family val="2"/>
      </rPr>
      <t>°</t>
    </r>
    <r>
      <rPr>
        <sz val="12"/>
        <color indexed="8"/>
        <rFont val="Calibri"/>
        <family val="2"/>
      </rPr>
      <t>C</t>
    </r>
  </si>
  <si>
    <t>Enter operating temperature</t>
  </si>
  <si>
    <t>Sensor capacitance</t>
  </si>
  <si>
    <t>C</t>
  </si>
  <si>
    <t>pF</t>
  </si>
  <si>
    <t>Select LC tank capacitance</t>
  </si>
  <si>
    <t>Layers</t>
  </si>
  <si>
    <t>M</t>
  </si>
  <si>
    <r>
      <t>Number of layers on PCB board (1≤M</t>
    </r>
    <r>
      <rPr>
        <sz val="12"/>
        <color indexed="8"/>
        <rFont val="Calibri"/>
        <family val="2"/>
      </rPr>
      <t>≤</t>
    </r>
    <r>
      <rPr>
        <sz val="12"/>
        <color indexed="8"/>
        <rFont val="Calibri"/>
        <family val="2"/>
      </rPr>
      <t>8)</t>
    </r>
  </si>
  <si>
    <t>Turns (per layer)</t>
  </si>
  <si>
    <t>N</t>
  </si>
  <si>
    <t>Turns</t>
  </si>
  <si>
    <t>Number of turns per layer</t>
  </si>
  <si>
    <r>
      <t>d</t>
    </r>
    <r>
      <rPr>
        <vertAlign val="subscript"/>
        <sz val="11"/>
        <color indexed="8"/>
        <rFont val="Calibri"/>
        <family val="2"/>
      </rPr>
      <t>OUT</t>
    </r>
  </si>
  <si>
    <t>mm</t>
  </si>
  <si>
    <t>Outer Diameter of the spiral inductor</t>
  </si>
  <si>
    <t>diameter entered units</t>
  </si>
  <si>
    <t>Outer diameter of inductor in mm</t>
  </si>
  <si>
    <t>Sensor Shape</t>
  </si>
  <si>
    <t xml:space="preserve">Long side of inductor </t>
  </si>
  <si>
    <r>
      <t>d</t>
    </r>
    <r>
      <rPr>
        <vertAlign val="subscript"/>
        <sz val="11"/>
        <color indexed="8"/>
        <rFont val="Calibri"/>
        <family val="2"/>
      </rPr>
      <t>L</t>
    </r>
  </si>
  <si>
    <t>Long side of inductor in mm</t>
  </si>
  <si>
    <t>ratio of long side to short side</t>
  </si>
  <si>
    <t>ratio of area to unit circle</t>
  </si>
  <si>
    <t>spacing between traces</t>
  </si>
  <si>
    <t>S</t>
  </si>
  <si>
    <t>mil</t>
  </si>
  <si>
    <t>Space between traces (mm or mil)</t>
  </si>
  <si>
    <t>spacing units</t>
  </si>
  <si>
    <t>spacing in mm</t>
  </si>
  <si>
    <t>width of trace</t>
  </si>
  <si>
    <t>w</t>
  </si>
  <si>
    <t>Width of the trace  (mm or mil)</t>
  </si>
  <si>
    <t>trace width units</t>
  </si>
  <si>
    <t>trace width in mm</t>
  </si>
  <si>
    <t>PCB thickness between 1st layer and 2nd layer</t>
  </si>
  <si>
    <t>h12</t>
  </si>
  <si>
    <t>Space between layer 1 and 2  (mm or mil)</t>
  </si>
  <si>
    <t>PCB thickness between 2nd layer and 3rd layer</t>
  </si>
  <si>
    <t>h23</t>
  </si>
  <si>
    <t>Space between layer 2 and 3  (mm or mil)</t>
  </si>
  <si>
    <t>PCB thickness between 3rd layer and 4th layer</t>
  </si>
  <si>
    <t>h34</t>
  </si>
  <si>
    <t>Space between layer 3 and 4 (mm or mil)</t>
  </si>
  <si>
    <t>PCB thickness between 4th layer and 5th layer</t>
  </si>
  <si>
    <t>h45</t>
  </si>
  <si>
    <t>Space between layer 4 and 5  (mm or mil)</t>
  </si>
  <si>
    <t>PCB thickness between 5th layer and 6th layer</t>
  </si>
  <si>
    <t>h56</t>
  </si>
  <si>
    <t>Space between layer 5 and 6  (mm or mil)</t>
  </si>
  <si>
    <t>PCB thickness between 6th layer and 7th layer</t>
  </si>
  <si>
    <t>h67</t>
  </si>
  <si>
    <t>Space between layer 6 and 7  (mm or mil)</t>
  </si>
  <si>
    <t>PCB thickness between 7th layer and 8th layer</t>
  </si>
  <si>
    <t>h78</t>
  </si>
  <si>
    <t>Space between layer 7 and 8  (mm or mil)</t>
  </si>
  <si>
    <t>Copper thickness</t>
  </si>
  <si>
    <t>t</t>
  </si>
  <si>
    <t>oz-Cu</t>
  </si>
  <si>
    <t>Copper layer thickness  (mm,Oz-Cu, or mil)</t>
  </si>
  <si>
    <t>copper thickness units</t>
  </si>
  <si>
    <t>copper thickness in mm</t>
  </si>
  <si>
    <r>
      <t>Conductor Resistivity (at 20</t>
    </r>
    <r>
      <rPr>
        <sz val="9"/>
        <color indexed="8"/>
        <rFont val="Calibri"/>
        <family val="2"/>
      </rPr>
      <t>°C)</t>
    </r>
  </si>
  <si>
    <t>pr</t>
  </si>
  <si>
    <r>
      <rPr>
        <sz val="9"/>
        <color indexed="8"/>
        <rFont val="Calibri"/>
        <family val="2"/>
      </rPr>
      <t>Ωm</t>
    </r>
  </si>
  <si>
    <t>Use 1.68e-08 for Copper</t>
  </si>
  <si>
    <t>Conductor Resistivity temperature coef</t>
  </si>
  <si>
    <t>pr_tc</t>
  </si>
  <si>
    <r>
      <t>%/</t>
    </r>
    <r>
      <rPr>
        <sz val="9"/>
        <color indexed="8"/>
        <rFont val="Calibri"/>
        <family val="2"/>
      </rPr>
      <t>°C</t>
    </r>
  </si>
  <si>
    <t>Use 0.393 for Copper</t>
  </si>
  <si>
    <t>Conductor relative permeability</t>
  </si>
  <si>
    <r>
      <t>µ</t>
    </r>
    <r>
      <rPr>
        <vertAlign val="subscript"/>
        <sz val="9"/>
        <color indexed="8"/>
        <rFont val="Calibri"/>
        <family val="2"/>
      </rPr>
      <t>r</t>
    </r>
  </si>
  <si>
    <t>Use 1.0 for Copper</t>
  </si>
  <si>
    <t>Parasitic capacitance</t>
  </si>
  <si>
    <t>Cpar</t>
  </si>
  <si>
    <t>Estimate - generally in the rage of 1 to 5 pf</t>
  </si>
  <si>
    <t>Copper resistivity at operating temperature</t>
  </si>
  <si>
    <t xml:space="preserve">pr_t </t>
  </si>
  <si>
    <r>
      <rPr>
        <sz val="9"/>
        <color indexed="8"/>
        <rFont val="Calibri"/>
        <family val="2"/>
      </rPr>
      <t>Ω</t>
    </r>
    <r>
      <rPr>
        <sz val="9"/>
        <color indexed="8"/>
        <rFont val="Calibri"/>
        <family val="2"/>
      </rPr>
      <t>m</t>
    </r>
  </si>
  <si>
    <t>Coil Fill Ratio</t>
  </si>
  <si>
    <t>din/dout</t>
  </si>
  <si>
    <t>0.2&gt;  &gt;0.8 is recommended</t>
  </si>
  <si>
    <t>Average diameter</t>
  </si>
  <si>
    <t>davg</t>
  </si>
  <si>
    <t>Geometric mean diameter</t>
  </si>
  <si>
    <t>p</t>
  </si>
  <si>
    <t>Inductor inner diameter (mm)</t>
  </si>
  <si>
    <t>Inductor innder diameter desired units</t>
  </si>
  <si>
    <t>Inductor inner diameter</t>
  </si>
  <si>
    <t>din</t>
  </si>
  <si>
    <t>Inner diameter of the spiral inductor (mm or mil)</t>
  </si>
  <si>
    <t>Self inductance per layer</t>
  </si>
  <si>
    <t>L</t>
  </si>
  <si>
    <r>
      <rPr>
        <sz val="10"/>
        <color indexed="8"/>
        <rFont val="Calibri"/>
        <family val="2"/>
      </rPr>
      <t>µ</t>
    </r>
    <r>
      <rPr>
        <sz val="10"/>
        <color indexed="8"/>
        <rFont val="Calibri"/>
        <family val="2"/>
      </rPr>
      <t>H</t>
    </r>
  </si>
  <si>
    <t xml:space="preserve">PCB thickness L1-2 </t>
  </si>
  <si>
    <t xml:space="preserve">PCB thickness L2-3 </t>
  </si>
  <si>
    <t>PCB thickness L3-4</t>
  </si>
  <si>
    <t>PCB thickness L4-5</t>
  </si>
  <si>
    <t>PCB thickness L5-6</t>
  </si>
  <si>
    <t>PCB thickness L6-7</t>
  </si>
  <si>
    <t>PCB thickness L7-8</t>
  </si>
  <si>
    <t>Number of Turns</t>
  </si>
  <si>
    <t>Self-Inductance per layer</t>
  </si>
  <si>
    <t>µH</t>
  </si>
  <si>
    <t>Number of Layers</t>
  </si>
  <si>
    <t>Target distance</t>
  </si>
  <si>
    <t>distance i7-i8</t>
  </si>
  <si>
    <t>distance i6-i7</t>
  </si>
  <si>
    <t>distance i5-i6</t>
  </si>
  <si>
    <t>distance i4-i5</t>
  </si>
  <si>
    <t>distance i3-i4</t>
  </si>
  <si>
    <t>distance i2-i3</t>
  </si>
  <si>
    <t>distance i1-i2</t>
  </si>
  <si>
    <t>distance L1-i1</t>
  </si>
  <si>
    <t>PCB thickness L1-L2</t>
  </si>
  <si>
    <t>PCB thickness L2-L3</t>
  </si>
  <si>
    <t>PCB thickness L3-L4</t>
  </si>
  <si>
    <t>PCB thickness L4-L5</t>
  </si>
  <si>
    <t>PCB thickness L5-L6</t>
  </si>
  <si>
    <t>PCB thickness L6-L7</t>
  </si>
  <si>
    <t>PCB thickness L7-L8</t>
  </si>
  <si>
    <t>T Scaling</t>
  </si>
  <si>
    <t>Lmutual sum</t>
  </si>
  <si>
    <t>scale factor</t>
  </si>
  <si>
    <t>Total Inductance free-space</t>
  </si>
  <si>
    <t>Target Interaction sum</t>
  </si>
  <si>
    <t>TI scale</t>
  </si>
  <si>
    <t>Inductance with Target interaction</t>
  </si>
  <si>
    <t>Lmutual for 12</t>
  </si>
  <si>
    <t>Lmutual for 13</t>
  </si>
  <si>
    <t>Lmutual for 14</t>
  </si>
  <si>
    <t>Lmutual for 15</t>
  </si>
  <si>
    <t>Lmutual for 16</t>
  </si>
  <si>
    <t>Lmutual for 17</t>
  </si>
  <si>
    <t>Lmutual for 18</t>
  </si>
  <si>
    <t>Lmutual for 23</t>
  </si>
  <si>
    <t>Lmutual for 24</t>
  </si>
  <si>
    <t>Lmutual for 25</t>
  </si>
  <si>
    <t>Lmutual for 26</t>
  </si>
  <si>
    <t>Lmutual for 27</t>
  </si>
  <si>
    <t>Lmutual for 28</t>
  </si>
  <si>
    <t>Lmutual for 34</t>
  </si>
  <si>
    <t>Lmutual for 35</t>
  </si>
  <si>
    <t>Lmutual for 36</t>
  </si>
  <si>
    <t>Lmutual for 37</t>
  </si>
  <si>
    <t>Lmutual for 38</t>
  </si>
  <si>
    <t>Lmutual for 45</t>
  </si>
  <si>
    <t>Lmutual for 46</t>
  </si>
  <si>
    <t>Lmutual for 47</t>
  </si>
  <si>
    <t>Lmutual for 48</t>
  </si>
  <si>
    <t>Lmutual for 56</t>
  </si>
  <si>
    <t>Lmutual for 57</t>
  </si>
  <si>
    <t>Lmutual for 58</t>
  </si>
  <si>
    <t>Lmutual for 67</t>
  </si>
  <si>
    <t>Lmutual for 68</t>
  </si>
  <si>
    <t>Lmutual for 78</t>
  </si>
  <si>
    <t>Lmutual for i1-L1</t>
  </si>
  <si>
    <t>Lmutual for i1-L2</t>
  </si>
  <si>
    <t>Lmutual for i1-L3</t>
  </si>
  <si>
    <t>Lmutual for i1-L4</t>
  </si>
  <si>
    <t>Lmutual for i1-L5</t>
  </si>
  <si>
    <t>Lmutual for i1-L6</t>
  </si>
  <si>
    <t>Lmutual for i1-L7</t>
  </si>
  <si>
    <t>Lmutual for i1-L8</t>
  </si>
  <si>
    <t>Lmutual for i2-L1</t>
  </si>
  <si>
    <t>Lmutual for i2-L2</t>
  </si>
  <si>
    <t>Lmutual for i2-L3</t>
  </si>
  <si>
    <t>Lmutual for i2-L4</t>
  </si>
  <si>
    <t>Lmutual for i2-L5</t>
  </si>
  <si>
    <t>Lmutual for i2-L6</t>
  </si>
  <si>
    <t>Lmutual for i2-L7</t>
  </si>
  <si>
    <t>Lmutual for i2-L8</t>
  </si>
  <si>
    <t>Lmutual for i3-L1</t>
  </si>
  <si>
    <t>Lmutual for i3-L2</t>
  </si>
  <si>
    <t>Lmutual for i3-L3</t>
  </si>
  <si>
    <t>Lmutual for i3-L4</t>
  </si>
  <si>
    <t>Lmutual for i3-L5</t>
  </si>
  <si>
    <t>Lmutual for i3-L6</t>
  </si>
  <si>
    <t>Lmutual for i3-L7</t>
  </si>
  <si>
    <t>Lmutual for i3-L8</t>
  </si>
  <si>
    <t>Lmutual for i4-L1</t>
  </si>
  <si>
    <t>Lmutual for i4-L2</t>
  </si>
  <si>
    <t>Lmutual for i4-L3</t>
  </si>
  <si>
    <t>Lmutual for i4-L4</t>
  </si>
  <si>
    <t>Lmutual for i4-L5</t>
  </si>
  <si>
    <t>Lmutual for i4-L6</t>
  </si>
  <si>
    <t>Lmutual for i4-L7</t>
  </si>
  <si>
    <t>Lmutual for i4-L8</t>
  </si>
  <si>
    <t>Lmutual for i5-L1</t>
  </si>
  <si>
    <t>Lmutual for i5-L2</t>
  </si>
  <si>
    <t>Lmutual for i5-L3</t>
  </si>
  <si>
    <t>Lmutual for i5-L4</t>
  </si>
  <si>
    <t>Lmutual for i5-L5</t>
  </si>
  <si>
    <t>Lmutual for i5-L6</t>
  </si>
  <si>
    <t>Lmutual for i5-L7</t>
  </si>
  <si>
    <t>Lmutual for i5-L8</t>
  </si>
  <si>
    <t>Lmutual for i6-L1</t>
  </si>
  <si>
    <t>Lmutual for i6-L2</t>
  </si>
  <si>
    <t>Lmutual for i6-L3</t>
  </si>
  <si>
    <t>Lmutual for i6-L4</t>
  </si>
  <si>
    <t>Lmutual for i6-L5</t>
  </si>
  <si>
    <t>Lmutual for i6-L6</t>
  </si>
  <si>
    <t>Lmutual for i6-L7</t>
  </si>
  <si>
    <t>Lmutual for i6-L8</t>
  </si>
  <si>
    <t>Lmutual for i7-L1</t>
  </si>
  <si>
    <t>Lmutual for i7-L2</t>
  </si>
  <si>
    <t>Lmutual for i7-L3</t>
  </si>
  <si>
    <t>Lmutual for i7-L4</t>
  </si>
  <si>
    <t>Lmutual for i7-L5</t>
  </si>
  <si>
    <t>Lmutual for i7-L6</t>
  </si>
  <si>
    <t>Lmutual for i7-L7</t>
  </si>
  <si>
    <t>Lmutual for i7-L8</t>
  </si>
  <si>
    <t>Lmutual for i8-L2</t>
  </si>
  <si>
    <t>Lmutual for i8-L3</t>
  </si>
  <si>
    <t>Lmutual for i8-L4</t>
  </si>
  <si>
    <t>Lmutual for i8-L5</t>
  </si>
  <si>
    <t>Lmutual for i8-L6</t>
  </si>
  <si>
    <t>Lmutual for i8-L7</t>
  </si>
  <si>
    <t>Lmutual for i8-L8</t>
  </si>
  <si>
    <t>Sensor Free-Space Inductance</t>
  </si>
  <si>
    <r>
      <rPr>
        <sz val="10"/>
        <color indexed="8"/>
        <rFont val="Calibri"/>
        <family val="2"/>
      </rPr>
      <t>µH</t>
    </r>
  </si>
  <si>
    <t>Sensor Inductance with Target interaction</t>
  </si>
  <si>
    <t>Total Inductance with no target</t>
  </si>
  <si>
    <r>
      <t>L</t>
    </r>
    <r>
      <rPr>
        <vertAlign val="subscript"/>
        <sz val="11"/>
        <color indexed="8"/>
        <rFont val="Calibri"/>
        <family val="2"/>
      </rPr>
      <t>TOTAL</t>
    </r>
  </si>
  <si>
    <r>
      <rPr>
        <b/>
        <sz val="10"/>
        <color indexed="8"/>
        <rFont val="Calibri"/>
        <family val="2"/>
      </rPr>
      <t>µ</t>
    </r>
    <r>
      <rPr>
        <b/>
        <sz val="10"/>
        <color indexed="8"/>
        <rFont val="Calibri"/>
        <family val="2"/>
      </rPr>
      <t>H</t>
    </r>
  </si>
  <si>
    <t>Sensor Operating Frequency</t>
  </si>
  <si>
    <t>Hz</t>
  </si>
  <si>
    <t>Sensor Operating Frequency no target</t>
  </si>
  <si>
    <r>
      <rPr>
        <i/>
        <sz val="11"/>
        <color theme="1"/>
        <rFont val="Calibri"/>
        <family val="2"/>
        <scheme val="minor"/>
      </rPr>
      <t>f</t>
    </r>
    <r>
      <rPr>
        <vertAlign val="subscript"/>
        <sz val="11"/>
        <color theme="1"/>
        <rFont val="Calibri"/>
        <family val="2"/>
        <scheme val="minor"/>
      </rPr>
      <t>RES</t>
    </r>
  </si>
  <si>
    <t>coil length per layer</t>
  </si>
  <si>
    <t>l</t>
  </si>
  <si>
    <t>DC resistance</t>
  </si>
  <si>
    <t>Rdc</t>
  </si>
  <si>
    <t>Ω</t>
  </si>
  <si>
    <t>Skin depth</t>
  </si>
  <si>
    <t>sd</t>
  </si>
  <si>
    <t>AC resistance (skin effect only)</t>
  </si>
  <si>
    <t>Rs</t>
  </si>
  <si>
    <t>Resonance impedance estimate</t>
  </si>
  <si>
    <t>Rp</t>
  </si>
  <si>
    <t>Rp with no Target</t>
  </si>
  <si>
    <r>
      <t>R</t>
    </r>
    <r>
      <rPr>
        <vertAlign val="subscript"/>
        <sz val="11"/>
        <color theme="1"/>
        <rFont val="Calibri"/>
        <family val="2"/>
        <scheme val="minor"/>
      </rPr>
      <t>P</t>
    </r>
  </si>
  <si>
    <t>kΩ</t>
  </si>
  <si>
    <t>Q factor</t>
  </si>
  <si>
    <t>Q</t>
  </si>
  <si>
    <t>Self resonant frequency (estimated)</t>
  </si>
  <si>
    <t>SRF</t>
  </si>
  <si>
    <t>MHz</t>
  </si>
  <si>
    <t>SRF must be &gt;1.25*Fsensor</t>
  </si>
  <si>
    <t>Target Distance</t>
  </si>
  <si>
    <t>D</t>
  </si>
  <si>
    <t>Target Distance in mm</t>
  </si>
  <si>
    <t>Target Distance/Sensor Diameter Ratio</t>
  </si>
  <si>
    <t>RP Adjust Factor</t>
  </si>
  <si>
    <t>RP Adjust Factor (clipped)</t>
  </si>
  <si>
    <t>Target Conductivity (composition &amp; thickness)</t>
  </si>
  <si>
    <t>New Inductance with target</t>
  </si>
  <si>
    <t>Skin depth at new sensor frequency</t>
  </si>
  <si>
    <t>sd'</t>
  </si>
  <si>
    <t>New Rs based on skin effect</t>
  </si>
  <si>
    <t xml:space="preserve">New Rp </t>
  </si>
  <si>
    <t>Device Min Fsensor</t>
  </si>
  <si>
    <t>Device Max Fsensor</t>
  </si>
  <si>
    <t>Device Min Rp</t>
  </si>
  <si>
    <t>Device Max Rp</t>
  </si>
  <si>
    <t>Device Min Q</t>
  </si>
  <si>
    <t>Device Max Q</t>
  </si>
  <si>
    <t>Sensor Inductance from Target Interaction</t>
  </si>
  <si>
    <t>L'</t>
  </si>
  <si>
    <t>Sensor Frequency with Target Interaction</t>
  </si>
  <si>
    <r>
      <rPr>
        <i/>
        <sz val="11"/>
        <color theme="1"/>
        <rFont val="Calibri"/>
        <family val="2"/>
        <scheme val="minor"/>
      </rPr>
      <t>f</t>
    </r>
    <r>
      <rPr>
        <vertAlign val="subscript"/>
        <sz val="11"/>
        <color theme="1"/>
        <rFont val="Calibri"/>
        <family val="2"/>
        <scheme val="minor"/>
      </rPr>
      <t>RES</t>
    </r>
    <r>
      <rPr>
        <sz val="11"/>
        <color theme="1"/>
        <rFont val="Calibri"/>
        <family val="2"/>
        <scheme val="minor"/>
      </rPr>
      <t>'</t>
    </r>
  </si>
  <si>
    <t>Rp with Target Interation</t>
  </si>
  <si>
    <r>
      <t>R</t>
    </r>
    <r>
      <rPr>
        <vertAlign val="subscript"/>
        <sz val="12"/>
        <rFont val="Calibri"/>
        <family val="2"/>
        <scheme val="minor"/>
      </rPr>
      <t>P</t>
    </r>
    <r>
      <rPr>
        <sz val="12"/>
        <rFont val="Calibri"/>
        <family val="2"/>
        <scheme val="minor"/>
      </rPr>
      <t>'</t>
    </r>
  </si>
  <si>
    <t>Q Factor with target</t>
  </si>
  <si>
    <t>Q'</t>
  </si>
  <si>
    <t>Min Ccom</t>
  </si>
  <si>
    <t>Ccom-min</t>
  </si>
  <si>
    <t>nF</t>
  </si>
  <si>
    <t>Max Ccom</t>
  </si>
  <si>
    <t>Ccom-max</t>
  </si>
  <si>
    <t>Device</t>
  </si>
  <si>
    <t>MinRp</t>
  </si>
  <si>
    <t>MaxRp</t>
  </si>
  <si>
    <t>MinQ</t>
  </si>
  <si>
    <t>MaxQ</t>
  </si>
  <si>
    <t>MinFs</t>
  </si>
  <si>
    <t>MaxFs</t>
  </si>
  <si>
    <t>LDC1101</t>
  </si>
  <si>
    <t>LDC1000</t>
  </si>
  <si>
    <t>LDC1312/4</t>
  </si>
  <si>
    <t>LDC0851</t>
  </si>
  <si>
    <t>LDC2112/4</t>
  </si>
  <si>
    <r>
      <t>C</t>
    </r>
    <r>
      <rPr>
        <vertAlign val="subscript"/>
        <sz val="11"/>
        <color theme="1"/>
        <rFont val="Calibri"/>
        <family val="2"/>
        <scheme val="minor"/>
      </rPr>
      <t>com</t>
    </r>
    <r>
      <rPr>
        <sz val="11"/>
        <color theme="1"/>
        <rFont val="Calibri"/>
        <family val="2"/>
        <scheme val="minor"/>
      </rPr>
      <t xml:space="preserve"> Value (with Target)</t>
    </r>
  </si>
  <si>
    <t>Ccom</t>
  </si>
  <si>
    <t>Target Material</t>
  </si>
  <si>
    <t>Target Thickness</t>
  </si>
  <si>
    <t>Aluminum, 6061-T6</t>
  </si>
  <si>
    <t>Aluminum, 1100</t>
  </si>
  <si>
    <t>316 Stainless Steel</t>
  </si>
  <si>
    <t>304 Stainless Steel</t>
  </si>
  <si>
    <t>Copper</t>
  </si>
  <si>
    <t>1006 Steel</t>
  </si>
  <si>
    <t>430 Stainless Steel</t>
  </si>
  <si>
    <t>Titanium</t>
  </si>
  <si>
    <t>Target Materials:</t>
  </si>
  <si>
    <t xml:space="preserve">Air </t>
  </si>
  <si>
    <t>Select Air for No Target</t>
  </si>
  <si>
    <t>Quick Sensor L/C/f Calculator:</t>
  </si>
  <si>
    <t>fsensor</t>
  </si>
  <si>
    <t>Quick Sensor Rp/Rs/Q Calculator:</t>
  </si>
  <si>
    <t>Pass Parameters for FEMM SIM</t>
  </si>
  <si>
    <t>num Turns</t>
  </si>
  <si>
    <t>Outer Diameter in mm</t>
  </si>
  <si>
    <t>Trace Width in mm</t>
  </si>
  <si>
    <t>Trace Space in mm</t>
  </si>
  <si>
    <t>Trace Thickness in mm</t>
  </si>
  <si>
    <t>Trace Conductivity RB</t>
  </si>
  <si>
    <t>Csensor</t>
  </si>
  <si>
    <t>PCB thickness L1-2 mm</t>
  </si>
  <si>
    <t>PCB thickness L2-3 mm</t>
  </si>
  <si>
    <t>PCB thickness L3-4 mm</t>
  </si>
  <si>
    <t>PCB thickness L4-5 mm</t>
  </si>
  <si>
    <t>PCB thickness L5-6 mm</t>
  </si>
  <si>
    <t>PCB thickness L6-7 mm</t>
  </si>
  <si>
    <t>PCB thickness L7-8 mm</t>
  </si>
  <si>
    <t>Initial Fsensor MHz</t>
  </si>
  <si>
    <t>Num Layers</t>
  </si>
  <si>
    <t>Sensor Frequency with Target</t>
  </si>
  <si>
    <t>Run sensitivity</t>
  </si>
  <si>
    <r>
      <t>ppm/</t>
    </r>
    <r>
      <rPr>
        <sz val="11"/>
        <color theme="1"/>
        <rFont val="Calibri"/>
        <family val="2"/>
      </rPr>
      <t>µm</t>
    </r>
  </si>
  <si>
    <t>Sensitivity (frequency shift)</t>
  </si>
  <si>
    <t>Save FEM simulation to file</t>
  </si>
  <si>
    <t xml:space="preserve">For full functionality, FEMM should be installed. Get FEMM from </t>
  </si>
  <si>
    <t>www.femm.info</t>
  </si>
  <si>
    <t>Enter exactly as named in FEMM materials library</t>
  </si>
  <si>
    <t>Other target material - enter here &amp; select above</t>
  </si>
  <si>
    <t>Target Movement shift</t>
  </si>
  <si>
    <t>Sensor  Frequency at shifted target</t>
  </si>
  <si>
    <t>0.5mm</t>
  </si>
  <si>
    <t>ohm/cm</t>
  </si>
  <si>
    <t>ohm/m</t>
  </si>
  <si>
    <t>cm/m</t>
  </si>
  <si>
    <t>mS</t>
  </si>
  <si>
    <t>416 stainless steel, annealed</t>
  </si>
  <si>
    <t>Long side for racetrack in mm</t>
  </si>
  <si>
    <t>Inner Diameter</t>
  </si>
  <si>
    <t>Circular</t>
  </si>
  <si>
    <t>FEMM Simulation Results (only updated after pressing Run FEMM button)</t>
  </si>
  <si>
    <t>Running...</t>
  </si>
  <si>
    <t>error: Call to triangle was unsuccessful. Check for small angles.</t>
  </si>
  <si>
    <t>455 Stainless Steel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</si>
</sst>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
    <numFmt numFmtId="166" formatCode="0.0000"/>
    <numFmt numFmtId="167" formatCode="0.000E+00"/>
    <numFmt numFmtId="168" formatCode="0.00000"/>
    <numFmt numFmtId="169" formatCode="0.0000000"/>
  </numFmts>
  <fonts count="57" x14ac:knownFonts="1">
    <font>
      <sz val="11"/>
      <color theme="1"/>
      <name val="Calibri"/>
      <family val="2"/>
      <scheme val="minor"/>
    </font>
    <font>
      <sz val="11"/>
      <color theme="1"/>
      <name val="Calibri"/>
      <family val="2"/>
      <scheme val="minor"/>
    </font>
    <font>
      <sz val="11"/>
      <color rgb="FF3F3F76"/>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i/>
      <sz val="11"/>
      <color theme="1"/>
      <name val="Calibri"/>
      <family val="2"/>
      <scheme val="minor"/>
    </font>
    <font>
      <b/>
      <sz val="11"/>
      <color theme="1"/>
      <name val="Calibri"/>
      <family val="2"/>
    </font>
    <font>
      <b/>
      <sz val="12"/>
      <name val="Calibri"/>
      <family val="2"/>
      <scheme val="minor"/>
    </font>
    <font>
      <b/>
      <sz val="12"/>
      <color rgb="FFFF0000"/>
      <name val="Calibri"/>
      <family val="2"/>
      <scheme val="minor"/>
    </font>
    <font>
      <b/>
      <sz val="13"/>
      <name val="Calibri"/>
      <family val="2"/>
      <scheme val="minor"/>
    </font>
    <font>
      <sz val="12"/>
      <color theme="1"/>
      <name val="Calibri"/>
      <family val="2"/>
      <scheme val="minor"/>
    </font>
    <font>
      <sz val="12"/>
      <color indexed="8"/>
      <name val="Calibri"/>
      <family val="2"/>
    </font>
    <font>
      <b/>
      <sz val="13"/>
      <color theme="1"/>
      <name val="Calibri"/>
      <family val="2"/>
      <scheme val="minor"/>
    </font>
    <font>
      <sz val="11"/>
      <color theme="0" tint="-0.14999847407452621"/>
      <name val="Calibri"/>
      <family val="2"/>
      <scheme val="minor"/>
    </font>
    <font>
      <sz val="10"/>
      <color theme="1"/>
      <name val="Calibri"/>
      <family val="2"/>
      <scheme val="minor"/>
    </font>
    <font>
      <vertAlign val="subscript"/>
      <sz val="11"/>
      <color indexed="8"/>
      <name val="Calibri"/>
      <family val="2"/>
    </font>
    <font>
      <sz val="10"/>
      <color rgb="FF005426"/>
      <name val="Calibri"/>
      <family val="2"/>
      <scheme val="minor"/>
    </font>
    <font>
      <sz val="13"/>
      <color theme="1"/>
      <name val="Calibri"/>
      <family val="2"/>
      <scheme val="minor"/>
    </font>
    <font>
      <sz val="10"/>
      <name val="Calibri"/>
      <family val="2"/>
      <scheme val="minor"/>
    </font>
    <font>
      <b/>
      <sz val="11"/>
      <color rgb="FFFF0000"/>
      <name val="Calibri"/>
      <family val="2"/>
      <scheme val="minor"/>
    </font>
    <font>
      <sz val="9"/>
      <color theme="1"/>
      <name val="Calibri"/>
      <family val="2"/>
      <scheme val="minor"/>
    </font>
    <font>
      <sz val="9"/>
      <color indexed="8"/>
      <name val="Calibri"/>
      <family val="2"/>
    </font>
    <font>
      <vertAlign val="subscript"/>
      <sz val="9"/>
      <color indexed="8"/>
      <name val="Calibri"/>
      <family val="2"/>
    </font>
    <font>
      <sz val="10"/>
      <color indexed="8"/>
      <name val="Calibri"/>
      <family val="2"/>
    </font>
    <font>
      <sz val="9"/>
      <color theme="1"/>
      <name val="Calibri"/>
      <family val="2"/>
    </font>
    <font>
      <i/>
      <sz val="9"/>
      <name val="Calibri"/>
      <family val="2"/>
      <scheme val="minor"/>
    </font>
    <font>
      <i/>
      <sz val="9"/>
      <color theme="1"/>
      <name val="Calibri"/>
      <family val="2"/>
      <scheme val="minor"/>
    </font>
    <font>
      <b/>
      <sz val="9"/>
      <color theme="1"/>
      <name val="Calibri"/>
      <family val="2"/>
      <scheme val="minor"/>
    </font>
    <font>
      <sz val="10"/>
      <color theme="1"/>
      <name val="Calibri"/>
      <family val="2"/>
    </font>
    <font>
      <b/>
      <sz val="10"/>
      <color theme="1"/>
      <name val="Calibri"/>
      <family val="2"/>
      <scheme val="minor"/>
    </font>
    <font>
      <b/>
      <sz val="10"/>
      <color indexed="8"/>
      <name val="Calibri"/>
      <family val="2"/>
    </font>
    <font>
      <b/>
      <sz val="12"/>
      <color theme="1"/>
      <name val="Calibri"/>
      <family val="2"/>
      <scheme val="minor"/>
    </font>
    <font>
      <vertAlign val="subscript"/>
      <sz val="11"/>
      <color theme="1"/>
      <name val="Calibri"/>
      <family val="2"/>
      <scheme val="minor"/>
    </font>
    <font>
      <sz val="9"/>
      <color theme="1" tint="0.34998626667073579"/>
      <name val="Calibri"/>
      <family val="2"/>
      <scheme val="minor"/>
    </font>
    <font>
      <sz val="11"/>
      <color theme="1" tint="0.34998626667073579"/>
      <name val="Calibri"/>
      <family val="2"/>
      <scheme val="minor"/>
    </font>
    <font>
      <sz val="10"/>
      <color theme="1" tint="0.34998626667073579"/>
      <name val="Calibri"/>
      <family val="2"/>
    </font>
    <font>
      <sz val="10"/>
      <color theme="1" tint="0.34998626667073579"/>
      <name val="Calibri"/>
      <family val="2"/>
      <scheme val="minor"/>
    </font>
    <font>
      <sz val="11"/>
      <name val="Calibri"/>
      <family val="2"/>
      <scheme val="minor"/>
    </font>
    <font>
      <b/>
      <sz val="11"/>
      <name val="Calibri"/>
      <family val="2"/>
      <scheme val="minor"/>
    </font>
    <font>
      <b/>
      <sz val="10"/>
      <name val="Calibri"/>
      <family val="2"/>
    </font>
    <font>
      <sz val="11"/>
      <color theme="1"/>
      <name val="Calibri"/>
      <family val="2"/>
    </font>
    <font>
      <sz val="11"/>
      <color rgb="FFFF00FF"/>
      <name val="Calibri"/>
      <family val="2"/>
      <scheme val="minor"/>
    </font>
    <font>
      <i/>
      <sz val="11"/>
      <name val="Calibri"/>
      <family val="2"/>
      <scheme val="minor"/>
    </font>
    <font>
      <sz val="10"/>
      <name val="Calibri"/>
      <family val="2"/>
    </font>
    <font>
      <sz val="12"/>
      <name val="Calibri"/>
      <family val="2"/>
      <scheme val="minor"/>
    </font>
    <font>
      <b/>
      <sz val="14"/>
      <name val="Calibri"/>
      <family val="2"/>
      <scheme val="minor"/>
    </font>
    <font>
      <sz val="14"/>
      <color rgb="FFFF0000"/>
      <name val="Calibri"/>
      <family val="2"/>
      <scheme val="minor"/>
    </font>
    <font>
      <vertAlign val="subscript"/>
      <sz val="12"/>
      <name val="Calibri"/>
      <family val="2"/>
      <scheme val="minor"/>
    </font>
    <font>
      <b/>
      <sz val="14"/>
      <name val="Calibri"/>
      <family val="2"/>
    </font>
    <font>
      <sz val="11"/>
      <name val="Calibri"/>
      <family val="2"/>
    </font>
    <font>
      <sz val="7"/>
      <color theme="1"/>
      <name val="Calibri"/>
      <family val="2"/>
      <scheme val="minor"/>
    </font>
    <font>
      <i/>
      <sz val="12"/>
      <color theme="1"/>
      <name val="Calibri"/>
      <family val="2"/>
      <scheme val="minor"/>
    </font>
    <font>
      <sz val="11"/>
      <color theme="0" tint="-0.499984740745262"/>
      <name val="Calibri"/>
      <family val="2"/>
      <scheme val="minor"/>
    </font>
    <font>
      <sz val="8"/>
      <color rgb="FF000000"/>
      <name val="Segoe UI"/>
      <family val="2"/>
    </font>
    <font>
      <sz val="18"/>
      <color rgb="FF000000"/>
      <name val="Calibri"/>
      <family val="2"/>
    </font>
  </fonts>
  <fills count="9">
    <fill>
      <patternFill patternType="none"/>
    </fill>
    <fill>
      <patternFill patternType="gray125"/>
    </fill>
    <fill>
      <patternFill patternType="solid">
        <fgColor rgb="FFFFCC99"/>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style="double">
        <color auto="1"/>
      </right>
      <top style="double">
        <color auto="1"/>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indexed="64"/>
      </right>
      <top style="thin">
        <color indexed="64"/>
      </top>
      <bottom style="thin">
        <color indexed="64"/>
      </bottom>
      <diagonal/>
    </border>
    <border>
      <left/>
      <right style="thin">
        <color theme="0" tint="-4.9989318521683403E-2"/>
      </right>
      <top/>
      <bottom style="thin">
        <color theme="0" tint="-4.9989318521683403E-2"/>
      </bottom>
      <diagonal/>
    </border>
  </borders>
  <cellStyleXfs count="4">
    <xf numFmtId="0" fontId="0" fillId="0" borderId="0"/>
    <xf numFmtId="0" fontId="2" fillId="2" borderId="1" applyNumberFormat="0" applyAlignment="0" applyProtection="0"/>
    <xf numFmtId="0" fontId="1" fillId="3" borderId="2" applyNumberFormat="0" applyFont="0" applyAlignment="0" applyProtection="0"/>
    <xf numFmtId="0" fontId="6" fillId="0" borderId="0" applyNumberFormat="0" applyFill="0" applyBorder="0" applyAlignment="0" applyProtection="0"/>
  </cellStyleXfs>
  <cellXfs count="232">
    <xf numFmtId="0" fontId="0" fillId="0" borderId="0" xfId="0"/>
    <xf numFmtId="0" fontId="5" fillId="0" borderId="0" xfId="0" applyFont="1" applyProtection="1"/>
    <xf numFmtId="0" fontId="0" fillId="0" borderId="0" xfId="0" applyProtection="1"/>
    <xf numFmtId="0" fontId="0" fillId="0" borderId="0" xfId="0" applyAlignment="1" applyProtection="1">
      <alignment horizontal="right"/>
    </xf>
    <xf numFmtId="0" fontId="6" fillId="0" borderId="0" xfId="3" applyAlignment="1" applyProtection="1"/>
    <xf numFmtId="0" fontId="7" fillId="0" borderId="0" xfId="0" applyFont="1" applyAlignment="1" applyProtection="1">
      <alignment vertical="center"/>
    </xf>
    <xf numFmtId="0" fontId="0" fillId="0" borderId="0" xfId="0" applyAlignment="1" applyProtection="1"/>
    <xf numFmtId="0" fontId="6" fillId="0" borderId="0" xfId="3" applyProtection="1">
      <protection locked="0"/>
    </xf>
    <xf numFmtId="0" fontId="5" fillId="0" borderId="0" xfId="0" applyFont="1" applyAlignment="1" applyProtection="1"/>
    <xf numFmtId="0" fontId="4" fillId="4" borderId="0" xfId="0" applyFont="1" applyFill="1" applyProtection="1"/>
    <xf numFmtId="0" fontId="0" fillId="4" borderId="0" xfId="0" applyFill="1" applyProtection="1"/>
    <xf numFmtId="0" fontId="4" fillId="0" borderId="0" xfId="0" applyFont="1" applyAlignment="1" applyProtection="1">
      <alignment horizontal="left"/>
    </xf>
    <xf numFmtId="0" fontId="4" fillId="5" borderId="0" xfId="0" applyFont="1" applyFill="1" applyProtection="1"/>
    <xf numFmtId="0" fontId="0" fillId="5" borderId="0" xfId="0" applyFill="1" applyProtection="1"/>
    <xf numFmtId="0" fontId="0" fillId="0" borderId="0" xfId="0" applyProtection="1">
      <protection locked="0"/>
    </xf>
    <xf numFmtId="0" fontId="9" fillId="0" borderId="6" xfId="0" applyFont="1" applyBorder="1" applyAlignment="1" applyProtection="1">
      <alignment horizontal="left"/>
    </xf>
    <xf numFmtId="0" fontId="10" fillId="0" borderId="6" xfId="0" applyFont="1" applyBorder="1" applyAlignment="1" applyProtection="1">
      <alignment horizontal="center"/>
    </xf>
    <xf numFmtId="0" fontId="11" fillId="4" borderId="6" xfId="0" applyFont="1" applyFill="1" applyBorder="1" applyAlignment="1" applyProtection="1">
      <alignment horizontal="center"/>
      <protection locked="0"/>
    </xf>
    <xf numFmtId="0" fontId="12" fillId="0" borderId="6" xfId="0" applyFont="1" applyBorder="1" applyAlignment="1" applyProtection="1">
      <alignment horizontal="left"/>
    </xf>
    <xf numFmtId="0" fontId="12" fillId="0" borderId="6" xfId="0" applyFont="1" applyBorder="1" applyAlignment="1" applyProtection="1">
      <alignment horizontal="center"/>
    </xf>
    <xf numFmtId="0" fontId="12" fillId="4" borderId="6" xfId="0" applyFont="1" applyFill="1" applyBorder="1" applyAlignment="1" applyProtection="1">
      <alignment horizontal="right"/>
      <protection locked="0"/>
    </xf>
    <xf numFmtId="0" fontId="12" fillId="0" borderId="6" xfId="0" applyFont="1" applyFill="1" applyBorder="1" applyAlignment="1" applyProtection="1">
      <alignment horizontal="left"/>
    </xf>
    <xf numFmtId="0" fontId="12" fillId="0" borderId="6" xfId="0" applyFont="1" applyBorder="1" applyAlignment="1" applyProtection="1"/>
    <xf numFmtId="164" fontId="14" fillId="4" borderId="6" xfId="0" applyNumberFormat="1" applyFont="1" applyFill="1" applyBorder="1" applyAlignment="1" applyProtection="1">
      <alignment horizontal="right"/>
      <protection locked="0"/>
    </xf>
    <xf numFmtId="0" fontId="15" fillId="0" borderId="0" xfId="0" applyFont="1" applyProtection="1">
      <protection locked="0"/>
    </xf>
    <xf numFmtId="0" fontId="4" fillId="0" borderId="0" xfId="0" applyFont="1" applyProtection="1">
      <protection locked="0"/>
    </xf>
    <xf numFmtId="0" fontId="12" fillId="0" borderId="6" xfId="0" applyFont="1" applyBorder="1" applyProtection="1"/>
    <xf numFmtId="1" fontId="14" fillId="4" borderId="6" xfId="0" applyNumberFormat="1" applyFont="1" applyFill="1" applyBorder="1" applyAlignment="1" applyProtection="1">
      <alignment horizontal="right"/>
      <protection locked="0"/>
    </xf>
    <xf numFmtId="2" fontId="0" fillId="0" borderId="0" xfId="0" applyNumberFormat="1" applyProtection="1">
      <protection locked="0"/>
    </xf>
    <xf numFmtId="0" fontId="0" fillId="0" borderId="6" xfId="0" applyBorder="1" applyProtection="1"/>
    <xf numFmtId="0" fontId="0" fillId="0" borderId="6" xfId="0" applyBorder="1" applyAlignment="1" applyProtection="1">
      <alignment horizontal="center"/>
    </xf>
    <xf numFmtId="0" fontId="14" fillId="4" borderId="6" xfId="0" applyFont="1" applyFill="1" applyBorder="1" applyAlignment="1" applyProtection="1">
      <alignment horizontal="right"/>
      <protection locked="0"/>
    </xf>
    <xf numFmtId="0" fontId="16" fillId="0" borderId="6" xfId="0" applyFont="1" applyFill="1" applyBorder="1" applyAlignment="1" applyProtection="1">
      <alignment horizontal="left"/>
    </xf>
    <xf numFmtId="0" fontId="0" fillId="0" borderId="6" xfId="0" applyBorder="1" applyAlignment="1" applyProtection="1"/>
    <xf numFmtId="2" fontId="14" fillId="4" borderId="6" xfId="0" applyNumberFormat="1" applyFont="1" applyFill="1" applyBorder="1" applyAlignment="1" applyProtection="1">
      <alignment horizontal="right"/>
      <protection locked="0"/>
    </xf>
    <xf numFmtId="0" fontId="18" fillId="4" borderId="6" xfId="0" applyFont="1" applyFill="1" applyBorder="1" applyAlignment="1" applyProtection="1">
      <alignment horizontal="center"/>
      <protection locked="0"/>
    </xf>
    <xf numFmtId="2" fontId="19" fillId="6" borderId="6" xfId="0" applyNumberFormat="1" applyFont="1" applyFill="1" applyBorder="1" applyAlignment="1" applyProtection="1">
      <alignment horizontal="right"/>
      <protection locked="0"/>
    </xf>
    <xf numFmtId="0" fontId="18" fillId="0" borderId="6" xfId="0" applyFont="1" applyFill="1" applyBorder="1" applyAlignment="1" applyProtection="1">
      <alignment horizontal="center"/>
      <protection locked="0"/>
    </xf>
    <xf numFmtId="165" fontId="19" fillId="6" borderId="6" xfId="0" applyNumberFormat="1" applyFont="1" applyFill="1" applyBorder="1" applyAlignment="1" applyProtection="1">
      <alignment horizontal="right"/>
      <protection locked="0"/>
    </xf>
    <xf numFmtId="0" fontId="18" fillId="0" borderId="6" xfId="0" applyFont="1" applyFill="1" applyBorder="1" applyAlignment="1" applyProtection="1">
      <alignment horizontal="center"/>
    </xf>
    <xf numFmtId="165" fontId="14" fillId="4" borderId="6" xfId="0" applyNumberFormat="1" applyFont="1" applyFill="1" applyBorder="1" applyAlignment="1" applyProtection="1">
      <alignment horizontal="right"/>
      <protection locked="0"/>
    </xf>
    <xf numFmtId="0" fontId="20" fillId="0" borderId="6" xfId="0" applyFont="1" applyFill="1" applyBorder="1" applyAlignment="1" applyProtection="1">
      <alignment horizontal="center"/>
    </xf>
    <xf numFmtId="0" fontId="21" fillId="0" borderId="6" xfId="0" applyFont="1" applyBorder="1" applyAlignment="1" applyProtection="1"/>
    <xf numFmtId="2" fontId="19" fillId="6" borderId="6" xfId="0" applyNumberFormat="1" applyFont="1" applyFill="1" applyBorder="1" applyAlignment="1" applyProtection="1">
      <alignment horizontal="right"/>
    </xf>
    <xf numFmtId="165" fontId="19" fillId="6" borderId="6" xfId="0" applyNumberFormat="1" applyFont="1" applyFill="1" applyBorder="1" applyAlignment="1" applyProtection="1">
      <alignment horizontal="right"/>
    </xf>
    <xf numFmtId="0" fontId="18" fillId="6" borderId="6" xfId="0" applyFont="1" applyFill="1" applyBorder="1" applyAlignment="1" applyProtection="1">
      <alignment horizontal="center"/>
      <protection locked="0"/>
    </xf>
    <xf numFmtId="165" fontId="0" fillId="6" borderId="6" xfId="0" applyNumberFormat="1" applyFont="1" applyFill="1" applyBorder="1" applyAlignment="1" applyProtection="1">
      <alignment horizontal="right"/>
      <protection locked="0"/>
    </xf>
    <xf numFmtId="165" fontId="12" fillId="6" borderId="6" xfId="0" applyNumberFormat="1" applyFont="1" applyFill="1" applyBorder="1" applyAlignment="1" applyProtection="1">
      <alignment horizontal="right"/>
      <protection locked="0"/>
    </xf>
    <xf numFmtId="165" fontId="0" fillId="6" borderId="6" xfId="0" applyNumberFormat="1" applyFill="1" applyBorder="1" applyAlignment="1" applyProtection="1">
      <alignment horizontal="right"/>
      <protection locked="0"/>
    </xf>
    <xf numFmtId="0" fontId="18" fillId="6" borderId="6" xfId="0" applyFont="1" applyFill="1" applyBorder="1" applyAlignment="1" applyProtection="1">
      <alignment horizontal="center"/>
    </xf>
    <xf numFmtId="165" fontId="0" fillId="4" borderId="6" xfId="0" applyNumberFormat="1" applyFill="1" applyBorder="1" applyAlignment="1" applyProtection="1">
      <alignment horizontal="right"/>
      <protection locked="0"/>
    </xf>
    <xf numFmtId="166" fontId="0" fillId="6" borderId="6" xfId="0" applyNumberFormat="1" applyFill="1" applyBorder="1" applyAlignment="1" applyProtection="1">
      <alignment horizontal="right"/>
      <protection locked="0"/>
    </xf>
    <xf numFmtId="0" fontId="22" fillId="8" borderId="6" xfId="2" applyFont="1" applyFill="1" applyBorder="1" applyProtection="1"/>
    <xf numFmtId="0" fontId="22" fillId="8" borderId="6" xfId="2" applyFont="1" applyFill="1" applyBorder="1" applyAlignment="1" applyProtection="1">
      <alignment horizontal="center"/>
    </xf>
    <xf numFmtId="11" fontId="22" fillId="7" borderId="6" xfId="2" applyNumberFormat="1" applyFont="1" applyFill="1" applyBorder="1" applyAlignment="1" applyProtection="1">
      <alignment horizontal="right"/>
      <protection locked="0"/>
    </xf>
    <xf numFmtId="0" fontId="22" fillId="8" borderId="6" xfId="2" applyFont="1" applyFill="1" applyBorder="1" applyAlignment="1" applyProtection="1">
      <alignment horizontal="left"/>
    </xf>
    <xf numFmtId="0" fontId="22" fillId="8" borderId="6" xfId="2" applyFont="1" applyFill="1" applyBorder="1" applyAlignment="1" applyProtection="1"/>
    <xf numFmtId="165" fontId="22" fillId="7" borderId="6" xfId="2" applyNumberFormat="1" applyFont="1" applyFill="1" applyBorder="1" applyAlignment="1" applyProtection="1">
      <alignment horizontal="right"/>
      <protection locked="0"/>
    </xf>
    <xf numFmtId="0" fontId="23" fillId="8" borderId="6" xfId="2" applyFont="1" applyFill="1" applyBorder="1" applyAlignment="1" applyProtection="1">
      <alignment horizontal="center"/>
    </xf>
    <xf numFmtId="2" fontId="22" fillId="7" borderId="6" xfId="2" applyNumberFormat="1" applyFont="1" applyFill="1" applyBorder="1" applyAlignment="1" applyProtection="1">
      <alignment horizontal="right"/>
      <protection locked="0"/>
    </xf>
    <xf numFmtId="164" fontId="22" fillId="7" borderId="6" xfId="2" applyNumberFormat="1" applyFont="1" applyFill="1" applyBorder="1" applyAlignment="1" applyProtection="1">
      <alignment horizontal="right"/>
      <protection locked="0"/>
    </xf>
    <xf numFmtId="0" fontId="22" fillId="0" borderId="6" xfId="0" applyFont="1" applyFill="1" applyBorder="1" applyProtection="1"/>
    <xf numFmtId="0" fontId="22" fillId="0" borderId="6" xfId="0" applyFont="1" applyFill="1" applyBorder="1" applyAlignment="1" applyProtection="1">
      <alignment horizontal="center"/>
    </xf>
    <xf numFmtId="167" fontId="22" fillId="5" borderId="6" xfId="0" applyNumberFormat="1" applyFont="1" applyFill="1" applyBorder="1" applyAlignment="1" applyProtection="1">
      <alignment horizontal="right" vertical="center"/>
    </xf>
    <xf numFmtId="0" fontId="22" fillId="0" borderId="6" xfId="0" applyFont="1" applyFill="1" applyBorder="1" applyAlignment="1" applyProtection="1">
      <alignment horizontal="left" vertical="center"/>
    </xf>
    <xf numFmtId="0" fontId="0" fillId="0" borderId="6" xfId="0" applyFill="1" applyBorder="1" applyAlignment="1" applyProtection="1"/>
    <xf numFmtId="0" fontId="0" fillId="0" borderId="7" xfId="0" applyBorder="1" applyProtection="1"/>
    <xf numFmtId="0" fontId="0" fillId="0" borderId="6" xfId="0" applyFill="1" applyBorder="1" applyProtection="1"/>
    <xf numFmtId="0" fontId="0" fillId="0" borderId="6" xfId="0" applyFill="1" applyBorder="1" applyAlignment="1" applyProtection="1">
      <alignment horizontal="center"/>
    </xf>
    <xf numFmtId="2" fontId="4" fillId="5" borderId="6" xfId="0" applyNumberFormat="1" applyFont="1" applyFill="1" applyBorder="1" applyAlignment="1" applyProtection="1">
      <alignment horizontal="right"/>
    </xf>
    <xf numFmtId="2" fontId="22" fillId="6" borderId="6" xfId="0" applyNumberFormat="1" applyFont="1" applyFill="1" applyBorder="1" applyAlignment="1" applyProtection="1">
      <alignment horizontal="right"/>
    </xf>
    <xf numFmtId="0" fontId="22" fillId="0" borderId="6" xfId="0" applyFont="1" applyFill="1" applyBorder="1" applyAlignment="1" applyProtection="1">
      <alignment horizontal="left"/>
    </xf>
    <xf numFmtId="166" fontId="22" fillId="6" borderId="6" xfId="0" applyNumberFormat="1" applyFont="1" applyFill="1" applyBorder="1" applyAlignment="1" applyProtection="1">
      <alignment horizontal="right"/>
    </xf>
    <xf numFmtId="165" fontId="4" fillId="5" borderId="6" xfId="0" applyNumberFormat="1" applyFont="1" applyFill="1" applyBorder="1" applyAlignment="1" applyProtection="1">
      <alignment horizontal="right"/>
    </xf>
    <xf numFmtId="0" fontId="0" fillId="0" borderId="0" xfId="0" applyFill="1" applyProtection="1">
      <protection locked="0"/>
    </xf>
    <xf numFmtId="165" fontId="0" fillId="5" borderId="6" xfId="0" applyNumberFormat="1" applyFill="1" applyBorder="1" applyAlignment="1" applyProtection="1">
      <alignment horizontal="right"/>
    </xf>
    <xf numFmtId="0" fontId="3" fillId="0" borderId="6" xfId="0" applyFont="1" applyFill="1" applyBorder="1" applyAlignment="1" applyProtection="1"/>
    <xf numFmtId="0" fontId="22" fillId="0" borderId="8" xfId="0" applyFont="1" applyFill="1" applyBorder="1" applyProtection="1"/>
    <xf numFmtId="0" fontId="0" fillId="0" borderId="0" xfId="0" applyFill="1" applyBorder="1" applyAlignment="1" applyProtection="1">
      <alignment horizontal="center"/>
    </xf>
    <xf numFmtId="165" fontId="22" fillId="6" borderId="0" xfId="0" applyNumberFormat="1" applyFont="1" applyFill="1" applyBorder="1" applyAlignment="1" applyProtection="1">
      <alignment horizontal="right"/>
    </xf>
    <xf numFmtId="0" fontId="16" fillId="0" borderId="0" xfId="0" applyFont="1" applyFill="1" applyBorder="1" applyAlignment="1" applyProtection="1">
      <alignment horizontal="left"/>
    </xf>
    <xf numFmtId="0" fontId="22" fillId="0" borderId="9" xfId="0" applyFont="1" applyFill="1" applyBorder="1" applyProtection="1"/>
    <xf numFmtId="0" fontId="22" fillId="0" borderId="0" xfId="0" applyFont="1"/>
    <xf numFmtId="164" fontId="22" fillId="6" borderId="0" xfId="0" applyNumberFormat="1" applyFont="1" applyFill="1"/>
    <xf numFmtId="165" fontId="22" fillId="6" borderId="0" xfId="0" applyNumberFormat="1" applyFont="1" applyFill="1"/>
    <xf numFmtId="0" fontId="26" fillId="0" borderId="0" xfId="0" applyFont="1"/>
    <xf numFmtId="1" fontId="22" fillId="6" borderId="0" xfId="0" applyNumberFormat="1" applyFont="1" applyFill="1"/>
    <xf numFmtId="2" fontId="27" fillId="6" borderId="0" xfId="0" applyNumberFormat="1" applyFont="1" applyFill="1"/>
    <xf numFmtId="165" fontId="28" fillId="6" borderId="0" xfId="0" applyNumberFormat="1" applyFont="1" applyFill="1"/>
    <xf numFmtId="0" fontId="28" fillId="6" borderId="0" xfId="0" applyFont="1" applyFill="1"/>
    <xf numFmtId="166" fontId="22" fillId="6" borderId="0" xfId="0" applyNumberFormat="1" applyFont="1" applyFill="1"/>
    <xf numFmtId="0" fontId="29" fillId="0" borderId="0" xfId="0" applyFont="1"/>
    <xf numFmtId="166" fontId="29" fillId="6" borderId="0" xfId="0" applyNumberFormat="1" applyFont="1" applyFill="1"/>
    <xf numFmtId="0" fontId="22" fillId="6" borderId="0" xfId="0" applyFont="1" applyFill="1"/>
    <xf numFmtId="0" fontId="16" fillId="0" borderId="0" xfId="0" applyFont="1" applyFill="1" applyBorder="1"/>
    <xf numFmtId="165" fontId="20" fillId="6" borderId="6" xfId="1" applyNumberFormat="1" applyFont="1" applyFill="1" applyBorder="1" applyAlignment="1" applyProtection="1">
      <alignment horizontal="right"/>
    </xf>
    <xf numFmtId="0" fontId="30" fillId="0" borderId="0" xfId="0" applyFont="1" applyFill="1" applyBorder="1" applyAlignment="1" applyProtection="1">
      <alignment horizontal="left"/>
    </xf>
    <xf numFmtId="0" fontId="4" fillId="0" borderId="6" xfId="0" applyFont="1" applyFill="1" applyBorder="1" applyProtection="1"/>
    <xf numFmtId="165" fontId="5" fillId="5" borderId="6" xfId="0" applyNumberFormat="1" applyFont="1" applyFill="1" applyBorder="1" applyAlignment="1" applyProtection="1">
      <alignment horizontal="right"/>
    </xf>
    <xf numFmtId="0" fontId="31" fillId="0" borderId="6" xfId="0" applyFont="1" applyFill="1" applyBorder="1" applyAlignment="1" applyProtection="1">
      <alignment horizontal="left"/>
    </xf>
    <xf numFmtId="0" fontId="10" fillId="0" borderId="6" xfId="0" applyFont="1" applyFill="1" applyBorder="1" applyAlignment="1" applyProtection="1"/>
    <xf numFmtId="164" fontId="33" fillId="6" borderId="6" xfId="0" applyNumberFormat="1" applyFont="1" applyFill="1" applyBorder="1" applyAlignment="1" applyProtection="1">
      <alignment horizontal="right"/>
    </xf>
    <xf numFmtId="0" fontId="21" fillId="0" borderId="6" xfId="0" applyFont="1" applyFill="1" applyBorder="1" applyAlignment="1" applyProtection="1"/>
    <xf numFmtId="0" fontId="4" fillId="0" borderId="6" xfId="0" applyFont="1" applyFill="1" applyBorder="1" applyAlignment="1" applyProtection="1">
      <alignment horizontal="left"/>
    </xf>
    <xf numFmtId="0" fontId="35" fillId="0" borderId="6" xfId="0" applyFont="1" applyFill="1" applyBorder="1" applyProtection="1"/>
    <xf numFmtId="0" fontId="35" fillId="0" borderId="6" xfId="0" applyFont="1" applyFill="1" applyBorder="1" applyAlignment="1" applyProtection="1">
      <alignment horizontal="center"/>
    </xf>
    <xf numFmtId="2" fontId="35" fillId="6" borderId="6" xfId="0" applyNumberFormat="1" applyFont="1" applyFill="1" applyBorder="1" applyAlignment="1" applyProtection="1">
      <alignment horizontal="right"/>
    </xf>
    <xf numFmtId="0" fontId="35" fillId="0" borderId="6" xfId="0" applyFont="1" applyFill="1" applyBorder="1" applyAlignment="1" applyProtection="1">
      <alignment horizontal="left"/>
    </xf>
    <xf numFmtId="0" fontId="36" fillId="0" borderId="6" xfId="0" applyFont="1" applyFill="1" applyBorder="1" applyProtection="1"/>
    <xf numFmtId="0" fontId="36" fillId="0" borderId="6" xfId="0" applyFont="1" applyFill="1" applyBorder="1" applyAlignment="1" applyProtection="1">
      <alignment horizontal="center"/>
    </xf>
    <xf numFmtId="165" fontId="36" fillId="6" borderId="6" xfId="0" applyNumberFormat="1" applyFont="1" applyFill="1" applyBorder="1" applyAlignment="1" applyProtection="1">
      <alignment horizontal="right"/>
    </xf>
    <xf numFmtId="0" fontId="37" fillId="0" borderId="6" xfId="0" applyFont="1" applyFill="1" applyBorder="1" applyAlignment="1" applyProtection="1">
      <alignment horizontal="left"/>
    </xf>
    <xf numFmtId="166" fontId="36" fillId="6" borderId="6" xfId="0" applyNumberFormat="1" applyFont="1" applyFill="1" applyBorder="1" applyAlignment="1" applyProtection="1">
      <alignment horizontal="right"/>
    </xf>
    <xf numFmtId="0" fontId="38" fillId="0" borderId="6" xfId="0" applyFont="1" applyFill="1" applyBorder="1" applyAlignment="1" applyProtection="1">
      <alignment horizontal="left"/>
    </xf>
    <xf numFmtId="0" fontId="39" fillId="0" borderId="6" xfId="0" applyFont="1" applyFill="1" applyBorder="1" applyProtection="1"/>
    <xf numFmtId="165" fontId="40" fillId="6" borderId="6" xfId="0" applyNumberFormat="1" applyFont="1" applyFill="1" applyBorder="1" applyAlignment="1" applyProtection="1">
      <alignment horizontal="right"/>
    </xf>
    <xf numFmtId="0" fontId="41" fillId="0" borderId="6" xfId="0" applyFont="1" applyFill="1" applyBorder="1" applyAlignment="1" applyProtection="1">
      <alignment horizontal="left"/>
    </xf>
    <xf numFmtId="0" fontId="0" fillId="0" borderId="6" xfId="0" applyFont="1" applyFill="1" applyBorder="1" applyProtection="1"/>
    <xf numFmtId="0" fontId="0" fillId="0" borderId="6" xfId="0" applyFont="1" applyFill="1" applyBorder="1" applyAlignment="1" applyProtection="1">
      <alignment horizontal="center"/>
    </xf>
    <xf numFmtId="164" fontId="4" fillId="6" borderId="6" xfId="0" applyNumberFormat="1" applyFont="1" applyFill="1" applyBorder="1" applyAlignment="1" applyProtection="1">
      <alignment horizontal="right"/>
    </xf>
    <xf numFmtId="0" fontId="42" fillId="0" borderId="6" xfId="0" applyFont="1" applyFill="1" applyBorder="1" applyAlignment="1" applyProtection="1">
      <alignment horizontal="left"/>
    </xf>
    <xf numFmtId="0" fontId="33" fillId="0" borderId="6" xfId="0" applyFont="1" applyFill="1" applyBorder="1" applyProtection="1"/>
    <xf numFmtId="2" fontId="33" fillId="5" borderId="6" xfId="0" applyNumberFormat="1" applyFont="1" applyFill="1" applyBorder="1" applyAlignment="1" applyProtection="1">
      <alignment horizontal="right"/>
    </xf>
    <xf numFmtId="0" fontId="8" fillId="0" borderId="6" xfId="0" applyFont="1" applyFill="1" applyBorder="1" applyAlignment="1" applyProtection="1">
      <alignment horizontal="left"/>
    </xf>
    <xf numFmtId="0" fontId="33" fillId="0" borderId="6" xfId="0" applyFont="1" applyBorder="1" applyProtection="1"/>
    <xf numFmtId="0" fontId="0" fillId="0" borderId="6" xfId="0" applyFont="1" applyBorder="1" applyAlignment="1" applyProtection="1">
      <alignment horizontal="center"/>
    </xf>
    <xf numFmtId="2" fontId="0" fillId="4" borderId="6" xfId="0" applyNumberFormat="1" applyFont="1" applyFill="1" applyBorder="1" applyAlignment="1" applyProtection="1">
      <alignment horizontal="left"/>
    </xf>
    <xf numFmtId="2" fontId="0" fillId="0" borderId="6" xfId="0" applyNumberFormat="1" applyFont="1" applyBorder="1" applyAlignment="1" applyProtection="1">
      <alignment horizontal="center"/>
    </xf>
    <xf numFmtId="2" fontId="0" fillId="0" borderId="6" xfId="0" applyNumberFormat="1" applyFont="1" applyBorder="1" applyAlignment="1" applyProtection="1">
      <alignment horizontal="left"/>
    </xf>
    <xf numFmtId="0" fontId="0" fillId="0" borderId="6" xfId="0" applyFont="1" applyBorder="1" applyProtection="1"/>
    <xf numFmtId="165" fontId="0" fillId="6" borderId="6" xfId="0" applyNumberFormat="1" applyFont="1" applyFill="1" applyBorder="1" applyAlignment="1" applyProtection="1">
      <alignment horizontal="right"/>
    </xf>
    <xf numFmtId="168" fontId="0" fillId="6" borderId="6" xfId="0" applyNumberFormat="1" applyFill="1" applyBorder="1" applyAlignment="1" applyProtection="1">
      <alignment horizontal="right"/>
    </xf>
    <xf numFmtId="2" fontId="0" fillId="0" borderId="6" xfId="0" applyNumberFormat="1" applyBorder="1" applyAlignment="1" applyProtection="1">
      <alignment horizontal="right"/>
    </xf>
    <xf numFmtId="1" fontId="0" fillId="6" borderId="6" xfId="0" applyNumberFormat="1" applyFill="1" applyBorder="1" applyAlignment="1" applyProtection="1">
      <alignment horizontal="right"/>
    </xf>
    <xf numFmtId="0" fontId="39" fillId="0" borderId="6" xfId="0" applyFont="1" applyBorder="1" applyProtection="1"/>
    <xf numFmtId="0" fontId="39" fillId="0" borderId="6" xfId="0" applyFont="1" applyBorder="1" applyAlignment="1" applyProtection="1">
      <alignment horizontal="center"/>
    </xf>
    <xf numFmtId="2" fontId="39" fillId="6" borderId="6" xfId="0" applyNumberFormat="1" applyFont="1" applyFill="1" applyBorder="1" applyAlignment="1" applyProtection="1">
      <alignment horizontal="right"/>
    </xf>
    <xf numFmtId="0" fontId="43" fillId="0" borderId="6" xfId="0" applyFont="1" applyBorder="1" applyAlignment="1" applyProtection="1">
      <alignment horizontal="right"/>
    </xf>
    <xf numFmtId="169" fontId="0" fillId="6" borderId="6" xfId="0" applyNumberFormat="1" applyFill="1" applyBorder="1"/>
    <xf numFmtId="0" fontId="44" fillId="0" borderId="6" xfId="0" applyFont="1" applyBorder="1" applyAlignment="1" applyProtection="1"/>
    <xf numFmtId="166" fontId="0" fillId="6" borderId="6" xfId="0" applyNumberFormat="1" applyFill="1" applyBorder="1" applyProtection="1"/>
    <xf numFmtId="0" fontId="7" fillId="0" borderId="6" xfId="0" applyFont="1" applyBorder="1" applyAlignment="1" applyProtection="1"/>
    <xf numFmtId="0" fontId="39" fillId="0" borderId="6" xfId="0" applyFont="1" applyBorder="1" applyAlignment="1" applyProtection="1">
      <alignment horizontal="left"/>
    </xf>
    <xf numFmtId="165" fontId="0" fillId="6" borderId="6" xfId="0" applyNumberFormat="1" applyFill="1" applyBorder="1" applyProtection="1"/>
    <xf numFmtId="0" fontId="45" fillId="0" borderId="6" xfId="0" applyFont="1" applyFill="1" applyBorder="1" applyAlignment="1" applyProtection="1">
      <alignment horizontal="left"/>
    </xf>
    <xf numFmtId="0" fontId="0" fillId="6" borderId="6" xfId="0" applyFill="1" applyBorder="1" applyProtection="1"/>
    <xf numFmtId="0" fontId="9" fillId="0" borderId="6" xfId="0" applyFont="1" applyBorder="1" applyProtection="1"/>
    <xf numFmtId="0" fontId="46" fillId="0" borderId="6" xfId="0" applyFont="1" applyBorder="1" applyAlignment="1" applyProtection="1">
      <alignment horizontal="center"/>
    </xf>
    <xf numFmtId="165" fontId="47" fillId="5" borderId="6" xfId="0" applyNumberFormat="1" applyFont="1" applyFill="1" applyBorder="1" applyProtection="1"/>
    <xf numFmtId="0" fontId="40" fillId="0" borderId="6" xfId="0" applyFont="1" applyBorder="1" applyAlignment="1" applyProtection="1">
      <alignment horizontal="left"/>
    </xf>
    <xf numFmtId="0" fontId="48" fillId="0" borderId="6" xfId="0" applyFont="1" applyBorder="1" applyAlignment="1" applyProtection="1"/>
    <xf numFmtId="0" fontId="47" fillId="0" borderId="6" xfId="0" applyFont="1" applyBorder="1" applyProtection="1"/>
    <xf numFmtId="2" fontId="47" fillId="5" borderId="6" xfId="0" applyNumberFormat="1" applyFont="1" applyFill="1" applyBorder="1" applyAlignment="1" applyProtection="1">
      <alignment horizontal="right"/>
    </xf>
    <xf numFmtId="0" fontId="50" fillId="0" borderId="6" xfId="0" applyFont="1" applyFill="1" applyBorder="1" applyAlignment="1" applyProtection="1">
      <alignment horizontal="left"/>
    </xf>
    <xf numFmtId="164" fontId="9" fillId="5" borderId="6" xfId="0" applyNumberFormat="1" applyFont="1" applyFill="1" applyBorder="1" applyAlignment="1" applyProtection="1">
      <alignment horizontal="right"/>
    </xf>
    <xf numFmtId="0" fontId="46" fillId="0" borderId="6" xfId="0" applyFont="1" applyBorder="1" applyProtection="1"/>
    <xf numFmtId="164" fontId="46" fillId="6" borderId="6" xfId="0" applyNumberFormat="1" applyFont="1" applyFill="1" applyBorder="1" applyAlignment="1" applyProtection="1">
      <alignment horizontal="right"/>
    </xf>
    <xf numFmtId="0" fontId="39" fillId="0" borderId="6" xfId="0" applyFont="1" applyBorder="1" applyAlignment="1" applyProtection="1">
      <alignment horizontal="right"/>
    </xf>
    <xf numFmtId="0" fontId="40" fillId="0" borderId="6" xfId="0" applyFont="1" applyBorder="1" applyProtection="1"/>
    <xf numFmtId="0" fontId="47" fillId="5" borderId="6" xfId="0" applyFont="1" applyFill="1" applyBorder="1" applyAlignment="1" applyProtection="1">
      <alignment horizontal="right"/>
    </xf>
    <xf numFmtId="0" fontId="46" fillId="0" borderId="6" xfId="0" applyFont="1" applyBorder="1" applyAlignment="1" applyProtection="1">
      <alignment horizontal="left"/>
    </xf>
    <xf numFmtId="0" fontId="39" fillId="0" borderId="6" xfId="0" applyFont="1" applyBorder="1" applyAlignment="1" applyProtection="1"/>
    <xf numFmtId="0" fontId="0" fillId="0" borderId="0" xfId="0" applyAlignment="1" applyProtection="1">
      <alignment horizontal="right"/>
      <protection locked="0"/>
    </xf>
    <xf numFmtId="0" fontId="0" fillId="0" borderId="0" xfId="0" applyAlignment="1" applyProtection="1">
      <protection locked="0"/>
    </xf>
    <xf numFmtId="0" fontId="0" fillId="0" borderId="10" xfId="0" applyBorder="1" applyAlignment="1" applyProtection="1">
      <protection locked="0"/>
    </xf>
    <xf numFmtId="0" fontId="0" fillId="0" borderId="10" xfId="0" applyBorder="1" applyProtection="1">
      <protection locked="0"/>
    </xf>
    <xf numFmtId="0" fontId="0" fillId="0" borderId="10" xfId="0" applyBorder="1" applyAlignment="1" applyProtection="1">
      <alignment horizontal="right"/>
      <protection locked="0"/>
    </xf>
    <xf numFmtId="0" fontId="4" fillId="6" borderId="10" xfId="0" applyFont="1" applyFill="1" applyBorder="1" applyProtection="1">
      <protection locked="0"/>
    </xf>
    <xf numFmtId="0" fontId="4" fillId="6" borderId="10" xfId="0" applyFont="1" applyFill="1" applyBorder="1" applyAlignment="1" applyProtection="1">
      <alignment horizontal="right"/>
      <protection locked="0"/>
    </xf>
    <xf numFmtId="0" fontId="4" fillId="6" borderId="11" xfId="0" applyFont="1" applyFill="1" applyBorder="1" applyAlignment="1" applyProtection="1">
      <alignment horizontal="right"/>
      <protection locked="0"/>
    </xf>
    <xf numFmtId="0" fontId="4" fillId="6" borderId="6" xfId="0" applyFont="1" applyFill="1" applyBorder="1" applyAlignment="1" applyProtection="1">
      <alignment horizontal="right"/>
      <protection locked="0"/>
    </xf>
    <xf numFmtId="0" fontId="0" fillId="6" borderId="10" xfId="0" applyFill="1" applyBorder="1" applyProtection="1">
      <protection locked="0"/>
    </xf>
    <xf numFmtId="0" fontId="0" fillId="6" borderId="10" xfId="0" applyFill="1" applyBorder="1" applyAlignment="1" applyProtection="1">
      <alignment horizontal="right"/>
      <protection locked="0"/>
    </xf>
    <xf numFmtId="0" fontId="0" fillId="6" borderId="10" xfId="0" applyFill="1" applyBorder="1" applyAlignment="1" applyProtection="1">
      <protection locked="0"/>
    </xf>
    <xf numFmtId="0" fontId="0" fillId="6" borderId="11" xfId="0" applyFill="1" applyBorder="1" applyProtection="1">
      <protection locked="0"/>
    </xf>
    <xf numFmtId="0" fontId="0" fillId="6" borderId="6" xfId="0" applyFill="1" applyBorder="1" applyProtection="1">
      <protection locked="0"/>
    </xf>
    <xf numFmtId="165" fontId="4" fillId="4" borderId="6" xfId="0" applyNumberFormat="1" applyFont="1" applyFill="1" applyBorder="1" applyAlignment="1" applyProtection="1">
      <alignment horizontal="right"/>
      <protection locked="0"/>
    </xf>
    <xf numFmtId="0" fontId="51" fillId="0" borderId="6" xfId="0" applyFont="1" applyFill="1" applyBorder="1" applyAlignment="1" applyProtection="1">
      <alignment horizontal="left"/>
    </xf>
    <xf numFmtId="0" fontId="4" fillId="0" borderId="0" xfId="0" applyFont="1" applyProtection="1"/>
    <xf numFmtId="0" fontId="4" fillId="6" borderId="6" xfId="0" applyFont="1" applyFill="1" applyBorder="1" applyProtection="1"/>
    <xf numFmtId="0" fontId="33" fillId="0" borderId="0" xfId="0" applyFont="1" applyFill="1" applyProtection="1"/>
    <xf numFmtId="0" fontId="0" fillId="0" borderId="0" xfId="0" applyFill="1" applyProtection="1"/>
    <xf numFmtId="0" fontId="0" fillId="5" borderId="6" xfId="0" applyFill="1" applyBorder="1" applyProtection="1"/>
    <xf numFmtId="165" fontId="0" fillId="4" borderId="6" xfId="0" applyNumberFormat="1" applyFill="1" applyBorder="1" applyProtection="1">
      <protection locked="0"/>
    </xf>
    <xf numFmtId="0" fontId="30" fillId="5" borderId="6" xfId="0" applyFont="1" applyFill="1" applyBorder="1" applyProtection="1"/>
    <xf numFmtId="0" fontId="16" fillId="5" borderId="6" xfId="0" applyFont="1" applyFill="1" applyBorder="1" applyProtection="1"/>
    <xf numFmtId="0" fontId="0" fillId="4" borderId="6" xfId="0" applyFill="1" applyBorder="1" applyProtection="1">
      <protection locked="0"/>
    </xf>
    <xf numFmtId="0" fontId="52" fillId="0" borderId="0" xfId="0" applyFont="1" applyProtection="1"/>
    <xf numFmtId="0" fontId="0" fillId="5" borderId="6" xfId="0" applyFont="1" applyFill="1" applyBorder="1" applyProtection="1"/>
    <xf numFmtId="2" fontId="0" fillId="4" borderId="6" xfId="0" applyNumberFormat="1" applyFill="1" applyBorder="1" applyProtection="1">
      <protection locked="0"/>
    </xf>
    <xf numFmtId="0" fontId="42" fillId="5" borderId="6" xfId="0" applyFont="1" applyFill="1" applyBorder="1" applyProtection="1"/>
    <xf numFmtId="0" fontId="0" fillId="4" borderId="6" xfId="0" applyFont="1" applyFill="1" applyBorder="1" applyProtection="1">
      <protection locked="0"/>
    </xf>
    <xf numFmtId="2" fontId="4" fillId="5" borderId="6" xfId="0" applyNumberFormat="1" applyFont="1" applyFill="1" applyBorder="1" applyProtection="1"/>
    <xf numFmtId="165" fontId="0" fillId="5" borderId="6" xfId="0" applyNumberFormat="1" applyFill="1" applyBorder="1" applyProtection="1"/>
    <xf numFmtId="2" fontId="0" fillId="5" borderId="6" xfId="0" applyNumberFormat="1" applyFill="1" applyBorder="1" applyProtection="1"/>
    <xf numFmtId="0" fontId="0" fillId="8" borderId="0" xfId="0" applyFill="1" applyBorder="1" applyProtection="1"/>
    <xf numFmtId="0" fontId="0" fillId="0" borderId="6" xfId="0" applyFill="1" applyBorder="1" applyProtection="1">
      <protection locked="0"/>
    </xf>
    <xf numFmtId="165" fontId="46" fillId="5" borderId="6" xfId="0" applyNumberFormat="1" applyFont="1" applyFill="1" applyBorder="1" applyAlignment="1" applyProtection="1">
      <alignment horizontal="right"/>
      <protection locked="0"/>
    </xf>
    <xf numFmtId="2" fontId="46" fillId="5" borderId="6" xfId="0" applyNumberFormat="1" applyFont="1" applyFill="1" applyBorder="1" applyAlignment="1" applyProtection="1">
      <alignment horizontal="right"/>
      <protection locked="0"/>
    </xf>
    <xf numFmtId="165" fontId="33" fillId="4" borderId="6" xfId="0" applyNumberFormat="1" applyFont="1" applyFill="1" applyBorder="1" applyAlignment="1" applyProtection="1">
      <alignment horizontal="right"/>
      <protection locked="0"/>
    </xf>
    <xf numFmtId="165" fontId="0" fillId="6" borderId="6" xfId="0" applyNumberFormat="1" applyFill="1" applyBorder="1" applyAlignment="1" applyProtection="1">
      <alignment horizontal="right"/>
    </xf>
    <xf numFmtId="0" fontId="16" fillId="0" borderId="6" xfId="0" applyFont="1" applyFill="1" applyBorder="1" applyProtection="1"/>
    <xf numFmtId="1" fontId="16" fillId="6" borderId="6" xfId="0" applyNumberFormat="1" applyFont="1" applyFill="1" applyBorder="1" applyProtection="1">
      <protection locked="0"/>
    </xf>
    <xf numFmtId="168" fontId="16" fillId="6" borderId="6" xfId="0" applyNumberFormat="1" applyFont="1" applyFill="1" applyBorder="1" applyProtection="1">
      <protection locked="0"/>
    </xf>
    <xf numFmtId="0" fontId="16" fillId="6" borderId="6" xfId="0" applyFont="1" applyFill="1" applyBorder="1" applyProtection="1">
      <protection locked="0"/>
    </xf>
    <xf numFmtId="165" fontId="16" fillId="6" borderId="6" xfId="0" applyNumberFormat="1" applyFont="1" applyFill="1" applyBorder="1" applyProtection="1">
      <protection locked="0"/>
    </xf>
    <xf numFmtId="166" fontId="16" fillId="6" borderId="6" xfId="0" applyNumberFormat="1" applyFont="1" applyFill="1" applyBorder="1" applyProtection="1">
      <protection locked="0"/>
    </xf>
    <xf numFmtId="167" fontId="16" fillId="6" borderId="6" xfId="0" applyNumberFormat="1" applyFont="1" applyFill="1" applyBorder="1" applyProtection="1">
      <protection locked="0"/>
    </xf>
    <xf numFmtId="164" fontId="16" fillId="6" borderId="6" xfId="0" applyNumberFormat="1" applyFont="1" applyFill="1" applyBorder="1" applyProtection="1">
      <protection locked="0"/>
    </xf>
    <xf numFmtId="165" fontId="54" fillId="7" borderId="6" xfId="0" applyNumberFormat="1" applyFont="1" applyFill="1" applyBorder="1" applyAlignment="1" applyProtection="1">
      <alignment horizontal="right"/>
      <protection locked="0"/>
    </xf>
    <xf numFmtId="165" fontId="54" fillId="6" borderId="6" xfId="0" applyNumberFormat="1" applyFont="1" applyFill="1" applyBorder="1" applyAlignment="1" applyProtection="1">
      <alignment horizontal="right"/>
      <protection locked="0"/>
    </xf>
    <xf numFmtId="0" fontId="0" fillId="0" borderId="0" xfId="0" applyBorder="1" applyAlignment="1" applyProtection="1">
      <protection locked="0"/>
    </xf>
    <xf numFmtId="0" fontId="0" fillId="0" borderId="12" xfId="0" applyBorder="1" applyAlignment="1" applyProtection="1">
      <protection locked="0"/>
    </xf>
    <xf numFmtId="0" fontId="6" fillId="0" borderId="0" xfId="3" applyAlignment="1" applyProtection="1">
      <alignment horizontal="right"/>
    </xf>
    <xf numFmtId="165" fontId="0" fillId="4" borderId="6" xfId="0" applyNumberFormat="1" applyFont="1" applyFill="1" applyBorder="1" applyAlignment="1" applyProtection="1">
      <alignment horizontal="right"/>
      <protection locked="0"/>
    </xf>
    <xf numFmtId="0" fontId="53" fillId="6" borderId="6" xfId="0" applyFont="1" applyFill="1" applyBorder="1" applyProtection="1"/>
    <xf numFmtId="0" fontId="12" fillId="0" borderId="6" xfId="0" applyFont="1" applyFill="1" applyBorder="1" applyProtection="1"/>
    <xf numFmtId="0" fontId="4" fillId="0" borderId="6" xfId="0" applyFont="1" applyBorder="1" applyProtection="1"/>
    <xf numFmtId="0" fontId="0" fillId="0" borderId="6" xfId="0" applyBorder="1" applyAlignment="1" applyProtection="1">
      <alignment horizontal="right"/>
    </xf>
    <xf numFmtId="0" fontId="0" fillId="0" borderId="6" xfId="0" applyBorder="1" applyAlignment="1" applyProtection="1">
      <alignment horizontal="left"/>
    </xf>
    <xf numFmtId="0" fontId="39" fillId="0" borderId="6" xfId="0" applyFont="1" applyFill="1" applyBorder="1" applyAlignment="1" applyProtection="1">
      <alignment vertical="top" wrapText="1"/>
      <protection locked="0"/>
    </xf>
    <xf numFmtId="166" fontId="46" fillId="5" borderId="6" xfId="0" applyNumberFormat="1" applyFont="1" applyFill="1" applyBorder="1" applyAlignment="1" applyProtection="1">
      <alignment horizontal="right"/>
      <protection locked="0"/>
    </xf>
    <xf numFmtId="164" fontId="0" fillId="5" borderId="6" xfId="0" applyNumberFormat="1" applyFill="1" applyBorder="1" applyAlignment="1" applyProtection="1">
      <alignment horizontal="right"/>
      <protection locked="0"/>
    </xf>
    <xf numFmtId="166" fontId="46" fillId="4" borderId="6" xfId="0" applyNumberFormat="1" applyFont="1" applyFill="1" applyBorder="1" applyAlignment="1" applyProtection="1">
      <alignment horizontal="right"/>
      <protection locked="0"/>
    </xf>
    <xf numFmtId="166" fontId="0" fillId="5" borderId="6" xfId="0" applyNumberFormat="1" applyFill="1" applyBorder="1" applyAlignment="1" applyProtection="1">
      <alignment horizontal="right"/>
      <protection locked="0"/>
    </xf>
    <xf numFmtId="168" fontId="4" fillId="5" borderId="6" xfId="0" applyNumberFormat="1" applyFont="1" applyFill="1" applyBorder="1" applyProtection="1"/>
    <xf numFmtId="11" fontId="0" fillId="0" borderId="0" xfId="0" applyNumberFormat="1"/>
    <xf numFmtId="2" fontId="0" fillId="0" borderId="0" xfId="0" applyNumberFormat="1"/>
    <xf numFmtId="2" fontId="16" fillId="6" borderId="6" xfId="0" applyNumberFormat="1" applyFont="1" applyFill="1" applyBorder="1" applyProtection="1">
      <protection locked="0"/>
    </xf>
    <xf numFmtId="0" fontId="9" fillId="0" borderId="3" xfId="0" applyFont="1" applyBorder="1" applyAlignment="1" applyProtection="1">
      <alignment horizontal="center"/>
    </xf>
    <xf numFmtId="0" fontId="10" fillId="0" borderId="4" xfId="0" applyFont="1" applyBorder="1" applyAlignment="1" applyProtection="1">
      <alignment horizontal="center"/>
    </xf>
    <xf numFmtId="0" fontId="10" fillId="0" borderId="5" xfId="0" applyFont="1" applyBorder="1" applyAlignment="1" applyProtection="1">
      <alignment horizontal="center"/>
    </xf>
  </cellXfs>
  <cellStyles count="4">
    <cellStyle name="Entrée" xfId="1" builtinId="20"/>
    <cellStyle name="Lien hypertexte" xfId="3" builtinId="8"/>
    <cellStyle name="Normal" xfId="0" builtinId="0"/>
    <cellStyle name="Note" xfId="2" builtinId="10"/>
  </cellStyles>
  <dxfs count="10">
    <dxf>
      <font>
        <color theme="0"/>
      </font>
    </dxf>
    <dxf>
      <fill>
        <patternFill>
          <bgColor theme="0" tint="-0.14996795556505021"/>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fmlaLink="$D$272" lockText="1" noThreeD="1"/>
</file>

<file path=xl/ctrlProps/ctrlProp3.xml><?xml version="1.0" encoding="utf-8"?>
<formControlPr xmlns="http://schemas.microsoft.com/office/spreadsheetml/2009/9/main" objectType="CheckBox" fmlaLink="$D$271" lockText="1" noThreeD="1"/>
</file>

<file path=xl/drawings/drawing1.xml><?xml version="1.0" encoding="utf-8"?>
<xdr:wsDr xmlns:xdr="http://schemas.openxmlformats.org/drawingml/2006/spreadsheetDrawing" xmlns:a="http://schemas.openxmlformats.org/drawingml/2006/main">
  <xdr:twoCellAnchor editAs="oneCell">
    <xdr:from>
      <xdr:col>1</xdr:col>
      <xdr:colOff>419100</xdr:colOff>
      <xdr:row>5</xdr:row>
      <xdr:rowOff>38100</xdr:rowOff>
    </xdr:from>
    <xdr:to>
      <xdr:col>4</xdr:col>
      <xdr:colOff>190500</xdr:colOff>
      <xdr:row>23</xdr:row>
      <xdr:rowOff>95250</xdr:rowOff>
    </xdr:to>
    <xdr:sp macro="" textlink="">
      <xdr:nvSpPr>
        <xdr:cNvPr id="3" name="Object 1" hidden="1">
          <a:extLst>
            <a:ext uri="{63B3BB69-23CF-44E3-9099-C40C66FF867C}">
              <a14:compatExt xmlns:a14="http://schemas.microsoft.com/office/drawing/2010/main" spid="_x0000_s53249"/>
            </a:ext>
          </a:extLst>
        </xdr:cNvPr>
        <xdr:cNvSpPr/>
      </xdr:nvSpPr>
      <xdr:spPr bwMode="auto">
        <a:xfrm>
          <a:off x="889000" y="1060450"/>
          <a:ext cx="4616450" cy="151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565150</xdr:colOff>
      <xdr:row>14</xdr:row>
      <xdr:rowOff>88900</xdr:rowOff>
    </xdr:from>
    <xdr:to>
      <xdr:col>4</xdr:col>
      <xdr:colOff>0</xdr:colOff>
      <xdr:row>19</xdr:row>
      <xdr:rowOff>6350</xdr:rowOff>
    </xdr:to>
    <xdr:sp macro="" textlink="">
      <xdr:nvSpPr>
        <xdr:cNvPr id="5" name="Object 3" hidden="1">
          <a:extLst>
            <a:ext uri="{63B3BB69-23CF-44E3-9099-C40C66FF867C}">
              <a14:compatExt xmlns:a14="http://schemas.microsoft.com/office/drawing/2010/main" spid="_x0000_s53251"/>
            </a:ext>
          </a:extLst>
        </xdr:cNvPr>
        <xdr:cNvSpPr/>
      </xdr:nvSpPr>
      <xdr:spPr bwMode="auto">
        <a:xfrm>
          <a:off x="4622800" y="2768600"/>
          <a:ext cx="723900" cy="495300"/>
        </a:xfrm>
        <a:prstGeom prst="rect">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mc:AlternateContent xmlns:mc="http://schemas.openxmlformats.org/markup-compatibility/2006">
    <mc:Choice xmlns:a14="http://schemas.microsoft.com/office/drawing/2010/main" Requires="a14">
      <xdr:twoCellAnchor>
        <xdr:from>
          <xdr:col>5</xdr:col>
          <xdr:colOff>342900</xdr:colOff>
          <xdr:row>247</xdr:row>
          <xdr:rowOff>106680</xdr:rowOff>
        </xdr:from>
        <xdr:to>
          <xdr:col>5</xdr:col>
          <xdr:colOff>2156460</xdr:colOff>
          <xdr:row>273</xdr:row>
          <xdr:rowOff>129540</xdr:rowOff>
        </xdr:to>
        <xdr:sp macro="" textlink="">
          <xdr:nvSpPr>
            <xdr:cNvPr id="1041" name="Button 17" hidden="1">
              <a:extLst>
                <a:ext uri="{63B3BB69-23CF-44E3-9099-C40C66FF867C}">
                  <a14:compatExt spid="_x0000_s1041"/>
                </a:ext>
              </a:extLst>
            </xdr:cNvPr>
            <xdr:cNvSpPr/>
          </xdr:nvSpPr>
          <xdr:spPr bwMode="auto">
            <a:xfrm>
              <a:off x="0" y="0"/>
              <a:ext cx="0" cy="0"/>
            </a:xfrm>
            <a:prstGeom prst="rect">
              <a:avLst/>
            </a:prstGeom>
            <a:noFill/>
            <a:ln w="9525">
              <a:miter lim="800000"/>
              <a:headEnd/>
              <a:tailEnd/>
            </a:ln>
          </xdr:spPr>
          <xdr:txBody>
            <a:bodyPr vertOverflow="clip" wrap="square" lIns="45720" tIns="45720" rIns="45720" bIns="45720" anchor="ctr" upright="1"/>
            <a:lstStyle/>
            <a:p>
              <a:pPr algn="ctr" rtl="0">
                <a:defRPr sz="1000"/>
              </a:pPr>
              <a:r>
                <a:rPr lang="fr-FR" sz="1800" b="0" i="0" u="none" strike="noStrike" baseline="0">
                  <a:solidFill>
                    <a:srgbClr val="000000"/>
                  </a:solidFill>
                  <a:latin typeface="Calibri"/>
                  <a:cs typeface="Calibri"/>
                </a:rPr>
                <a:t>Run FEMM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358140</xdr:colOff>
          <xdr:row>274</xdr:row>
          <xdr:rowOff>60960</xdr:rowOff>
        </xdr:from>
        <xdr:to>
          <xdr:col>5</xdr:col>
          <xdr:colOff>2164080</xdr:colOff>
          <xdr:row>275</xdr:row>
          <xdr:rowOff>83820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Run Sensitivity Analysis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350520</xdr:colOff>
          <xdr:row>275</xdr:row>
          <xdr:rowOff>106680</xdr:rowOff>
        </xdr:from>
        <xdr:to>
          <xdr:col>5</xdr:col>
          <xdr:colOff>1592580</xdr:colOff>
          <xdr:row>276</xdr:row>
          <xdr:rowOff>137160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 Save FEMM simulation</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femm.info/"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4" tint="0.59999389629810485"/>
  </sheetPr>
  <dimension ref="A2:AB332"/>
  <sheetViews>
    <sheetView showGridLines="0" showRowColHeaders="0" tabSelected="1" zoomScale="82" zoomScaleNormal="82" workbookViewId="0">
      <selection activeCell="L53" sqref="L53"/>
    </sheetView>
  </sheetViews>
  <sheetFormatPr baseColWidth="10" defaultColWidth="8.88671875" defaultRowHeight="14.4" x14ac:dyDescent="0.3"/>
  <cols>
    <col min="1" max="1" width="6.77734375" style="2" customWidth="1"/>
    <col min="2" max="2" width="42.21875" style="2" customWidth="1"/>
    <col min="3" max="3" width="8.77734375" style="2"/>
    <col min="4" max="4" width="18.44140625" style="3" customWidth="1"/>
    <col min="5" max="5" width="8.5546875" style="3" customWidth="1"/>
    <col min="6" max="6" width="52" style="6" customWidth="1"/>
    <col min="7" max="7" width="9.44140625" style="2" customWidth="1"/>
    <col min="8" max="9" width="8.77734375" style="2" customWidth="1"/>
    <col min="10" max="243" width="8.77734375" style="2"/>
    <col min="244" max="244" width="6.77734375" style="2" customWidth="1"/>
    <col min="245" max="245" width="42.21875" style="2" customWidth="1"/>
    <col min="246" max="246" width="8.77734375" style="2"/>
    <col min="247" max="247" width="17.44140625" style="2" customWidth="1"/>
    <col min="248" max="248" width="8.5546875" style="2" customWidth="1"/>
    <col min="249" max="249" width="0" style="2" hidden="1" customWidth="1"/>
    <col min="250" max="250" width="44.77734375" style="2" customWidth="1"/>
    <col min="251" max="252" width="8.77734375" style="2"/>
    <col min="253" max="253" width="3.21875" style="2" customWidth="1"/>
    <col min="254" max="254" width="3.77734375" style="2" customWidth="1"/>
    <col min="255" max="255" width="8.5546875" style="2" customWidth="1"/>
    <col min="256" max="256" width="8.77734375" style="2" customWidth="1"/>
    <col min="257" max="257" width="7.44140625" style="2" customWidth="1"/>
    <col min="258" max="258" width="8.21875" style="2" customWidth="1"/>
    <col min="259" max="259" width="8" style="2" customWidth="1"/>
    <col min="260" max="260" width="8.21875" style="2" customWidth="1"/>
    <col min="261" max="261" width="9" style="2" customWidth="1"/>
    <col min="262" max="262" width="9.21875" style="2" customWidth="1"/>
    <col min="263" max="263" width="8.5546875" style="2" customWidth="1"/>
    <col min="264" max="264" width="11.44140625" style="2" customWidth="1"/>
    <col min="265" max="499" width="8.77734375" style="2"/>
    <col min="500" max="500" width="6.77734375" style="2" customWidth="1"/>
    <col min="501" max="501" width="42.21875" style="2" customWidth="1"/>
    <col min="502" max="502" width="8.77734375" style="2"/>
    <col min="503" max="503" width="17.44140625" style="2" customWidth="1"/>
    <col min="504" max="504" width="8.5546875" style="2" customWidth="1"/>
    <col min="505" max="505" width="0" style="2" hidden="1" customWidth="1"/>
    <col min="506" max="506" width="44.77734375" style="2" customWidth="1"/>
    <col min="507" max="508" width="8.77734375" style="2"/>
    <col min="509" max="509" width="3.21875" style="2" customWidth="1"/>
    <col min="510" max="510" width="3.77734375" style="2" customWidth="1"/>
    <col min="511" max="511" width="8.5546875" style="2" customWidth="1"/>
    <col min="512" max="512" width="8.77734375" style="2" customWidth="1"/>
    <col min="513" max="513" width="7.44140625" style="2" customWidth="1"/>
    <col min="514" max="514" width="8.21875" style="2" customWidth="1"/>
    <col min="515" max="515" width="8" style="2" customWidth="1"/>
    <col min="516" max="516" width="8.21875" style="2" customWidth="1"/>
    <col min="517" max="517" width="9" style="2" customWidth="1"/>
    <col min="518" max="518" width="9.21875" style="2" customWidth="1"/>
    <col min="519" max="519" width="8.5546875" style="2" customWidth="1"/>
    <col min="520" max="520" width="11.44140625" style="2" customWidth="1"/>
    <col min="521" max="755" width="8.77734375" style="2"/>
    <col min="756" max="756" width="6.77734375" style="2" customWidth="1"/>
    <col min="757" max="757" width="42.21875" style="2" customWidth="1"/>
    <col min="758" max="758" width="8.77734375" style="2"/>
    <col min="759" max="759" width="17.44140625" style="2" customWidth="1"/>
    <col min="760" max="760" width="8.5546875" style="2" customWidth="1"/>
    <col min="761" max="761" width="0" style="2" hidden="1" customWidth="1"/>
    <col min="762" max="762" width="44.77734375" style="2" customWidth="1"/>
    <col min="763" max="764" width="8.77734375" style="2"/>
    <col min="765" max="765" width="3.21875" style="2" customWidth="1"/>
    <col min="766" max="766" width="3.77734375" style="2" customWidth="1"/>
    <col min="767" max="767" width="8.5546875" style="2" customWidth="1"/>
    <col min="768" max="768" width="8.77734375" style="2" customWidth="1"/>
    <col min="769" max="769" width="7.44140625" style="2" customWidth="1"/>
    <col min="770" max="770" width="8.21875" style="2" customWidth="1"/>
    <col min="771" max="771" width="8" style="2" customWidth="1"/>
    <col min="772" max="772" width="8.21875" style="2" customWidth="1"/>
    <col min="773" max="773" width="9" style="2" customWidth="1"/>
    <col min="774" max="774" width="9.21875" style="2" customWidth="1"/>
    <col min="775" max="775" width="8.5546875" style="2" customWidth="1"/>
    <col min="776" max="776" width="11.44140625" style="2" customWidth="1"/>
    <col min="777" max="1011" width="8.77734375" style="2"/>
    <col min="1012" max="1012" width="6.77734375" style="2" customWidth="1"/>
    <col min="1013" max="1013" width="42.21875" style="2" customWidth="1"/>
    <col min="1014" max="1014" width="8.77734375" style="2"/>
    <col min="1015" max="1015" width="17.44140625" style="2" customWidth="1"/>
    <col min="1016" max="1016" width="8.5546875" style="2" customWidth="1"/>
    <col min="1017" max="1017" width="0" style="2" hidden="1" customWidth="1"/>
    <col min="1018" max="1018" width="44.77734375" style="2" customWidth="1"/>
    <col min="1019" max="1020" width="8.77734375" style="2"/>
    <col min="1021" max="1021" width="3.21875" style="2" customWidth="1"/>
    <col min="1022" max="1022" width="3.77734375" style="2" customWidth="1"/>
    <col min="1023" max="1023" width="8.5546875" style="2" customWidth="1"/>
    <col min="1024" max="1024" width="8.77734375" style="2" customWidth="1"/>
    <col min="1025" max="1025" width="7.44140625" style="2" customWidth="1"/>
    <col min="1026" max="1026" width="8.21875" style="2" customWidth="1"/>
    <col min="1027" max="1027" width="8" style="2" customWidth="1"/>
    <col min="1028" max="1028" width="8.21875" style="2" customWidth="1"/>
    <col min="1029" max="1029" width="9" style="2" customWidth="1"/>
    <col min="1030" max="1030" width="9.21875" style="2" customWidth="1"/>
    <col min="1031" max="1031" width="8.5546875" style="2" customWidth="1"/>
    <col min="1032" max="1032" width="11.44140625" style="2" customWidth="1"/>
    <col min="1033" max="1267" width="8.77734375" style="2"/>
    <col min="1268" max="1268" width="6.77734375" style="2" customWidth="1"/>
    <col min="1269" max="1269" width="42.21875" style="2" customWidth="1"/>
    <col min="1270" max="1270" width="8.77734375" style="2"/>
    <col min="1271" max="1271" width="17.44140625" style="2" customWidth="1"/>
    <col min="1272" max="1272" width="8.5546875" style="2" customWidth="1"/>
    <col min="1273" max="1273" width="0" style="2" hidden="1" customWidth="1"/>
    <col min="1274" max="1274" width="44.77734375" style="2" customWidth="1"/>
    <col min="1275" max="1276" width="8.77734375" style="2"/>
    <col min="1277" max="1277" width="3.21875" style="2" customWidth="1"/>
    <col min="1278" max="1278" width="3.77734375" style="2" customWidth="1"/>
    <col min="1279" max="1279" width="8.5546875" style="2" customWidth="1"/>
    <col min="1280" max="1280" width="8.77734375" style="2" customWidth="1"/>
    <col min="1281" max="1281" width="7.44140625" style="2" customWidth="1"/>
    <col min="1282" max="1282" width="8.21875" style="2" customWidth="1"/>
    <col min="1283" max="1283" width="8" style="2" customWidth="1"/>
    <col min="1284" max="1284" width="8.21875" style="2" customWidth="1"/>
    <col min="1285" max="1285" width="9" style="2" customWidth="1"/>
    <col min="1286" max="1286" width="9.21875" style="2" customWidth="1"/>
    <col min="1287" max="1287" width="8.5546875" style="2" customWidth="1"/>
    <col min="1288" max="1288" width="11.44140625" style="2" customWidth="1"/>
    <col min="1289" max="1523" width="8.77734375" style="2"/>
    <col min="1524" max="1524" width="6.77734375" style="2" customWidth="1"/>
    <col min="1525" max="1525" width="42.21875" style="2" customWidth="1"/>
    <col min="1526" max="1526" width="8.77734375" style="2"/>
    <col min="1527" max="1527" width="17.44140625" style="2" customWidth="1"/>
    <col min="1528" max="1528" width="8.5546875" style="2" customWidth="1"/>
    <col min="1529" max="1529" width="0" style="2" hidden="1" customWidth="1"/>
    <col min="1530" max="1530" width="44.77734375" style="2" customWidth="1"/>
    <col min="1531" max="1532" width="8.77734375" style="2"/>
    <col min="1533" max="1533" width="3.21875" style="2" customWidth="1"/>
    <col min="1534" max="1534" width="3.77734375" style="2" customWidth="1"/>
    <col min="1535" max="1535" width="8.5546875" style="2" customWidth="1"/>
    <col min="1536" max="1536" width="8.77734375" style="2" customWidth="1"/>
    <col min="1537" max="1537" width="7.44140625" style="2" customWidth="1"/>
    <col min="1538" max="1538" width="8.21875" style="2" customWidth="1"/>
    <col min="1539" max="1539" width="8" style="2" customWidth="1"/>
    <col min="1540" max="1540" width="8.21875" style="2" customWidth="1"/>
    <col min="1541" max="1541" width="9" style="2" customWidth="1"/>
    <col min="1542" max="1542" width="9.21875" style="2" customWidth="1"/>
    <col min="1543" max="1543" width="8.5546875" style="2" customWidth="1"/>
    <col min="1544" max="1544" width="11.44140625" style="2" customWidth="1"/>
    <col min="1545" max="1779" width="8.77734375" style="2"/>
    <col min="1780" max="1780" width="6.77734375" style="2" customWidth="1"/>
    <col min="1781" max="1781" width="42.21875" style="2" customWidth="1"/>
    <col min="1782" max="1782" width="8.77734375" style="2"/>
    <col min="1783" max="1783" width="17.44140625" style="2" customWidth="1"/>
    <col min="1784" max="1784" width="8.5546875" style="2" customWidth="1"/>
    <col min="1785" max="1785" width="0" style="2" hidden="1" customWidth="1"/>
    <col min="1786" max="1786" width="44.77734375" style="2" customWidth="1"/>
    <col min="1787" max="1788" width="8.77734375" style="2"/>
    <col min="1789" max="1789" width="3.21875" style="2" customWidth="1"/>
    <col min="1790" max="1790" width="3.77734375" style="2" customWidth="1"/>
    <col min="1791" max="1791" width="8.5546875" style="2" customWidth="1"/>
    <col min="1792" max="1792" width="8.77734375" style="2" customWidth="1"/>
    <col min="1793" max="1793" width="7.44140625" style="2" customWidth="1"/>
    <col min="1794" max="1794" width="8.21875" style="2" customWidth="1"/>
    <col min="1795" max="1795" width="8" style="2" customWidth="1"/>
    <col min="1796" max="1796" width="8.21875" style="2" customWidth="1"/>
    <col min="1797" max="1797" width="9" style="2" customWidth="1"/>
    <col min="1798" max="1798" width="9.21875" style="2" customWidth="1"/>
    <col min="1799" max="1799" width="8.5546875" style="2" customWidth="1"/>
    <col min="1800" max="1800" width="11.44140625" style="2" customWidth="1"/>
    <col min="1801" max="2035" width="8.77734375" style="2"/>
    <col min="2036" max="2036" width="6.77734375" style="2" customWidth="1"/>
    <col min="2037" max="2037" width="42.21875" style="2" customWidth="1"/>
    <col min="2038" max="2038" width="8.77734375" style="2"/>
    <col min="2039" max="2039" width="17.44140625" style="2" customWidth="1"/>
    <col min="2040" max="2040" width="8.5546875" style="2" customWidth="1"/>
    <col min="2041" max="2041" width="0" style="2" hidden="1" customWidth="1"/>
    <col min="2042" max="2042" width="44.77734375" style="2" customWidth="1"/>
    <col min="2043" max="2044" width="8.77734375" style="2"/>
    <col min="2045" max="2045" width="3.21875" style="2" customWidth="1"/>
    <col min="2046" max="2046" width="3.77734375" style="2" customWidth="1"/>
    <col min="2047" max="2047" width="8.5546875" style="2" customWidth="1"/>
    <col min="2048" max="2048" width="8.77734375" style="2" customWidth="1"/>
    <col min="2049" max="2049" width="7.44140625" style="2" customWidth="1"/>
    <col min="2050" max="2050" width="8.21875" style="2" customWidth="1"/>
    <col min="2051" max="2051" width="8" style="2" customWidth="1"/>
    <col min="2052" max="2052" width="8.21875" style="2" customWidth="1"/>
    <col min="2053" max="2053" width="9" style="2" customWidth="1"/>
    <col min="2054" max="2054" width="9.21875" style="2" customWidth="1"/>
    <col min="2055" max="2055" width="8.5546875" style="2" customWidth="1"/>
    <col min="2056" max="2056" width="11.44140625" style="2" customWidth="1"/>
    <col min="2057" max="2291" width="8.77734375" style="2"/>
    <col min="2292" max="2292" width="6.77734375" style="2" customWidth="1"/>
    <col min="2293" max="2293" width="42.21875" style="2" customWidth="1"/>
    <col min="2294" max="2294" width="8.77734375" style="2"/>
    <col min="2295" max="2295" width="17.44140625" style="2" customWidth="1"/>
    <col min="2296" max="2296" width="8.5546875" style="2" customWidth="1"/>
    <col min="2297" max="2297" width="0" style="2" hidden="1" customWidth="1"/>
    <col min="2298" max="2298" width="44.77734375" style="2" customWidth="1"/>
    <col min="2299" max="2300" width="8.77734375" style="2"/>
    <col min="2301" max="2301" width="3.21875" style="2" customWidth="1"/>
    <col min="2302" max="2302" width="3.77734375" style="2" customWidth="1"/>
    <col min="2303" max="2303" width="8.5546875" style="2" customWidth="1"/>
    <col min="2304" max="2304" width="8.77734375" style="2" customWidth="1"/>
    <col min="2305" max="2305" width="7.44140625" style="2" customWidth="1"/>
    <col min="2306" max="2306" width="8.21875" style="2" customWidth="1"/>
    <col min="2307" max="2307" width="8" style="2" customWidth="1"/>
    <col min="2308" max="2308" width="8.21875" style="2" customWidth="1"/>
    <col min="2309" max="2309" width="9" style="2" customWidth="1"/>
    <col min="2310" max="2310" width="9.21875" style="2" customWidth="1"/>
    <col min="2311" max="2311" width="8.5546875" style="2" customWidth="1"/>
    <col min="2312" max="2312" width="11.44140625" style="2" customWidth="1"/>
    <col min="2313" max="2547" width="8.77734375" style="2"/>
    <col min="2548" max="2548" width="6.77734375" style="2" customWidth="1"/>
    <col min="2549" max="2549" width="42.21875" style="2" customWidth="1"/>
    <col min="2550" max="2550" width="8.77734375" style="2"/>
    <col min="2551" max="2551" width="17.44140625" style="2" customWidth="1"/>
    <col min="2552" max="2552" width="8.5546875" style="2" customWidth="1"/>
    <col min="2553" max="2553" width="0" style="2" hidden="1" customWidth="1"/>
    <col min="2554" max="2554" width="44.77734375" style="2" customWidth="1"/>
    <col min="2555" max="2556" width="8.77734375" style="2"/>
    <col min="2557" max="2557" width="3.21875" style="2" customWidth="1"/>
    <col min="2558" max="2558" width="3.77734375" style="2" customWidth="1"/>
    <col min="2559" max="2559" width="8.5546875" style="2" customWidth="1"/>
    <col min="2560" max="2560" width="8.77734375" style="2" customWidth="1"/>
    <col min="2561" max="2561" width="7.44140625" style="2" customWidth="1"/>
    <col min="2562" max="2562" width="8.21875" style="2" customWidth="1"/>
    <col min="2563" max="2563" width="8" style="2" customWidth="1"/>
    <col min="2564" max="2564" width="8.21875" style="2" customWidth="1"/>
    <col min="2565" max="2565" width="9" style="2" customWidth="1"/>
    <col min="2566" max="2566" width="9.21875" style="2" customWidth="1"/>
    <col min="2567" max="2567" width="8.5546875" style="2" customWidth="1"/>
    <col min="2568" max="2568" width="11.44140625" style="2" customWidth="1"/>
    <col min="2569" max="2803" width="8.77734375" style="2"/>
    <col min="2804" max="2804" width="6.77734375" style="2" customWidth="1"/>
    <col min="2805" max="2805" width="42.21875" style="2" customWidth="1"/>
    <col min="2806" max="2806" width="8.77734375" style="2"/>
    <col min="2807" max="2807" width="17.44140625" style="2" customWidth="1"/>
    <col min="2808" max="2808" width="8.5546875" style="2" customWidth="1"/>
    <col min="2809" max="2809" width="0" style="2" hidden="1" customWidth="1"/>
    <col min="2810" max="2810" width="44.77734375" style="2" customWidth="1"/>
    <col min="2811" max="2812" width="8.77734375" style="2"/>
    <col min="2813" max="2813" width="3.21875" style="2" customWidth="1"/>
    <col min="2814" max="2814" width="3.77734375" style="2" customWidth="1"/>
    <col min="2815" max="2815" width="8.5546875" style="2" customWidth="1"/>
    <col min="2816" max="2816" width="8.77734375" style="2" customWidth="1"/>
    <col min="2817" max="2817" width="7.44140625" style="2" customWidth="1"/>
    <col min="2818" max="2818" width="8.21875" style="2" customWidth="1"/>
    <col min="2819" max="2819" width="8" style="2" customWidth="1"/>
    <col min="2820" max="2820" width="8.21875" style="2" customWidth="1"/>
    <col min="2821" max="2821" width="9" style="2" customWidth="1"/>
    <col min="2822" max="2822" width="9.21875" style="2" customWidth="1"/>
    <col min="2823" max="2823" width="8.5546875" style="2" customWidth="1"/>
    <col min="2824" max="2824" width="11.44140625" style="2" customWidth="1"/>
    <col min="2825" max="3059" width="8.77734375" style="2"/>
    <col min="3060" max="3060" width="6.77734375" style="2" customWidth="1"/>
    <col min="3061" max="3061" width="42.21875" style="2" customWidth="1"/>
    <col min="3062" max="3062" width="8.77734375" style="2"/>
    <col min="3063" max="3063" width="17.44140625" style="2" customWidth="1"/>
    <col min="3064" max="3064" width="8.5546875" style="2" customWidth="1"/>
    <col min="3065" max="3065" width="0" style="2" hidden="1" customWidth="1"/>
    <col min="3066" max="3066" width="44.77734375" style="2" customWidth="1"/>
    <col min="3067" max="3068" width="8.77734375" style="2"/>
    <col min="3069" max="3069" width="3.21875" style="2" customWidth="1"/>
    <col min="3070" max="3070" width="3.77734375" style="2" customWidth="1"/>
    <col min="3071" max="3071" width="8.5546875" style="2" customWidth="1"/>
    <col min="3072" max="3072" width="8.77734375" style="2" customWidth="1"/>
    <col min="3073" max="3073" width="7.44140625" style="2" customWidth="1"/>
    <col min="3074" max="3074" width="8.21875" style="2" customWidth="1"/>
    <col min="3075" max="3075" width="8" style="2" customWidth="1"/>
    <col min="3076" max="3076" width="8.21875" style="2" customWidth="1"/>
    <col min="3077" max="3077" width="9" style="2" customWidth="1"/>
    <col min="3078" max="3078" width="9.21875" style="2" customWidth="1"/>
    <col min="3079" max="3079" width="8.5546875" style="2" customWidth="1"/>
    <col min="3080" max="3080" width="11.44140625" style="2" customWidth="1"/>
    <col min="3081" max="3315" width="8.77734375" style="2"/>
    <col min="3316" max="3316" width="6.77734375" style="2" customWidth="1"/>
    <col min="3317" max="3317" width="42.21875" style="2" customWidth="1"/>
    <col min="3318" max="3318" width="8.77734375" style="2"/>
    <col min="3319" max="3319" width="17.44140625" style="2" customWidth="1"/>
    <col min="3320" max="3320" width="8.5546875" style="2" customWidth="1"/>
    <col min="3321" max="3321" width="0" style="2" hidden="1" customWidth="1"/>
    <col min="3322" max="3322" width="44.77734375" style="2" customWidth="1"/>
    <col min="3323" max="3324" width="8.77734375" style="2"/>
    <col min="3325" max="3325" width="3.21875" style="2" customWidth="1"/>
    <col min="3326" max="3326" width="3.77734375" style="2" customWidth="1"/>
    <col min="3327" max="3327" width="8.5546875" style="2" customWidth="1"/>
    <col min="3328" max="3328" width="8.77734375" style="2" customWidth="1"/>
    <col min="3329" max="3329" width="7.44140625" style="2" customWidth="1"/>
    <col min="3330" max="3330" width="8.21875" style="2" customWidth="1"/>
    <col min="3331" max="3331" width="8" style="2" customWidth="1"/>
    <col min="3332" max="3332" width="8.21875" style="2" customWidth="1"/>
    <col min="3333" max="3333" width="9" style="2" customWidth="1"/>
    <col min="3334" max="3334" width="9.21875" style="2" customWidth="1"/>
    <col min="3335" max="3335" width="8.5546875" style="2" customWidth="1"/>
    <col min="3336" max="3336" width="11.44140625" style="2" customWidth="1"/>
    <col min="3337" max="3571" width="8.77734375" style="2"/>
    <col min="3572" max="3572" width="6.77734375" style="2" customWidth="1"/>
    <col min="3573" max="3573" width="42.21875" style="2" customWidth="1"/>
    <col min="3574" max="3574" width="8.77734375" style="2"/>
    <col min="3575" max="3575" width="17.44140625" style="2" customWidth="1"/>
    <col min="3576" max="3576" width="8.5546875" style="2" customWidth="1"/>
    <col min="3577" max="3577" width="0" style="2" hidden="1" customWidth="1"/>
    <col min="3578" max="3578" width="44.77734375" style="2" customWidth="1"/>
    <col min="3579" max="3580" width="8.77734375" style="2"/>
    <col min="3581" max="3581" width="3.21875" style="2" customWidth="1"/>
    <col min="3582" max="3582" width="3.77734375" style="2" customWidth="1"/>
    <col min="3583" max="3583" width="8.5546875" style="2" customWidth="1"/>
    <col min="3584" max="3584" width="8.77734375" style="2" customWidth="1"/>
    <col min="3585" max="3585" width="7.44140625" style="2" customWidth="1"/>
    <col min="3586" max="3586" width="8.21875" style="2" customWidth="1"/>
    <col min="3587" max="3587" width="8" style="2" customWidth="1"/>
    <col min="3588" max="3588" width="8.21875" style="2" customWidth="1"/>
    <col min="3589" max="3589" width="9" style="2" customWidth="1"/>
    <col min="3590" max="3590" width="9.21875" style="2" customWidth="1"/>
    <col min="3591" max="3591" width="8.5546875" style="2" customWidth="1"/>
    <col min="3592" max="3592" width="11.44140625" style="2" customWidth="1"/>
    <col min="3593" max="3827" width="8.77734375" style="2"/>
    <col min="3828" max="3828" width="6.77734375" style="2" customWidth="1"/>
    <col min="3829" max="3829" width="42.21875" style="2" customWidth="1"/>
    <col min="3830" max="3830" width="8.77734375" style="2"/>
    <col min="3831" max="3831" width="17.44140625" style="2" customWidth="1"/>
    <col min="3832" max="3832" width="8.5546875" style="2" customWidth="1"/>
    <col min="3833" max="3833" width="0" style="2" hidden="1" customWidth="1"/>
    <col min="3834" max="3834" width="44.77734375" style="2" customWidth="1"/>
    <col min="3835" max="3836" width="8.77734375" style="2"/>
    <col min="3837" max="3837" width="3.21875" style="2" customWidth="1"/>
    <col min="3838" max="3838" width="3.77734375" style="2" customWidth="1"/>
    <col min="3839" max="3839" width="8.5546875" style="2" customWidth="1"/>
    <col min="3840" max="3840" width="8.77734375" style="2" customWidth="1"/>
    <col min="3841" max="3841" width="7.44140625" style="2" customWidth="1"/>
    <col min="3842" max="3842" width="8.21875" style="2" customWidth="1"/>
    <col min="3843" max="3843" width="8" style="2" customWidth="1"/>
    <col min="3844" max="3844" width="8.21875" style="2" customWidth="1"/>
    <col min="3845" max="3845" width="9" style="2" customWidth="1"/>
    <col min="3846" max="3846" width="9.21875" style="2" customWidth="1"/>
    <col min="3847" max="3847" width="8.5546875" style="2" customWidth="1"/>
    <col min="3848" max="3848" width="11.44140625" style="2" customWidth="1"/>
    <col min="3849" max="4083" width="8.77734375" style="2"/>
    <col min="4084" max="4084" width="6.77734375" style="2" customWidth="1"/>
    <col min="4085" max="4085" width="42.21875" style="2" customWidth="1"/>
    <col min="4086" max="4086" width="8.77734375" style="2"/>
    <col min="4087" max="4087" width="17.44140625" style="2" customWidth="1"/>
    <col min="4088" max="4088" width="8.5546875" style="2" customWidth="1"/>
    <col min="4089" max="4089" width="0" style="2" hidden="1" customWidth="1"/>
    <col min="4090" max="4090" width="44.77734375" style="2" customWidth="1"/>
    <col min="4091" max="4092" width="8.77734375" style="2"/>
    <col min="4093" max="4093" width="3.21875" style="2" customWidth="1"/>
    <col min="4094" max="4094" width="3.77734375" style="2" customWidth="1"/>
    <col min="4095" max="4095" width="8.5546875" style="2" customWidth="1"/>
    <col min="4096" max="4096" width="8.77734375" style="2" customWidth="1"/>
    <col min="4097" max="4097" width="7.44140625" style="2" customWidth="1"/>
    <col min="4098" max="4098" width="8.21875" style="2" customWidth="1"/>
    <col min="4099" max="4099" width="8" style="2" customWidth="1"/>
    <col min="4100" max="4100" width="8.21875" style="2" customWidth="1"/>
    <col min="4101" max="4101" width="9" style="2" customWidth="1"/>
    <col min="4102" max="4102" width="9.21875" style="2" customWidth="1"/>
    <col min="4103" max="4103" width="8.5546875" style="2" customWidth="1"/>
    <col min="4104" max="4104" width="11.44140625" style="2" customWidth="1"/>
    <col min="4105" max="4339" width="8.77734375" style="2"/>
    <col min="4340" max="4340" width="6.77734375" style="2" customWidth="1"/>
    <col min="4341" max="4341" width="42.21875" style="2" customWidth="1"/>
    <col min="4342" max="4342" width="8.77734375" style="2"/>
    <col min="4343" max="4343" width="17.44140625" style="2" customWidth="1"/>
    <col min="4344" max="4344" width="8.5546875" style="2" customWidth="1"/>
    <col min="4345" max="4345" width="0" style="2" hidden="1" customWidth="1"/>
    <col min="4346" max="4346" width="44.77734375" style="2" customWidth="1"/>
    <col min="4347" max="4348" width="8.77734375" style="2"/>
    <col min="4349" max="4349" width="3.21875" style="2" customWidth="1"/>
    <col min="4350" max="4350" width="3.77734375" style="2" customWidth="1"/>
    <col min="4351" max="4351" width="8.5546875" style="2" customWidth="1"/>
    <col min="4352" max="4352" width="8.77734375" style="2" customWidth="1"/>
    <col min="4353" max="4353" width="7.44140625" style="2" customWidth="1"/>
    <col min="4354" max="4354" width="8.21875" style="2" customWidth="1"/>
    <col min="4355" max="4355" width="8" style="2" customWidth="1"/>
    <col min="4356" max="4356" width="8.21875" style="2" customWidth="1"/>
    <col min="4357" max="4357" width="9" style="2" customWidth="1"/>
    <col min="4358" max="4358" width="9.21875" style="2" customWidth="1"/>
    <col min="4359" max="4359" width="8.5546875" style="2" customWidth="1"/>
    <col min="4360" max="4360" width="11.44140625" style="2" customWidth="1"/>
    <col min="4361" max="4595" width="8.77734375" style="2"/>
    <col min="4596" max="4596" width="6.77734375" style="2" customWidth="1"/>
    <col min="4597" max="4597" width="42.21875" style="2" customWidth="1"/>
    <col min="4598" max="4598" width="8.77734375" style="2"/>
    <col min="4599" max="4599" width="17.44140625" style="2" customWidth="1"/>
    <col min="4600" max="4600" width="8.5546875" style="2" customWidth="1"/>
    <col min="4601" max="4601" width="0" style="2" hidden="1" customWidth="1"/>
    <col min="4602" max="4602" width="44.77734375" style="2" customWidth="1"/>
    <col min="4603" max="4604" width="8.77734375" style="2"/>
    <col min="4605" max="4605" width="3.21875" style="2" customWidth="1"/>
    <col min="4606" max="4606" width="3.77734375" style="2" customWidth="1"/>
    <col min="4607" max="4607" width="8.5546875" style="2" customWidth="1"/>
    <col min="4608" max="4608" width="8.77734375" style="2" customWidth="1"/>
    <col min="4609" max="4609" width="7.44140625" style="2" customWidth="1"/>
    <col min="4610" max="4610" width="8.21875" style="2" customWidth="1"/>
    <col min="4611" max="4611" width="8" style="2" customWidth="1"/>
    <col min="4612" max="4612" width="8.21875" style="2" customWidth="1"/>
    <col min="4613" max="4613" width="9" style="2" customWidth="1"/>
    <col min="4614" max="4614" width="9.21875" style="2" customWidth="1"/>
    <col min="4615" max="4615" width="8.5546875" style="2" customWidth="1"/>
    <col min="4616" max="4616" width="11.44140625" style="2" customWidth="1"/>
    <col min="4617" max="4851" width="8.77734375" style="2"/>
    <col min="4852" max="4852" width="6.77734375" style="2" customWidth="1"/>
    <col min="4853" max="4853" width="42.21875" style="2" customWidth="1"/>
    <col min="4854" max="4854" width="8.77734375" style="2"/>
    <col min="4855" max="4855" width="17.44140625" style="2" customWidth="1"/>
    <col min="4856" max="4856" width="8.5546875" style="2" customWidth="1"/>
    <col min="4857" max="4857" width="0" style="2" hidden="1" customWidth="1"/>
    <col min="4858" max="4858" width="44.77734375" style="2" customWidth="1"/>
    <col min="4859" max="4860" width="8.77734375" style="2"/>
    <col min="4861" max="4861" width="3.21875" style="2" customWidth="1"/>
    <col min="4862" max="4862" width="3.77734375" style="2" customWidth="1"/>
    <col min="4863" max="4863" width="8.5546875" style="2" customWidth="1"/>
    <col min="4864" max="4864" width="8.77734375" style="2" customWidth="1"/>
    <col min="4865" max="4865" width="7.44140625" style="2" customWidth="1"/>
    <col min="4866" max="4866" width="8.21875" style="2" customWidth="1"/>
    <col min="4867" max="4867" width="8" style="2" customWidth="1"/>
    <col min="4868" max="4868" width="8.21875" style="2" customWidth="1"/>
    <col min="4869" max="4869" width="9" style="2" customWidth="1"/>
    <col min="4870" max="4870" width="9.21875" style="2" customWidth="1"/>
    <col min="4871" max="4871" width="8.5546875" style="2" customWidth="1"/>
    <col min="4872" max="4872" width="11.44140625" style="2" customWidth="1"/>
    <col min="4873" max="5107" width="8.77734375" style="2"/>
    <col min="5108" max="5108" width="6.77734375" style="2" customWidth="1"/>
    <col min="5109" max="5109" width="42.21875" style="2" customWidth="1"/>
    <col min="5110" max="5110" width="8.77734375" style="2"/>
    <col min="5111" max="5111" width="17.44140625" style="2" customWidth="1"/>
    <col min="5112" max="5112" width="8.5546875" style="2" customWidth="1"/>
    <col min="5113" max="5113" width="0" style="2" hidden="1" customWidth="1"/>
    <col min="5114" max="5114" width="44.77734375" style="2" customWidth="1"/>
    <col min="5115" max="5116" width="8.77734375" style="2"/>
    <col min="5117" max="5117" width="3.21875" style="2" customWidth="1"/>
    <col min="5118" max="5118" width="3.77734375" style="2" customWidth="1"/>
    <col min="5119" max="5119" width="8.5546875" style="2" customWidth="1"/>
    <col min="5120" max="5120" width="8.77734375" style="2" customWidth="1"/>
    <col min="5121" max="5121" width="7.44140625" style="2" customWidth="1"/>
    <col min="5122" max="5122" width="8.21875" style="2" customWidth="1"/>
    <col min="5123" max="5123" width="8" style="2" customWidth="1"/>
    <col min="5124" max="5124" width="8.21875" style="2" customWidth="1"/>
    <col min="5125" max="5125" width="9" style="2" customWidth="1"/>
    <col min="5126" max="5126" width="9.21875" style="2" customWidth="1"/>
    <col min="5127" max="5127" width="8.5546875" style="2" customWidth="1"/>
    <col min="5128" max="5128" width="11.44140625" style="2" customWidth="1"/>
    <col min="5129" max="5363" width="8.77734375" style="2"/>
    <col min="5364" max="5364" width="6.77734375" style="2" customWidth="1"/>
    <col min="5365" max="5365" width="42.21875" style="2" customWidth="1"/>
    <col min="5366" max="5366" width="8.77734375" style="2"/>
    <col min="5367" max="5367" width="17.44140625" style="2" customWidth="1"/>
    <col min="5368" max="5368" width="8.5546875" style="2" customWidth="1"/>
    <col min="5369" max="5369" width="0" style="2" hidden="1" customWidth="1"/>
    <col min="5370" max="5370" width="44.77734375" style="2" customWidth="1"/>
    <col min="5371" max="5372" width="8.77734375" style="2"/>
    <col min="5373" max="5373" width="3.21875" style="2" customWidth="1"/>
    <col min="5374" max="5374" width="3.77734375" style="2" customWidth="1"/>
    <col min="5375" max="5375" width="8.5546875" style="2" customWidth="1"/>
    <col min="5376" max="5376" width="8.77734375" style="2" customWidth="1"/>
    <col min="5377" max="5377" width="7.44140625" style="2" customWidth="1"/>
    <col min="5378" max="5378" width="8.21875" style="2" customWidth="1"/>
    <col min="5379" max="5379" width="8" style="2" customWidth="1"/>
    <col min="5380" max="5380" width="8.21875" style="2" customWidth="1"/>
    <col min="5381" max="5381" width="9" style="2" customWidth="1"/>
    <col min="5382" max="5382" width="9.21875" style="2" customWidth="1"/>
    <col min="5383" max="5383" width="8.5546875" style="2" customWidth="1"/>
    <col min="5384" max="5384" width="11.44140625" style="2" customWidth="1"/>
    <col min="5385" max="5619" width="8.77734375" style="2"/>
    <col min="5620" max="5620" width="6.77734375" style="2" customWidth="1"/>
    <col min="5621" max="5621" width="42.21875" style="2" customWidth="1"/>
    <col min="5622" max="5622" width="8.77734375" style="2"/>
    <col min="5623" max="5623" width="17.44140625" style="2" customWidth="1"/>
    <col min="5624" max="5624" width="8.5546875" style="2" customWidth="1"/>
    <col min="5625" max="5625" width="0" style="2" hidden="1" customWidth="1"/>
    <col min="5626" max="5626" width="44.77734375" style="2" customWidth="1"/>
    <col min="5627" max="5628" width="8.77734375" style="2"/>
    <col min="5629" max="5629" width="3.21875" style="2" customWidth="1"/>
    <col min="5630" max="5630" width="3.77734375" style="2" customWidth="1"/>
    <col min="5631" max="5631" width="8.5546875" style="2" customWidth="1"/>
    <col min="5632" max="5632" width="8.77734375" style="2" customWidth="1"/>
    <col min="5633" max="5633" width="7.44140625" style="2" customWidth="1"/>
    <col min="5634" max="5634" width="8.21875" style="2" customWidth="1"/>
    <col min="5635" max="5635" width="8" style="2" customWidth="1"/>
    <col min="5636" max="5636" width="8.21875" style="2" customWidth="1"/>
    <col min="5637" max="5637" width="9" style="2" customWidth="1"/>
    <col min="5638" max="5638" width="9.21875" style="2" customWidth="1"/>
    <col min="5639" max="5639" width="8.5546875" style="2" customWidth="1"/>
    <col min="5640" max="5640" width="11.44140625" style="2" customWidth="1"/>
    <col min="5641" max="5875" width="8.77734375" style="2"/>
    <col min="5876" max="5876" width="6.77734375" style="2" customWidth="1"/>
    <col min="5877" max="5877" width="42.21875" style="2" customWidth="1"/>
    <col min="5878" max="5878" width="8.77734375" style="2"/>
    <col min="5879" max="5879" width="17.44140625" style="2" customWidth="1"/>
    <col min="5880" max="5880" width="8.5546875" style="2" customWidth="1"/>
    <col min="5881" max="5881" width="0" style="2" hidden="1" customWidth="1"/>
    <col min="5882" max="5882" width="44.77734375" style="2" customWidth="1"/>
    <col min="5883" max="5884" width="8.77734375" style="2"/>
    <col min="5885" max="5885" width="3.21875" style="2" customWidth="1"/>
    <col min="5886" max="5886" width="3.77734375" style="2" customWidth="1"/>
    <col min="5887" max="5887" width="8.5546875" style="2" customWidth="1"/>
    <col min="5888" max="5888" width="8.77734375" style="2" customWidth="1"/>
    <col min="5889" max="5889" width="7.44140625" style="2" customWidth="1"/>
    <col min="5890" max="5890" width="8.21875" style="2" customWidth="1"/>
    <col min="5891" max="5891" width="8" style="2" customWidth="1"/>
    <col min="5892" max="5892" width="8.21875" style="2" customWidth="1"/>
    <col min="5893" max="5893" width="9" style="2" customWidth="1"/>
    <col min="5894" max="5894" width="9.21875" style="2" customWidth="1"/>
    <col min="5895" max="5895" width="8.5546875" style="2" customWidth="1"/>
    <col min="5896" max="5896" width="11.44140625" style="2" customWidth="1"/>
    <col min="5897" max="6131" width="8.77734375" style="2"/>
    <col min="6132" max="6132" width="6.77734375" style="2" customWidth="1"/>
    <col min="6133" max="6133" width="42.21875" style="2" customWidth="1"/>
    <col min="6134" max="6134" width="8.77734375" style="2"/>
    <col min="6135" max="6135" width="17.44140625" style="2" customWidth="1"/>
    <col min="6136" max="6136" width="8.5546875" style="2" customWidth="1"/>
    <col min="6137" max="6137" width="0" style="2" hidden="1" customWidth="1"/>
    <col min="6138" max="6138" width="44.77734375" style="2" customWidth="1"/>
    <col min="6139" max="6140" width="8.77734375" style="2"/>
    <col min="6141" max="6141" width="3.21875" style="2" customWidth="1"/>
    <col min="6142" max="6142" width="3.77734375" style="2" customWidth="1"/>
    <col min="6143" max="6143" width="8.5546875" style="2" customWidth="1"/>
    <col min="6144" max="6144" width="8.77734375" style="2" customWidth="1"/>
    <col min="6145" max="6145" width="7.44140625" style="2" customWidth="1"/>
    <col min="6146" max="6146" width="8.21875" style="2" customWidth="1"/>
    <col min="6147" max="6147" width="8" style="2" customWidth="1"/>
    <col min="6148" max="6148" width="8.21875" style="2" customWidth="1"/>
    <col min="6149" max="6149" width="9" style="2" customWidth="1"/>
    <col min="6150" max="6150" width="9.21875" style="2" customWidth="1"/>
    <col min="6151" max="6151" width="8.5546875" style="2" customWidth="1"/>
    <col min="6152" max="6152" width="11.44140625" style="2" customWidth="1"/>
    <col min="6153" max="6387" width="8.77734375" style="2"/>
    <col min="6388" max="6388" width="6.77734375" style="2" customWidth="1"/>
    <col min="6389" max="6389" width="42.21875" style="2" customWidth="1"/>
    <col min="6390" max="6390" width="8.77734375" style="2"/>
    <col min="6391" max="6391" width="17.44140625" style="2" customWidth="1"/>
    <col min="6392" max="6392" width="8.5546875" style="2" customWidth="1"/>
    <col min="6393" max="6393" width="0" style="2" hidden="1" customWidth="1"/>
    <col min="6394" max="6394" width="44.77734375" style="2" customWidth="1"/>
    <col min="6395" max="6396" width="8.77734375" style="2"/>
    <col min="6397" max="6397" width="3.21875" style="2" customWidth="1"/>
    <col min="6398" max="6398" width="3.77734375" style="2" customWidth="1"/>
    <col min="6399" max="6399" width="8.5546875" style="2" customWidth="1"/>
    <col min="6400" max="6400" width="8.77734375" style="2" customWidth="1"/>
    <col min="6401" max="6401" width="7.44140625" style="2" customWidth="1"/>
    <col min="6402" max="6402" width="8.21875" style="2" customWidth="1"/>
    <col min="6403" max="6403" width="8" style="2" customWidth="1"/>
    <col min="6404" max="6404" width="8.21875" style="2" customWidth="1"/>
    <col min="6405" max="6405" width="9" style="2" customWidth="1"/>
    <col min="6406" max="6406" width="9.21875" style="2" customWidth="1"/>
    <col min="6407" max="6407" width="8.5546875" style="2" customWidth="1"/>
    <col min="6408" max="6408" width="11.44140625" style="2" customWidth="1"/>
    <col min="6409" max="6643" width="8.77734375" style="2"/>
    <col min="6644" max="6644" width="6.77734375" style="2" customWidth="1"/>
    <col min="6645" max="6645" width="42.21875" style="2" customWidth="1"/>
    <col min="6646" max="6646" width="8.77734375" style="2"/>
    <col min="6647" max="6647" width="17.44140625" style="2" customWidth="1"/>
    <col min="6648" max="6648" width="8.5546875" style="2" customWidth="1"/>
    <col min="6649" max="6649" width="0" style="2" hidden="1" customWidth="1"/>
    <col min="6650" max="6650" width="44.77734375" style="2" customWidth="1"/>
    <col min="6651" max="6652" width="8.77734375" style="2"/>
    <col min="6653" max="6653" width="3.21875" style="2" customWidth="1"/>
    <col min="6654" max="6654" width="3.77734375" style="2" customWidth="1"/>
    <col min="6655" max="6655" width="8.5546875" style="2" customWidth="1"/>
    <col min="6656" max="6656" width="8.77734375" style="2" customWidth="1"/>
    <col min="6657" max="6657" width="7.44140625" style="2" customWidth="1"/>
    <col min="6658" max="6658" width="8.21875" style="2" customWidth="1"/>
    <col min="6659" max="6659" width="8" style="2" customWidth="1"/>
    <col min="6660" max="6660" width="8.21875" style="2" customWidth="1"/>
    <col min="6661" max="6661" width="9" style="2" customWidth="1"/>
    <col min="6662" max="6662" width="9.21875" style="2" customWidth="1"/>
    <col min="6663" max="6663" width="8.5546875" style="2" customWidth="1"/>
    <col min="6664" max="6664" width="11.44140625" style="2" customWidth="1"/>
    <col min="6665" max="6899" width="8.77734375" style="2"/>
    <col min="6900" max="6900" width="6.77734375" style="2" customWidth="1"/>
    <col min="6901" max="6901" width="42.21875" style="2" customWidth="1"/>
    <col min="6902" max="6902" width="8.77734375" style="2"/>
    <col min="6903" max="6903" width="17.44140625" style="2" customWidth="1"/>
    <col min="6904" max="6904" width="8.5546875" style="2" customWidth="1"/>
    <col min="6905" max="6905" width="0" style="2" hidden="1" customWidth="1"/>
    <col min="6906" max="6906" width="44.77734375" style="2" customWidth="1"/>
    <col min="6907" max="6908" width="8.77734375" style="2"/>
    <col min="6909" max="6909" width="3.21875" style="2" customWidth="1"/>
    <col min="6910" max="6910" width="3.77734375" style="2" customWidth="1"/>
    <col min="6911" max="6911" width="8.5546875" style="2" customWidth="1"/>
    <col min="6912" max="6912" width="8.77734375" style="2" customWidth="1"/>
    <col min="6913" max="6913" width="7.44140625" style="2" customWidth="1"/>
    <col min="6914" max="6914" width="8.21875" style="2" customWidth="1"/>
    <col min="6915" max="6915" width="8" style="2" customWidth="1"/>
    <col min="6916" max="6916" width="8.21875" style="2" customWidth="1"/>
    <col min="6917" max="6917" width="9" style="2" customWidth="1"/>
    <col min="6918" max="6918" width="9.21875" style="2" customWidth="1"/>
    <col min="6919" max="6919" width="8.5546875" style="2" customWidth="1"/>
    <col min="6920" max="6920" width="11.44140625" style="2" customWidth="1"/>
    <col min="6921" max="7155" width="8.77734375" style="2"/>
    <col min="7156" max="7156" width="6.77734375" style="2" customWidth="1"/>
    <col min="7157" max="7157" width="42.21875" style="2" customWidth="1"/>
    <col min="7158" max="7158" width="8.77734375" style="2"/>
    <col min="7159" max="7159" width="17.44140625" style="2" customWidth="1"/>
    <col min="7160" max="7160" width="8.5546875" style="2" customWidth="1"/>
    <col min="7161" max="7161" width="0" style="2" hidden="1" customWidth="1"/>
    <col min="7162" max="7162" width="44.77734375" style="2" customWidth="1"/>
    <col min="7163" max="7164" width="8.77734375" style="2"/>
    <col min="7165" max="7165" width="3.21875" style="2" customWidth="1"/>
    <col min="7166" max="7166" width="3.77734375" style="2" customWidth="1"/>
    <col min="7167" max="7167" width="8.5546875" style="2" customWidth="1"/>
    <col min="7168" max="7168" width="8.77734375" style="2" customWidth="1"/>
    <col min="7169" max="7169" width="7.44140625" style="2" customWidth="1"/>
    <col min="7170" max="7170" width="8.21875" style="2" customWidth="1"/>
    <col min="7171" max="7171" width="8" style="2" customWidth="1"/>
    <col min="7172" max="7172" width="8.21875" style="2" customWidth="1"/>
    <col min="7173" max="7173" width="9" style="2" customWidth="1"/>
    <col min="7174" max="7174" width="9.21875" style="2" customWidth="1"/>
    <col min="7175" max="7175" width="8.5546875" style="2" customWidth="1"/>
    <col min="7176" max="7176" width="11.44140625" style="2" customWidth="1"/>
    <col min="7177" max="7411" width="8.77734375" style="2"/>
    <col min="7412" max="7412" width="6.77734375" style="2" customWidth="1"/>
    <col min="7413" max="7413" width="42.21875" style="2" customWidth="1"/>
    <col min="7414" max="7414" width="8.77734375" style="2"/>
    <col min="7415" max="7415" width="17.44140625" style="2" customWidth="1"/>
    <col min="7416" max="7416" width="8.5546875" style="2" customWidth="1"/>
    <col min="7417" max="7417" width="0" style="2" hidden="1" customWidth="1"/>
    <col min="7418" max="7418" width="44.77734375" style="2" customWidth="1"/>
    <col min="7419" max="7420" width="8.77734375" style="2"/>
    <col min="7421" max="7421" width="3.21875" style="2" customWidth="1"/>
    <col min="7422" max="7422" width="3.77734375" style="2" customWidth="1"/>
    <col min="7423" max="7423" width="8.5546875" style="2" customWidth="1"/>
    <col min="7424" max="7424" width="8.77734375" style="2" customWidth="1"/>
    <col min="7425" max="7425" width="7.44140625" style="2" customWidth="1"/>
    <col min="7426" max="7426" width="8.21875" style="2" customWidth="1"/>
    <col min="7427" max="7427" width="8" style="2" customWidth="1"/>
    <col min="7428" max="7428" width="8.21875" style="2" customWidth="1"/>
    <col min="7429" max="7429" width="9" style="2" customWidth="1"/>
    <col min="7430" max="7430" width="9.21875" style="2" customWidth="1"/>
    <col min="7431" max="7431" width="8.5546875" style="2" customWidth="1"/>
    <col min="7432" max="7432" width="11.44140625" style="2" customWidth="1"/>
    <col min="7433" max="7667" width="8.77734375" style="2"/>
    <col min="7668" max="7668" width="6.77734375" style="2" customWidth="1"/>
    <col min="7669" max="7669" width="42.21875" style="2" customWidth="1"/>
    <col min="7670" max="7670" width="8.77734375" style="2"/>
    <col min="7671" max="7671" width="17.44140625" style="2" customWidth="1"/>
    <col min="7672" max="7672" width="8.5546875" style="2" customWidth="1"/>
    <col min="7673" max="7673" width="0" style="2" hidden="1" customWidth="1"/>
    <col min="7674" max="7674" width="44.77734375" style="2" customWidth="1"/>
    <col min="7675" max="7676" width="8.77734375" style="2"/>
    <col min="7677" max="7677" width="3.21875" style="2" customWidth="1"/>
    <col min="7678" max="7678" width="3.77734375" style="2" customWidth="1"/>
    <col min="7679" max="7679" width="8.5546875" style="2" customWidth="1"/>
    <col min="7680" max="7680" width="8.77734375" style="2" customWidth="1"/>
    <col min="7681" max="7681" width="7.44140625" style="2" customWidth="1"/>
    <col min="7682" max="7682" width="8.21875" style="2" customWidth="1"/>
    <col min="7683" max="7683" width="8" style="2" customWidth="1"/>
    <col min="7684" max="7684" width="8.21875" style="2" customWidth="1"/>
    <col min="7685" max="7685" width="9" style="2" customWidth="1"/>
    <col min="7686" max="7686" width="9.21875" style="2" customWidth="1"/>
    <col min="7687" max="7687" width="8.5546875" style="2" customWidth="1"/>
    <col min="7688" max="7688" width="11.44140625" style="2" customWidth="1"/>
    <col min="7689" max="7923" width="8.77734375" style="2"/>
    <col min="7924" max="7924" width="6.77734375" style="2" customWidth="1"/>
    <col min="7925" max="7925" width="42.21875" style="2" customWidth="1"/>
    <col min="7926" max="7926" width="8.77734375" style="2"/>
    <col min="7927" max="7927" width="17.44140625" style="2" customWidth="1"/>
    <col min="7928" max="7928" width="8.5546875" style="2" customWidth="1"/>
    <col min="7929" max="7929" width="0" style="2" hidden="1" customWidth="1"/>
    <col min="7930" max="7930" width="44.77734375" style="2" customWidth="1"/>
    <col min="7931" max="7932" width="8.77734375" style="2"/>
    <col min="7933" max="7933" width="3.21875" style="2" customWidth="1"/>
    <col min="7934" max="7934" width="3.77734375" style="2" customWidth="1"/>
    <col min="7935" max="7935" width="8.5546875" style="2" customWidth="1"/>
    <col min="7936" max="7936" width="8.77734375" style="2" customWidth="1"/>
    <col min="7937" max="7937" width="7.44140625" style="2" customWidth="1"/>
    <col min="7938" max="7938" width="8.21875" style="2" customWidth="1"/>
    <col min="7939" max="7939" width="8" style="2" customWidth="1"/>
    <col min="7940" max="7940" width="8.21875" style="2" customWidth="1"/>
    <col min="7941" max="7941" width="9" style="2" customWidth="1"/>
    <col min="7942" max="7942" width="9.21875" style="2" customWidth="1"/>
    <col min="7943" max="7943" width="8.5546875" style="2" customWidth="1"/>
    <col min="7944" max="7944" width="11.44140625" style="2" customWidth="1"/>
    <col min="7945" max="8179" width="8.77734375" style="2"/>
    <col min="8180" max="8180" width="6.77734375" style="2" customWidth="1"/>
    <col min="8181" max="8181" width="42.21875" style="2" customWidth="1"/>
    <col min="8182" max="8182" width="8.77734375" style="2"/>
    <col min="8183" max="8183" width="17.44140625" style="2" customWidth="1"/>
    <col min="8184" max="8184" width="8.5546875" style="2" customWidth="1"/>
    <col min="8185" max="8185" width="0" style="2" hidden="1" customWidth="1"/>
    <col min="8186" max="8186" width="44.77734375" style="2" customWidth="1"/>
    <col min="8187" max="8188" width="8.77734375" style="2"/>
    <col min="8189" max="8189" width="3.21875" style="2" customWidth="1"/>
    <col min="8190" max="8190" width="3.77734375" style="2" customWidth="1"/>
    <col min="8191" max="8191" width="8.5546875" style="2" customWidth="1"/>
    <col min="8192" max="8192" width="8.77734375" style="2" customWidth="1"/>
    <col min="8193" max="8193" width="7.44140625" style="2" customWidth="1"/>
    <col min="8194" max="8194" width="8.21875" style="2" customWidth="1"/>
    <col min="8195" max="8195" width="8" style="2" customWidth="1"/>
    <col min="8196" max="8196" width="8.21875" style="2" customWidth="1"/>
    <col min="8197" max="8197" width="9" style="2" customWidth="1"/>
    <col min="8198" max="8198" width="9.21875" style="2" customWidth="1"/>
    <col min="8199" max="8199" width="8.5546875" style="2" customWidth="1"/>
    <col min="8200" max="8200" width="11.44140625" style="2" customWidth="1"/>
    <col min="8201" max="8435" width="8.77734375" style="2"/>
    <col min="8436" max="8436" width="6.77734375" style="2" customWidth="1"/>
    <col min="8437" max="8437" width="42.21875" style="2" customWidth="1"/>
    <col min="8438" max="8438" width="8.77734375" style="2"/>
    <col min="8439" max="8439" width="17.44140625" style="2" customWidth="1"/>
    <col min="8440" max="8440" width="8.5546875" style="2" customWidth="1"/>
    <col min="8441" max="8441" width="0" style="2" hidden="1" customWidth="1"/>
    <col min="8442" max="8442" width="44.77734375" style="2" customWidth="1"/>
    <col min="8443" max="8444" width="8.77734375" style="2"/>
    <col min="8445" max="8445" width="3.21875" style="2" customWidth="1"/>
    <col min="8446" max="8446" width="3.77734375" style="2" customWidth="1"/>
    <col min="8447" max="8447" width="8.5546875" style="2" customWidth="1"/>
    <col min="8448" max="8448" width="8.77734375" style="2" customWidth="1"/>
    <col min="8449" max="8449" width="7.44140625" style="2" customWidth="1"/>
    <col min="8450" max="8450" width="8.21875" style="2" customWidth="1"/>
    <col min="8451" max="8451" width="8" style="2" customWidth="1"/>
    <col min="8452" max="8452" width="8.21875" style="2" customWidth="1"/>
    <col min="8453" max="8453" width="9" style="2" customWidth="1"/>
    <col min="8454" max="8454" width="9.21875" style="2" customWidth="1"/>
    <col min="8455" max="8455" width="8.5546875" style="2" customWidth="1"/>
    <col min="8456" max="8456" width="11.44140625" style="2" customWidth="1"/>
    <col min="8457" max="8691" width="8.77734375" style="2"/>
    <col min="8692" max="8692" width="6.77734375" style="2" customWidth="1"/>
    <col min="8693" max="8693" width="42.21875" style="2" customWidth="1"/>
    <col min="8694" max="8694" width="8.77734375" style="2"/>
    <col min="8695" max="8695" width="17.44140625" style="2" customWidth="1"/>
    <col min="8696" max="8696" width="8.5546875" style="2" customWidth="1"/>
    <col min="8697" max="8697" width="0" style="2" hidden="1" customWidth="1"/>
    <col min="8698" max="8698" width="44.77734375" style="2" customWidth="1"/>
    <col min="8699" max="8700" width="8.77734375" style="2"/>
    <col min="8701" max="8701" width="3.21875" style="2" customWidth="1"/>
    <col min="8702" max="8702" width="3.77734375" style="2" customWidth="1"/>
    <col min="8703" max="8703" width="8.5546875" style="2" customWidth="1"/>
    <col min="8704" max="8704" width="8.77734375" style="2" customWidth="1"/>
    <col min="8705" max="8705" width="7.44140625" style="2" customWidth="1"/>
    <col min="8706" max="8706" width="8.21875" style="2" customWidth="1"/>
    <col min="8707" max="8707" width="8" style="2" customWidth="1"/>
    <col min="8708" max="8708" width="8.21875" style="2" customWidth="1"/>
    <col min="8709" max="8709" width="9" style="2" customWidth="1"/>
    <col min="8710" max="8710" width="9.21875" style="2" customWidth="1"/>
    <col min="8711" max="8711" width="8.5546875" style="2" customWidth="1"/>
    <col min="8712" max="8712" width="11.44140625" style="2" customWidth="1"/>
    <col min="8713" max="8947" width="8.77734375" style="2"/>
    <col min="8948" max="8948" width="6.77734375" style="2" customWidth="1"/>
    <col min="8949" max="8949" width="42.21875" style="2" customWidth="1"/>
    <col min="8950" max="8950" width="8.77734375" style="2"/>
    <col min="8951" max="8951" width="17.44140625" style="2" customWidth="1"/>
    <col min="8952" max="8952" width="8.5546875" style="2" customWidth="1"/>
    <col min="8953" max="8953" width="0" style="2" hidden="1" customWidth="1"/>
    <col min="8954" max="8954" width="44.77734375" style="2" customWidth="1"/>
    <col min="8955" max="8956" width="8.77734375" style="2"/>
    <col min="8957" max="8957" width="3.21875" style="2" customWidth="1"/>
    <col min="8958" max="8958" width="3.77734375" style="2" customWidth="1"/>
    <col min="8959" max="8959" width="8.5546875" style="2" customWidth="1"/>
    <col min="8960" max="8960" width="8.77734375" style="2" customWidth="1"/>
    <col min="8961" max="8961" width="7.44140625" style="2" customWidth="1"/>
    <col min="8962" max="8962" width="8.21875" style="2" customWidth="1"/>
    <col min="8963" max="8963" width="8" style="2" customWidth="1"/>
    <col min="8964" max="8964" width="8.21875" style="2" customWidth="1"/>
    <col min="8965" max="8965" width="9" style="2" customWidth="1"/>
    <col min="8966" max="8966" width="9.21875" style="2" customWidth="1"/>
    <col min="8967" max="8967" width="8.5546875" style="2" customWidth="1"/>
    <col min="8968" max="8968" width="11.44140625" style="2" customWidth="1"/>
    <col min="8969" max="9203" width="8.77734375" style="2"/>
    <col min="9204" max="9204" width="6.77734375" style="2" customWidth="1"/>
    <col min="9205" max="9205" width="42.21875" style="2" customWidth="1"/>
    <col min="9206" max="9206" width="8.77734375" style="2"/>
    <col min="9207" max="9207" width="17.44140625" style="2" customWidth="1"/>
    <col min="9208" max="9208" width="8.5546875" style="2" customWidth="1"/>
    <col min="9209" max="9209" width="0" style="2" hidden="1" customWidth="1"/>
    <col min="9210" max="9210" width="44.77734375" style="2" customWidth="1"/>
    <col min="9211" max="9212" width="8.77734375" style="2"/>
    <col min="9213" max="9213" width="3.21875" style="2" customWidth="1"/>
    <col min="9214" max="9214" width="3.77734375" style="2" customWidth="1"/>
    <col min="9215" max="9215" width="8.5546875" style="2" customWidth="1"/>
    <col min="9216" max="9216" width="8.77734375" style="2" customWidth="1"/>
    <col min="9217" max="9217" width="7.44140625" style="2" customWidth="1"/>
    <col min="9218" max="9218" width="8.21875" style="2" customWidth="1"/>
    <col min="9219" max="9219" width="8" style="2" customWidth="1"/>
    <col min="9220" max="9220" width="8.21875" style="2" customWidth="1"/>
    <col min="9221" max="9221" width="9" style="2" customWidth="1"/>
    <col min="9222" max="9222" width="9.21875" style="2" customWidth="1"/>
    <col min="9223" max="9223" width="8.5546875" style="2" customWidth="1"/>
    <col min="9224" max="9224" width="11.44140625" style="2" customWidth="1"/>
    <col min="9225" max="9459" width="8.77734375" style="2"/>
    <col min="9460" max="9460" width="6.77734375" style="2" customWidth="1"/>
    <col min="9461" max="9461" width="42.21875" style="2" customWidth="1"/>
    <col min="9462" max="9462" width="8.77734375" style="2"/>
    <col min="9463" max="9463" width="17.44140625" style="2" customWidth="1"/>
    <col min="9464" max="9464" width="8.5546875" style="2" customWidth="1"/>
    <col min="9465" max="9465" width="0" style="2" hidden="1" customWidth="1"/>
    <col min="9466" max="9466" width="44.77734375" style="2" customWidth="1"/>
    <col min="9467" max="9468" width="8.77734375" style="2"/>
    <col min="9469" max="9469" width="3.21875" style="2" customWidth="1"/>
    <col min="9470" max="9470" width="3.77734375" style="2" customWidth="1"/>
    <col min="9471" max="9471" width="8.5546875" style="2" customWidth="1"/>
    <col min="9472" max="9472" width="8.77734375" style="2" customWidth="1"/>
    <col min="9473" max="9473" width="7.44140625" style="2" customWidth="1"/>
    <col min="9474" max="9474" width="8.21875" style="2" customWidth="1"/>
    <col min="9475" max="9475" width="8" style="2" customWidth="1"/>
    <col min="9476" max="9476" width="8.21875" style="2" customWidth="1"/>
    <col min="9477" max="9477" width="9" style="2" customWidth="1"/>
    <col min="9478" max="9478" width="9.21875" style="2" customWidth="1"/>
    <col min="9479" max="9479" width="8.5546875" style="2" customWidth="1"/>
    <col min="9480" max="9480" width="11.44140625" style="2" customWidth="1"/>
    <col min="9481" max="9715" width="8.77734375" style="2"/>
    <col min="9716" max="9716" width="6.77734375" style="2" customWidth="1"/>
    <col min="9717" max="9717" width="42.21875" style="2" customWidth="1"/>
    <col min="9718" max="9718" width="8.77734375" style="2"/>
    <col min="9719" max="9719" width="17.44140625" style="2" customWidth="1"/>
    <col min="9720" max="9720" width="8.5546875" style="2" customWidth="1"/>
    <col min="9721" max="9721" width="0" style="2" hidden="1" customWidth="1"/>
    <col min="9722" max="9722" width="44.77734375" style="2" customWidth="1"/>
    <col min="9723" max="9724" width="8.77734375" style="2"/>
    <col min="9725" max="9725" width="3.21875" style="2" customWidth="1"/>
    <col min="9726" max="9726" width="3.77734375" style="2" customWidth="1"/>
    <col min="9727" max="9727" width="8.5546875" style="2" customWidth="1"/>
    <col min="9728" max="9728" width="8.77734375" style="2" customWidth="1"/>
    <col min="9729" max="9729" width="7.44140625" style="2" customWidth="1"/>
    <col min="9730" max="9730" width="8.21875" style="2" customWidth="1"/>
    <col min="9731" max="9731" width="8" style="2" customWidth="1"/>
    <col min="9732" max="9732" width="8.21875" style="2" customWidth="1"/>
    <col min="9733" max="9733" width="9" style="2" customWidth="1"/>
    <col min="9734" max="9734" width="9.21875" style="2" customWidth="1"/>
    <col min="9735" max="9735" width="8.5546875" style="2" customWidth="1"/>
    <col min="9736" max="9736" width="11.44140625" style="2" customWidth="1"/>
    <col min="9737" max="9971" width="8.77734375" style="2"/>
    <col min="9972" max="9972" width="6.77734375" style="2" customWidth="1"/>
    <col min="9973" max="9973" width="42.21875" style="2" customWidth="1"/>
    <col min="9974" max="9974" width="8.77734375" style="2"/>
    <col min="9975" max="9975" width="17.44140625" style="2" customWidth="1"/>
    <col min="9976" max="9976" width="8.5546875" style="2" customWidth="1"/>
    <col min="9977" max="9977" width="0" style="2" hidden="1" customWidth="1"/>
    <col min="9978" max="9978" width="44.77734375" style="2" customWidth="1"/>
    <col min="9979" max="9980" width="8.77734375" style="2"/>
    <col min="9981" max="9981" width="3.21875" style="2" customWidth="1"/>
    <col min="9982" max="9982" width="3.77734375" style="2" customWidth="1"/>
    <col min="9983" max="9983" width="8.5546875" style="2" customWidth="1"/>
    <col min="9984" max="9984" width="8.77734375" style="2" customWidth="1"/>
    <col min="9985" max="9985" width="7.44140625" style="2" customWidth="1"/>
    <col min="9986" max="9986" width="8.21875" style="2" customWidth="1"/>
    <col min="9987" max="9987" width="8" style="2" customWidth="1"/>
    <col min="9988" max="9988" width="8.21875" style="2" customWidth="1"/>
    <col min="9989" max="9989" width="9" style="2" customWidth="1"/>
    <col min="9990" max="9990" width="9.21875" style="2" customWidth="1"/>
    <col min="9991" max="9991" width="8.5546875" style="2" customWidth="1"/>
    <col min="9992" max="9992" width="11.44140625" style="2" customWidth="1"/>
    <col min="9993" max="10227" width="8.77734375" style="2"/>
    <col min="10228" max="10228" width="6.77734375" style="2" customWidth="1"/>
    <col min="10229" max="10229" width="42.21875" style="2" customWidth="1"/>
    <col min="10230" max="10230" width="8.77734375" style="2"/>
    <col min="10231" max="10231" width="17.44140625" style="2" customWidth="1"/>
    <col min="10232" max="10232" width="8.5546875" style="2" customWidth="1"/>
    <col min="10233" max="10233" width="0" style="2" hidden="1" customWidth="1"/>
    <col min="10234" max="10234" width="44.77734375" style="2" customWidth="1"/>
    <col min="10235" max="10236" width="8.77734375" style="2"/>
    <col min="10237" max="10237" width="3.21875" style="2" customWidth="1"/>
    <col min="10238" max="10238" width="3.77734375" style="2" customWidth="1"/>
    <col min="10239" max="10239" width="8.5546875" style="2" customWidth="1"/>
    <col min="10240" max="10240" width="8.77734375" style="2" customWidth="1"/>
    <col min="10241" max="10241" width="7.44140625" style="2" customWidth="1"/>
    <col min="10242" max="10242" width="8.21875" style="2" customWidth="1"/>
    <col min="10243" max="10243" width="8" style="2" customWidth="1"/>
    <col min="10244" max="10244" width="8.21875" style="2" customWidth="1"/>
    <col min="10245" max="10245" width="9" style="2" customWidth="1"/>
    <col min="10246" max="10246" width="9.21875" style="2" customWidth="1"/>
    <col min="10247" max="10247" width="8.5546875" style="2" customWidth="1"/>
    <col min="10248" max="10248" width="11.44140625" style="2" customWidth="1"/>
    <col min="10249" max="10483" width="8.77734375" style="2"/>
    <col min="10484" max="10484" width="6.77734375" style="2" customWidth="1"/>
    <col min="10485" max="10485" width="42.21875" style="2" customWidth="1"/>
    <col min="10486" max="10486" width="8.77734375" style="2"/>
    <col min="10487" max="10487" width="17.44140625" style="2" customWidth="1"/>
    <col min="10488" max="10488" width="8.5546875" style="2" customWidth="1"/>
    <col min="10489" max="10489" width="0" style="2" hidden="1" customWidth="1"/>
    <col min="10490" max="10490" width="44.77734375" style="2" customWidth="1"/>
    <col min="10491" max="10492" width="8.77734375" style="2"/>
    <col min="10493" max="10493" width="3.21875" style="2" customWidth="1"/>
    <col min="10494" max="10494" width="3.77734375" style="2" customWidth="1"/>
    <col min="10495" max="10495" width="8.5546875" style="2" customWidth="1"/>
    <col min="10496" max="10496" width="8.77734375" style="2" customWidth="1"/>
    <col min="10497" max="10497" width="7.44140625" style="2" customWidth="1"/>
    <col min="10498" max="10498" width="8.21875" style="2" customWidth="1"/>
    <col min="10499" max="10499" width="8" style="2" customWidth="1"/>
    <col min="10500" max="10500" width="8.21875" style="2" customWidth="1"/>
    <col min="10501" max="10501" width="9" style="2" customWidth="1"/>
    <col min="10502" max="10502" width="9.21875" style="2" customWidth="1"/>
    <col min="10503" max="10503" width="8.5546875" style="2" customWidth="1"/>
    <col min="10504" max="10504" width="11.44140625" style="2" customWidth="1"/>
    <col min="10505" max="10739" width="8.77734375" style="2"/>
    <col min="10740" max="10740" width="6.77734375" style="2" customWidth="1"/>
    <col min="10741" max="10741" width="42.21875" style="2" customWidth="1"/>
    <col min="10742" max="10742" width="8.77734375" style="2"/>
    <col min="10743" max="10743" width="17.44140625" style="2" customWidth="1"/>
    <col min="10744" max="10744" width="8.5546875" style="2" customWidth="1"/>
    <col min="10745" max="10745" width="0" style="2" hidden="1" customWidth="1"/>
    <col min="10746" max="10746" width="44.77734375" style="2" customWidth="1"/>
    <col min="10747" max="10748" width="8.77734375" style="2"/>
    <col min="10749" max="10749" width="3.21875" style="2" customWidth="1"/>
    <col min="10750" max="10750" width="3.77734375" style="2" customWidth="1"/>
    <col min="10751" max="10751" width="8.5546875" style="2" customWidth="1"/>
    <col min="10752" max="10752" width="8.77734375" style="2" customWidth="1"/>
    <col min="10753" max="10753" width="7.44140625" style="2" customWidth="1"/>
    <col min="10754" max="10754" width="8.21875" style="2" customWidth="1"/>
    <col min="10755" max="10755" width="8" style="2" customWidth="1"/>
    <col min="10756" max="10756" width="8.21875" style="2" customWidth="1"/>
    <col min="10757" max="10757" width="9" style="2" customWidth="1"/>
    <col min="10758" max="10758" width="9.21875" style="2" customWidth="1"/>
    <col min="10759" max="10759" width="8.5546875" style="2" customWidth="1"/>
    <col min="10760" max="10760" width="11.44140625" style="2" customWidth="1"/>
    <col min="10761" max="10995" width="8.77734375" style="2"/>
    <col min="10996" max="10996" width="6.77734375" style="2" customWidth="1"/>
    <col min="10997" max="10997" width="42.21875" style="2" customWidth="1"/>
    <col min="10998" max="10998" width="8.77734375" style="2"/>
    <col min="10999" max="10999" width="17.44140625" style="2" customWidth="1"/>
    <col min="11000" max="11000" width="8.5546875" style="2" customWidth="1"/>
    <col min="11001" max="11001" width="0" style="2" hidden="1" customWidth="1"/>
    <col min="11002" max="11002" width="44.77734375" style="2" customWidth="1"/>
    <col min="11003" max="11004" width="8.77734375" style="2"/>
    <col min="11005" max="11005" width="3.21875" style="2" customWidth="1"/>
    <col min="11006" max="11006" width="3.77734375" style="2" customWidth="1"/>
    <col min="11007" max="11007" width="8.5546875" style="2" customWidth="1"/>
    <col min="11008" max="11008" width="8.77734375" style="2" customWidth="1"/>
    <col min="11009" max="11009" width="7.44140625" style="2" customWidth="1"/>
    <col min="11010" max="11010" width="8.21875" style="2" customWidth="1"/>
    <col min="11011" max="11011" width="8" style="2" customWidth="1"/>
    <col min="11012" max="11012" width="8.21875" style="2" customWidth="1"/>
    <col min="11013" max="11013" width="9" style="2" customWidth="1"/>
    <col min="11014" max="11014" width="9.21875" style="2" customWidth="1"/>
    <col min="11015" max="11015" width="8.5546875" style="2" customWidth="1"/>
    <col min="11016" max="11016" width="11.44140625" style="2" customWidth="1"/>
    <col min="11017" max="11251" width="8.77734375" style="2"/>
    <col min="11252" max="11252" width="6.77734375" style="2" customWidth="1"/>
    <col min="11253" max="11253" width="42.21875" style="2" customWidth="1"/>
    <col min="11254" max="11254" width="8.77734375" style="2"/>
    <col min="11255" max="11255" width="17.44140625" style="2" customWidth="1"/>
    <col min="11256" max="11256" width="8.5546875" style="2" customWidth="1"/>
    <col min="11257" max="11257" width="0" style="2" hidden="1" customWidth="1"/>
    <col min="11258" max="11258" width="44.77734375" style="2" customWidth="1"/>
    <col min="11259" max="11260" width="8.77734375" style="2"/>
    <col min="11261" max="11261" width="3.21875" style="2" customWidth="1"/>
    <col min="11262" max="11262" width="3.77734375" style="2" customWidth="1"/>
    <col min="11263" max="11263" width="8.5546875" style="2" customWidth="1"/>
    <col min="11264" max="11264" width="8.77734375" style="2" customWidth="1"/>
    <col min="11265" max="11265" width="7.44140625" style="2" customWidth="1"/>
    <col min="11266" max="11266" width="8.21875" style="2" customWidth="1"/>
    <col min="11267" max="11267" width="8" style="2" customWidth="1"/>
    <col min="11268" max="11268" width="8.21875" style="2" customWidth="1"/>
    <col min="11269" max="11269" width="9" style="2" customWidth="1"/>
    <col min="11270" max="11270" width="9.21875" style="2" customWidth="1"/>
    <col min="11271" max="11271" width="8.5546875" style="2" customWidth="1"/>
    <col min="11272" max="11272" width="11.44140625" style="2" customWidth="1"/>
    <col min="11273" max="11507" width="8.77734375" style="2"/>
    <col min="11508" max="11508" width="6.77734375" style="2" customWidth="1"/>
    <col min="11509" max="11509" width="42.21875" style="2" customWidth="1"/>
    <col min="11510" max="11510" width="8.77734375" style="2"/>
    <col min="11511" max="11511" width="17.44140625" style="2" customWidth="1"/>
    <col min="11512" max="11512" width="8.5546875" style="2" customWidth="1"/>
    <col min="11513" max="11513" width="0" style="2" hidden="1" customWidth="1"/>
    <col min="11514" max="11514" width="44.77734375" style="2" customWidth="1"/>
    <col min="11515" max="11516" width="8.77734375" style="2"/>
    <col min="11517" max="11517" width="3.21875" style="2" customWidth="1"/>
    <col min="11518" max="11518" width="3.77734375" style="2" customWidth="1"/>
    <col min="11519" max="11519" width="8.5546875" style="2" customWidth="1"/>
    <col min="11520" max="11520" width="8.77734375" style="2" customWidth="1"/>
    <col min="11521" max="11521" width="7.44140625" style="2" customWidth="1"/>
    <col min="11522" max="11522" width="8.21875" style="2" customWidth="1"/>
    <col min="11523" max="11523" width="8" style="2" customWidth="1"/>
    <col min="11524" max="11524" width="8.21875" style="2" customWidth="1"/>
    <col min="11525" max="11525" width="9" style="2" customWidth="1"/>
    <col min="11526" max="11526" width="9.21875" style="2" customWidth="1"/>
    <col min="11527" max="11527" width="8.5546875" style="2" customWidth="1"/>
    <col min="11528" max="11528" width="11.44140625" style="2" customWidth="1"/>
    <col min="11529" max="11763" width="8.77734375" style="2"/>
    <col min="11764" max="11764" width="6.77734375" style="2" customWidth="1"/>
    <col min="11765" max="11765" width="42.21875" style="2" customWidth="1"/>
    <col min="11766" max="11766" width="8.77734375" style="2"/>
    <col min="11767" max="11767" width="17.44140625" style="2" customWidth="1"/>
    <col min="11768" max="11768" width="8.5546875" style="2" customWidth="1"/>
    <col min="11769" max="11769" width="0" style="2" hidden="1" customWidth="1"/>
    <col min="11770" max="11770" width="44.77734375" style="2" customWidth="1"/>
    <col min="11771" max="11772" width="8.77734375" style="2"/>
    <col min="11773" max="11773" width="3.21875" style="2" customWidth="1"/>
    <col min="11774" max="11774" width="3.77734375" style="2" customWidth="1"/>
    <col min="11775" max="11775" width="8.5546875" style="2" customWidth="1"/>
    <col min="11776" max="11776" width="8.77734375" style="2" customWidth="1"/>
    <col min="11777" max="11777" width="7.44140625" style="2" customWidth="1"/>
    <col min="11778" max="11778" width="8.21875" style="2" customWidth="1"/>
    <col min="11779" max="11779" width="8" style="2" customWidth="1"/>
    <col min="11780" max="11780" width="8.21875" style="2" customWidth="1"/>
    <col min="11781" max="11781" width="9" style="2" customWidth="1"/>
    <col min="11782" max="11782" width="9.21875" style="2" customWidth="1"/>
    <col min="11783" max="11783" width="8.5546875" style="2" customWidth="1"/>
    <col min="11784" max="11784" width="11.44140625" style="2" customWidth="1"/>
    <col min="11785" max="12019" width="8.77734375" style="2"/>
    <col min="12020" max="12020" width="6.77734375" style="2" customWidth="1"/>
    <col min="12021" max="12021" width="42.21875" style="2" customWidth="1"/>
    <col min="12022" max="12022" width="8.77734375" style="2"/>
    <col min="12023" max="12023" width="17.44140625" style="2" customWidth="1"/>
    <col min="12024" max="12024" width="8.5546875" style="2" customWidth="1"/>
    <col min="12025" max="12025" width="0" style="2" hidden="1" customWidth="1"/>
    <col min="12026" max="12026" width="44.77734375" style="2" customWidth="1"/>
    <col min="12027" max="12028" width="8.77734375" style="2"/>
    <col min="12029" max="12029" width="3.21875" style="2" customWidth="1"/>
    <col min="12030" max="12030" width="3.77734375" style="2" customWidth="1"/>
    <col min="12031" max="12031" width="8.5546875" style="2" customWidth="1"/>
    <col min="12032" max="12032" width="8.77734375" style="2" customWidth="1"/>
    <col min="12033" max="12033" width="7.44140625" style="2" customWidth="1"/>
    <col min="12034" max="12034" width="8.21875" style="2" customWidth="1"/>
    <col min="12035" max="12035" width="8" style="2" customWidth="1"/>
    <col min="12036" max="12036" width="8.21875" style="2" customWidth="1"/>
    <col min="12037" max="12037" width="9" style="2" customWidth="1"/>
    <col min="12038" max="12038" width="9.21875" style="2" customWidth="1"/>
    <col min="12039" max="12039" width="8.5546875" style="2" customWidth="1"/>
    <col min="12040" max="12040" width="11.44140625" style="2" customWidth="1"/>
    <col min="12041" max="12275" width="8.77734375" style="2"/>
    <col min="12276" max="12276" width="6.77734375" style="2" customWidth="1"/>
    <col min="12277" max="12277" width="42.21875" style="2" customWidth="1"/>
    <col min="12278" max="12278" width="8.77734375" style="2"/>
    <col min="12279" max="12279" width="17.44140625" style="2" customWidth="1"/>
    <col min="12280" max="12280" width="8.5546875" style="2" customWidth="1"/>
    <col min="12281" max="12281" width="0" style="2" hidden="1" customWidth="1"/>
    <col min="12282" max="12282" width="44.77734375" style="2" customWidth="1"/>
    <col min="12283" max="12284" width="8.77734375" style="2"/>
    <col min="12285" max="12285" width="3.21875" style="2" customWidth="1"/>
    <col min="12286" max="12286" width="3.77734375" style="2" customWidth="1"/>
    <col min="12287" max="12287" width="8.5546875" style="2" customWidth="1"/>
    <col min="12288" max="12288" width="8.77734375" style="2" customWidth="1"/>
    <col min="12289" max="12289" width="7.44140625" style="2" customWidth="1"/>
    <col min="12290" max="12290" width="8.21875" style="2" customWidth="1"/>
    <col min="12291" max="12291" width="8" style="2" customWidth="1"/>
    <col min="12292" max="12292" width="8.21875" style="2" customWidth="1"/>
    <col min="12293" max="12293" width="9" style="2" customWidth="1"/>
    <col min="12294" max="12294" width="9.21875" style="2" customWidth="1"/>
    <col min="12295" max="12295" width="8.5546875" style="2" customWidth="1"/>
    <col min="12296" max="12296" width="11.44140625" style="2" customWidth="1"/>
    <col min="12297" max="12531" width="8.77734375" style="2"/>
    <col min="12532" max="12532" width="6.77734375" style="2" customWidth="1"/>
    <col min="12533" max="12533" width="42.21875" style="2" customWidth="1"/>
    <col min="12534" max="12534" width="8.77734375" style="2"/>
    <col min="12535" max="12535" width="17.44140625" style="2" customWidth="1"/>
    <col min="12536" max="12536" width="8.5546875" style="2" customWidth="1"/>
    <col min="12537" max="12537" width="0" style="2" hidden="1" customWidth="1"/>
    <col min="12538" max="12538" width="44.77734375" style="2" customWidth="1"/>
    <col min="12539" max="12540" width="8.77734375" style="2"/>
    <col min="12541" max="12541" width="3.21875" style="2" customWidth="1"/>
    <col min="12542" max="12542" width="3.77734375" style="2" customWidth="1"/>
    <col min="12543" max="12543" width="8.5546875" style="2" customWidth="1"/>
    <col min="12544" max="12544" width="8.77734375" style="2" customWidth="1"/>
    <col min="12545" max="12545" width="7.44140625" style="2" customWidth="1"/>
    <col min="12546" max="12546" width="8.21875" style="2" customWidth="1"/>
    <col min="12547" max="12547" width="8" style="2" customWidth="1"/>
    <col min="12548" max="12548" width="8.21875" style="2" customWidth="1"/>
    <col min="12549" max="12549" width="9" style="2" customWidth="1"/>
    <col min="12550" max="12550" width="9.21875" style="2" customWidth="1"/>
    <col min="12551" max="12551" width="8.5546875" style="2" customWidth="1"/>
    <col min="12552" max="12552" width="11.44140625" style="2" customWidth="1"/>
    <col min="12553" max="12787" width="8.77734375" style="2"/>
    <col min="12788" max="12788" width="6.77734375" style="2" customWidth="1"/>
    <col min="12789" max="12789" width="42.21875" style="2" customWidth="1"/>
    <col min="12790" max="12790" width="8.77734375" style="2"/>
    <col min="12791" max="12791" width="17.44140625" style="2" customWidth="1"/>
    <col min="12792" max="12792" width="8.5546875" style="2" customWidth="1"/>
    <col min="12793" max="12793" width="0" style="2" hidden="1" customWidth="1"/>
    <col min="12794" max="12794" width="44.77734375" style="2" customWidth="1"/>
    <col min="12795" max="12796" width="8.77734375" style="2"/>
    <col min="12797" max="12797" width="3.21875" style="2" customWidth="1"/>
    <col min="12798" max="12798" width="3.77734375" style="2" customWidth="1"/>
    <col min="12799" max="12799" width="8.5546875" style="2" customWidth="1"/>
    <col min="12800" max="12800" width="8.77734375" style="2" customWidth="1"/>
    <col min="12801" max="12801" width="7.44140625" style="2" customWidth="1"/>
    <col min="12802" max="12802" width="8.21875" style="2" customWidth="1"/>
    <col min="12803" max="12803" width="8" style="2" customWidth="1"/>
    <col min="12804" max="12804" width="8.21875" style="2" customWidth="1"/>
    <col min="12805" max="12805" width="9" style="2" customWidth="1"/>
    <col min="12806" max="12806" width="9.21875" style="2" customWidth="1"/>
    <col min="12807" max="12807" width="8.5546875" style="2" customWidth="1"/>
    <col min="12808" max="12808" width="11.44140625" style="2" customWidth="1"/>
    <col min="12809" max="13043" width="8.77734375" style="2"/>
    <col min="13044" max="13044" width="6.77734375" style="2" customWidth="1"/>
    <col min="13045" max="13045" width="42.21875" style="2" customWidth="1"/>
    <col min="13046" max="13046" width="8.77734375" style="2"/>
    <col min="13047" max="13047" width="17.44140625" style="2" customWidth="1"/>
    <col min="13048" max="13048" width="8.5546875" style="2" customWidth="1"/>
    <col min="13049" max="13049" width="0" style="2" hidden="1" customWidth="1"/>
    <col min="13050" max="13050" width="44.77734375" style="2" customWidth="1"/>
    <col min="13051" max="13052" width="8.77734375" style="2"/>
    <col min="13053" max="13053" width="3.21875" style="2" customWidth="1"/>
    <col min="13054" max="13054" width="3.77734375" style="2" customWidth="1"/>
    <col min="13055" max="13055" width="8.5546875" style="2" customWidth="1"/>
    <col min="13056" max="13056" width="8.77734375" style="2" customWidth="1"/>
    <col min="13057" max="13057" width="7.44140625" style="2" customWidth="1"/>
    <col min="13058" max="13058" width="8.21875" style="2" customWidth="1"/>
    <col min="13059" max="13059" width="8" style="2" customWidth="1"/>
    <col min="13060" max="13060" width="8.21875" style="2" customWidth="1"/>
    <col min="13061" max="13061" width="9" style="2" customWidth="1"/>
    <col min="13062" max="13062" width="9.21875" style="2" customWidth="1"/>
    <col min="13063" max="13063" width="8.5546875" style="2" customWidth="1"/>
    <col min="13064" max="13064" width="11.44140625" style="2" customWidth="1"/>
    <col min="13065" max="13299" width="8.77734375" style="2"/>
    <col min="13300" max="13300" width="6.77734375" style="2" customWidth="1"/>
    <col min="13301" max="13301" width="42.21875" style="2" customWidth="1"/>
    <col min="13302" max="13302" width="8.77734375" style="2"/>
    <col min="13303" max="13303" width="17.44140625" style="2" customWidth="1"/>
    <col min="13304" max="13304" width="8.5546875" style="2" customWidth="1"/>
    <col min="13305" max="13305" width="0" style="2" hidden="1" customWidth="1"/>
    <col min="13306" max="13306" width="44.77734375" style="2" customWidth="1"/>
    <col min="13307" max="13308" width="8.77734375" style="2"/>
    <col min="13309" max="13309" width="3.21875" style="2" customWidth="1"/>
    <col min="13310" max="13310" width="3.77734375" style="2" customWidth="1"/>
    <col min="13311" max="13311" width="8.5546875" style="2" customWidth="1"/>
    <col min="13312" max="13312" width="8.77734375" style="2" customWidth="1"/>
    <col min="13313" max="13313" width="7.44140625" style="2" customWidth="1"/>
    <col min="13314" max="13314" width="8.21875" style="2" customWidth="1"/>
    <col min="13315" max="13315" width="8" style="2" customWidth="1"/>
    <col min="13316" max="13316" width="8.21875" style="2" customWidth="1"/>
    <col min="13317" max="13317" width="9" style="2" customWidth="1"/>
    <col min="13318" max="13318" width="9.21875" style="2" customWidth="1"/>
    <col min="13319" max="13319" width="8.5546875" style="2" customWidth="1"/>
    <col min="13320" max="13320" width="11.44140625" style="2" customWidth="1"/>
    <col min="13321" max="13555" width="8.77734375" style="2"/>
    <col min="13556" max="13556" width="6.77734375" style="2" customWidth="1"/>
    <col min="13557" max="13557" width="42.21875" style="2" customWidth="1"/>
    <col min="13558" max="13558" width="8.77734375" style="2"/>
    <col min="13559" max="13559" width="17.44140625" style="2" customWidth="1"/>
    <col min="13560" max="13560" width="8.5546875" style="2" customWidth="1"/>
    <col min="13561" max="13561" width="0" style="2" hidden="1" customWidth="1"/>
    <col min="13562" max="13562" width="44.77734375" style="2" customWidth="1"/>
    <col min="13563" max="13564" width="8.77734375" style="2"/>
    <col min="13565" max="13565" width="3.21875" style="2" customWidth="1"/>
    <col min="13566" max="13566" width="3.77734375" style="2" customWidth="1"/>
    <col min="13567" max="13567" width="8.5546875" style="2" customWidth="1"/>
    <col min="13568" max="13568" width="8.77734375" style="2" customWidth="1"/>
    <col min="13569" max="13569" width="7.44140625" style="2" customWidth="1"/>
    <col min="13570" max="13570" width="8.21875" style="2" customWidth="1"/>
    <col min="13571" max="13571" width="8" style="2" customWidth="1"/>
    <col min="13572" max="13572" width="8.21875" style="2" customWidth="1"/>
    <col min="13573" max="13573" width="9" style="2" customWidth="1"/>
    <col min="13574" max="13574" width="9.21875" style="2" customWidth="1"/>
    <col min="13575" max="13575" width="8.5546875" style="2" customWidth="1"/>
    <col min="13576" max="13576" width="11.44140625" style="2" customWidth="1"/>
    <col min="13577" max="13811" width="8.77734375" style="2"/>
    <col min="13812" max="13812" width="6.77734375" style="2" customWidth="1"/>
    <col min="13813" max="13813" width="42.21875" style="2" customWidth="1"/>
    <col min="13814" max="13814" width="8.77734375" style="2"/>
    <col min="13815" max="13815" width="17.44140625" style="2" customWidth="1"/>
    <col min="13816" max="13816" width="8.5546875" style="2" customWidth="1"/>
    <col min="13817" max="13817" width="0" style="2" hidden="1" customWidth="1"/>
    <col min="13818" max="13818" width="44.77734375" style="2" customWidth="1"/>
    <col min="13819" max="13820" width="8.77734375" style="2"/>
    <col min="13821" max="13821" width="3.21875" style="2" customWidth="1"/>
    <col min="13822" max="13822" width="3.77734375" style="2" customWidth="1"/>
    <col min="13823" max="13823" width="8.5546875" style="2" customWidth="1"/>
    <col min="13824" max="13824" width="8.77734375" style="2" customWidth="1"/>
    <col min="13825" max="13825" width="7.44140625" style="2" customWidth="1"/>
    <col min="13826" max="13826" width="8.21875" style="2" customWidth="1"/>
    <col min="13827" max="13827" width="8" style="2" customWidth="1"/>
    <col min="13828" max="13828" width="8.21875" style="2" customWidth="1"/>
    <col min="13829" max="13829" width="9" style="2" customWidth="1"/>
    <col min="13830" max="13830" width="9.21875" style="2" customWidth="1"/>
    <col min="13831" max="13831" width="8.5546875" style="2" customWidth="1"/>
    <col min="13832" max="13832" width="11.44140625" style="2" customWidth="1"/>
    <col min="13833" max="14067" width="8.77734375" style="2"/>
    <col min="14068" max="14068" width="6.77734375" style="2" customWidth="1"/>
    <col min="14069" max="14069" width="42.21875" style="2" customWidth="1"/>
    <col min="14070" max="14070" width="8.77734375" style="2"/>
    <col min="14071" max="14071" width="17.44140625" style="2" customWidth="1"/>
    <col min="14072" max="14072" width="8.5546875" style="2" customWidth="1"/>
    <col min="14073" max="14073" width="0" style="2" hidden="1" customWidth="1"/>
    <col min="14074" max="14074" width="44.77734375" style="2" customWidth="1"/>
    <col min="14075" max="14076" width="8.77734375" style="2"/>
    <col min="14077" max="14077" width="3.21875" style="2" customWidth="1"/>
    <col min="14078" max="14078" width="3.77734375" style="2" customWidth="1"/>
    <col min="14079" max="14079" width="8.5546875" style="2" customWidth="1"/>
    <col min="14080" max="14080" width="8.77734375" style="2" customWidth="1"/>
    <col min="14081" max="14081" width="7.44140625" style="2" customWidth="1"/>
    <col min="14082" max="14082" width="8.21875" style="2" customWidth="1"/>
    <col min="14083" max="14083" width="8" style="2" customWidth="1"/>
    <col min="14084" max="14084" width="8.21875" style="2" customWidth="1"/>
    <col min="14085" max="14085" width="9" style="2" customWidth="1"/>
    <col min="14086" max="14086" width="9.21875" style="2" customWidth="1"/>
    <col min="14087" max="14087" width="8.5546875" style="2" customWidth="1"/>
    <col min="14088" max="14088" width="11.44140625" style="2" customWidth="1"/>
    <col min="14089" max="14323" width="8.77734375" style="2"/>
    <col min="14324" max="14324" width="6.77734375" style="2" customWidth="1"/>
    <col min="14325" max="14325" width="42.21875" style="2" customWidth="1"/>
    <col min="14326" max="14326" width="8.77734375" style="2"/>
    <col min="14327" max="14327" width="17.44140625" style="2" customWidth="1"/>
    <col min="14328" max="14328" width="8.5546875" style="2" customWidth="1"/>
    <col min="14329" max="14329" width="0" style="2" hidden="1" customWidth="1"/>
    <col min="14330" max="14330" width="44.77734375" style="2" customWidth="1"/>
    <col min="14331" max="14332" width="8.77734375" style="2"/>
    <col min="14333" max="14333" width="3.21875" style="2" customWidth="1"/>
    <col min="14334" max="14334" width="3.77734375" style="2" customWidth="1"/>
    <col min="14335" max="14335" width="8.5546875" style="2" customWidth="1"/>
    <col min="14336" max="14336" width="8.77734375" style="2" customWidth="1"/>
    <col min="14337" max="14337" width="7.44140625" style="2" customWidth="1"/>
    <col min="14338" max="14338" width="8.21875" style="2" customWidth="1"/>
    <col min="14339" max="14339" width="8" style="2" customWidth="1"/>
    <col min="14340" max="14340" width="8.21875" style="2" customWidth="1"/>
    <col min="14341" max="14341" width="9" style="2" customWidth="1"/>
    <col min="14342" max="14342" width="9.21875" style="2" customWidth="1"/>
    <col min="14343" max="14343" width="8.5546875" style="2" customWidth="1"/>
    <col min="14344" max="14344" width="11.44140625" style="2" customWidth="1"/>
    <col min="14345" max="14579" width="8.77734375" style="2"/>
    <col min="14580" max="14580" width="6.77734375" style="2" customWidth="1"/>
    <col min="14581" max="14581" width="42.21875" style="2" customWidth="1"/>
    <col min="14582" max="14582" width="8.77734375" style="2"/>
    <col min="14583" max="14583" width="17.44140625" style="2" customWidth="1"/>
    <col min="14584" max="14584" width="8.5546875" style="2" customWidth="1"/>
    <col min="14585" max="14585" width="0" style="2" hidden="1" customWidth="1"/>
    <col min="14586" max="14586" width="44.77734375" style="2" customWidth="1"/>
    <col min="14587" max="14588" width="8.77734375" style="2"/>
    <col min="14589" max="14589" width="3.21875" style="2" customWidth="1"/>
    <col min="14590" max="14590" width="3.77734375" style="2" customWidth="1"/>
    <col min="14591" max="14591" width="8.5546875" style="2" customWidth="1"/>
    <col min="14592" max="14592" width="8.77734375" style="2" customWidth="1"/>
    <col min="14593" max="14593" width="7.44140625" style="2" customWidth="1"/>
    <col min="14594" max="14594" width="8.21875" style="2" customWidth="1"/>
    <col min="14595" max="14595" width="8" style="2" customWidth="1"/>
    <col min="14596" max="14596" width="8.21875" style="2" customWidth="1"/>
    <col min="14597" max="14597" width="9" style="2" customWidth="1"/>
    <col min="14598" max="14598" width="9.21875" style="2" customWidth="1"/>
    <col min="14599" max="14599" width="8.5546875" style="2" customWidth="1"/>
    <col min="14600" max="14600" width="11.44140625" style="2" customWidth="1"/>
    <col min="14601" max="14835" width="8.77734375" style="2"/>
    <col min="14836" max="14836" width="6.77734375" style="2" customWidth="1"/>
    <col min="14837" max="14837" width="42.21875" style="2" customWidth="1"/>
    <col min="14838" max="14838" width="8.77734375" style="2"/>
    <col min="14839" max="14839" width="17.44140625" style="2" customWidth="1"/>
    <col min="14840" max="14840" width="8.5546875" style="2" customWidth="1"/>
    <col min="14841" max="14841" width="0" style="2" hidden="1" customWidth="1"/>
    <col min="14842" max="14842" width="44.77734375" style="2" customWidth="1"/>
    <col min="14843" max="14844" width="8.77734375" style="2"/>
    <col min="14845" max="14845" width="3.21875" style="2" customWidth="1"/>
    <col min="14846" max="14846" width="3.77734375" style="2" customWidth="1"/>
    <col min="14847" max="14847" width="8.5546875" style="2" customWidth="1"/>
    <col min="14848" max="14848" width="8.77734375" style="2" customWidth="1"/>
    <col min="14849" max="14849" width="7.44140625" style="2" customWidth="1"/>
    <col min="14850" max="14850" width="8.21875" style="2" customWidth="1"/>
    <col min="14851" max="14851" width="8" style="2" customWidth="1"/>
    <col min="14852" max="14852" width="8.21875" style="2" customWidth="1"/>
    <col min="14853" max="14853" width="9" style="2" customWidth="1"/>
    <col min="14854" max="14854" width="9.21875" style="2" customWidth="1"/>
    <col min="14855" max="14855" width="8.5546875" style="2" customWidth="1"/>
    <col min="14856" max="14856" width="11.44140625" style="2" customWidth="1"/>
    <col min="14857" max="15091" width="8.77734375" style="2"/>
    <col min="15092" max="15092" width="6.77734375" style="2" customWidth="1"/>
    <col min="15093" max="15093" width="42.21875" style="2" customWidth="1"/>
    <col min="15094" max="15094" width="8.77734375" style="2"/>
    <col min="15095" max="15095" width="17.44140625" style="2" customWidth="1"/>
    <col min="15096" max="15096" width="8.5546875" style="2" customWidth="1"/>
    <col min="15097" max="15097" width="0" style="2" hidden="1" customWidth="1"/>
    <col min="15098" max="15098" width="44.77734375" style="2" customWidth="1"/>
    <col min="15099" max="15100" width="8.77734375" style="2"/>
    <col min="15101" max="15101" width="3.21875" style="2" customWidth="1"/>
    <col min="15102" max="15102" width="3.77734375" style="2" customWidth="1"/>
    <col min="15103" max="15103" width="8.5546875" style="2" customWidth="1"/>
    <col min="15104" max="15104" width="8.77734375" style="2" customWidth="1"/>
    <col min="15105" max="15105" width="7.44140625" style="2" customWidth="1"/>
    <col min="15106" max="15106" width="8.21875" style="2" customWidth="1"/>
    <col min="15107" max="15107" width="8" style="2" customWidth="1"/>
    <col min="15108" max="15108" width="8.21875" style="2" customWidth="1"/>
    <col min="15109" max="15109" width="9" style="2" customWidth="1"/>
    <col min="15110" max="15110" width="9.21875" style="2" customWidth="1"/>
    <col min="15111" max="15111" width="8.5546875" style="2" customWidth="1"/>
    <col min="15112" max="15112" width="11.44140625" style="2" customWidth="1"/>
    <col min="15113" max="15347" width="8.77734375" style="2"/>
    <col min="15348" max="15348" width="6.77734375" style="2" customWidth="1"/>
    <col min="15349" max="15349" width="42.21875" style="2" customWidth="1"/>
    <col min="15350" max="15350" width="8.77734375" style="2"/>
    <col min="15351" max="15351" width="17.44140625" style="2" customWidth="1"/>
    <col min="15352" max="15352" width="8.5546875" style="2" customWidth="1"/>
    <col min="15353" max="15353" width="0" style="2" hidden="1" customWidth="1"/>
    <col min="15354" max="15354" width="44.77734375" style="2" customWidth="1"/>
    <col min="15355" max="15356" width="8.77734375" style="2"/>
    <col min="15357" max="15357" width="3.21875" style="2" customWidth="1"/>
    <col min="15358" max="15358" width="3.77734375" style="2" customWidth="1"/>
    <col min="15359" max="15359" width="8.5546875" style="2" customWidth="1"/>
    <col min="15360" max="15360" width="8.77734375" style="2" customWidth="1"/>
    <col min="15361" max="15361" width="7.44140625" style="2" customWidth="1"/>
    <col min="15362" max="15362" width="8.21875" style="2" customWidth="1"/>
    <col min="15363" max="15363" width="8" style="2" customWidth="1"/>
    <col min="15364" max="15364" width="8.21875" style="2" customWidth="1"/>
    <col min="15365" max="15365" width="9" style="2" customWidth="1"/>
    <col min="15366" max="15366" width="9.21875" style="2" customWidth="1"/>
    <col min="15367" max="15367" width="8.5546875" style="2" customWidth="1"/>
    <col min="15368" max="15368" width="11.44140625" style="2" customWidth="1"/>
    <col min="15369" max="15603" width="8.77734375" style="2"/>
    <col min="15604" max="15604" width="6.77734375" style="2" customWidth="1"/>
    <col min="15605" max="15605" width="42.21875" style="2" customWidth="1"/>
    <col min="15606" max="15606" width="8.77734375" style="2"/>
    <col min="15607" max="15607" width="17.44140625" style="2" customWidth="1"/>
    <col min="15608" max="15608" width="8.5546875" style="2" customWidth="1"/>
    <col min="15609" max="15609" width="0" style="2" hidden="1" customWidth="1"/>
    <col min="15610" max="15610" width="44.77734375" style="2" customWidth="1"/>
    <col min="15611" max="15612" width="8.77734375" style="2"/>
    <col min="15613" max="15613" width="3.21875" style="2" customWidth="1"/>
    <col min="15614" max="15614" width="3.77734375" style="2" customWidth="1"/>
    <col min="15615" max="15615" width="8.5546875" style="2" customWidth="1"/>
    <col min="15616" max="15616" width="8.77734375" style="2" customWidth="1"/>
    <col min="15617" max="15617" width="7.44140625" style="2" customWidth="1"/>
    <col min="15618" max="15618" width="8.21875" style="2" customWidth="1"/>
    <col min="15619" max="15619" width="8" style="2" customWidth="1"/>
    <col min="15620" max="15620" width="8.21875" style="2" customWidth="1"/>
    <col min="15621" max="15621" width="9" style="2" customWidth="1"/>
    <col min="15622" max="15622" width="9.21875" style="2" customWidth="1"/>
    <col min="15623" max="15623" width="8.5546875" style="2" customWidth="1"/>
    <col min="15624" max="15624" width="11.44140625" style="2" customWidth="1"/>
    <col min="15625" max="15859" width="8.77734375" style="2"/>
    <col min="15860" max="15860" width="6.77734375" style="2" customWidth="1"/>
    <col min="15861" max="15861" width="42.21875" style="2" customWidth="1"/>
    <col min="15862" max="15862" width="8.77734375" style="2"/>
    <col min="15863" max="15863" width="17.44140625" style="2" customWidth="1"/>
    <col min="15864" max="15864" width="8.5546875" style="2" customWidth="1"/>
    <col min="15865" max="15865" width="0" style="2" hidden="1" customWidth="1"/>
    <col min="15866" max="15866" width="44.77734375" style="2" customWidth="1"/>
    <col min="15867" max="15868" width="8.77734375" style="2"/>
    <col min="15869" max="15869" width="3.21875" style="2" customWidth="1"/>
    <col min="15870" max="15870" width="3.77734375" style="2" customWidth="1"/>
    <col min="15871" max="15871" width="8.5546875" style="2" customWidth="1"/>
    <col min="15872" max="15872" width="8.77734375" style="2" customWidth="1"/>
    <col min="15873" max="15873" width="7.44140625" style="2" customWidth="1"/>
    <col min="15874" max="15874" width="8.21875" style="2" customWidth="1"/>
    <col min="15875" max="15875" width="8" style="2" customWidth="1"/>
    <col min="15876" max="15876" width="8.21875" style="2" customWidth="1"/>
    <col min="15877" max="15877" width="9" style="2" customWidth="1"/>
    <col min="15878" max="15878" width="9.21875" style="2" customWidth="1"/>
    <col min="15879" max="15879" width="8.5546875" style="2" customWidth="1"/>
    <col min="15880" max="15880" width="11.44140625" style="2" customWidth="1"/>
    <col min="15881" max="16115" width="8.77734375" style="2"/>
    <col min="16116" max="16116" width="6.77734375" style="2" customWidth="1"/>
    <col min="16117" max="16117" width="42.21875" style="2" customWidth="1"/>
    <col min="16118" max="16118" width="8.77734375" style="2"/>
    <col min="16119" max="16119" width="17.44140625" style="2" customWidth="1"/>
    <col min="16120" max="16120" width="8.5546875" style="2" customWidth="1"/>
    <col min="16121" max="16121" width="0" style="2" hidden="1" customWidth="1"/>
    <col min="16122" max="16122" width="44.77734375" style="2" customWidth="1"/>
    <col min="16123" max="16124" width="8.77734375" style="2"/>
    <col min="16125" max="16125" width="3.21875" style="2" customWidth="1"/>
    <col min="16126" max="16126" width="3.77734375" style="2" customWidth="1"/>
    <col min="16127" max="16127" width="8.5546875" style="2" customWidth="1"/>
    <col min="16128" max="16128" width="8.77734375" style="2" customWidth="1"/>
    <col min="16129" max="16129" width="7.44140625" style="2" customWidth="1"/>
    <col min="16130" max="16130" width="8.21875" style="2" customWidth="1"/>
    <col min="16131" max="16131" width="8" style="2" customWidth="1"/>
    <col min="16132" max="16132" width="8.21875" style="2" customWidth="1"/>
    <col min="16133" max="16133" width="9" style="2" customWidth="1"/>
    <col min="16134" max="16134" width="9.21875" style="2" customWidth="1"/>
    <col min="16135" max="16135" width="8.5546875" style="2" customWidth="1"/>
    <col min="16136" max="16136" width="11.44140625" style="2" customWidth="1"/>
    <col min="16137" max="16371" width="8.77734375" style="2"/>
    <col min="16372" max="16384" width="9.21875" style="2" customWidth="1"/>
  </cols>
  <sheetData>
    <row r="2" spans="2:7" ht="18" hidden="1" x14ac:dyDescent="0.35">
      <c r="B2" s="1"/>
      <c r="F2" s="4"/>
    </row>
    <row r="3" spans="2:7" hidden="1" x14ac:dyDescent="0.3">
      <c r="B3" s="5"/>
    </row>
    <row r="4" spans="2:7" ht="18" hidden="1" x14ac:dyDescent="0.35">
      <c r="B4" s="7"/>
      <c r="F4" s="8"/>
      <c r="G4" s="1"/>
    </row>
    <row r="5" spans="2:7" hidden="1" x14ac:dyDescent="0.3"/>
    <row r="6" spans="2:7" hidden="1" x14ac:dyDescent="0.3"/>
    <row r="7" spans="2:7" hidden="1" x14ac:dyDescent="0.3"/>
    <row r="8" spans="2:7" hidden="1" x14ac:dyDescent="0.3"/>
    <row r="9" spans="2:7" hidden="1" x14ac:dyDescent="0.3"/>
    <row r="10" spans="2:7" hidden="1" x14ac:dyDescent="0.3"/>
    <row r="11" spans="2:7" hidden="1" x14ac:dyDescent="0.3"/>
    <row r="12" spans="2:7" hidden="1" x14ac:dyDescent="0.3"/>
    <row r="13" spans="2:7" hidden="1" x14ac:dyDescent="0.3"/>
    <row r="14" spans="2:7" hidden="1" x14ac:dyDescent="0.3"/>
    <row r="15" spans="2:7" x14ac:dyDescent="0.3">
      <c r="B15" s="178" t="s">
        <v>337</v>
      </c>
      <c r="E15" s="213" t="s">
        <v>338</v>
      </c>
    </row>
    <row r="16" spans="2:7" hidden="1" x14ac:dyDescent="0.3">
      <c r="B16" s="9"/>
      <c r="C16" s="10"/>
      <c r="E16" s="11"/>
    </row>
    <row r="17" spans="2:28" hidden="1" x14ac:dyDescent="0.3">
      <c r="B17" s="12"/>
      <c r="C17" s="13"/>
    </row>
    <row r="18" spans="2:28" ht="15" thickBot="1" x14ac:dyDescent="0.35"/>
    <row r="19" spans="2:28" ht="16.2" thickTop="1" x14ac:dyDescent="0.3">
      <c r="B19" s="229" t="s">
        <v>0</v>
      </c>
      <c r="C19" s="230"/>
      <c r="D19" s="230"/>
      <c r="E19" s="230"/>
      <c r="F19" s="231"/>
      <c r="G19" s="14"/>
      <c r="H19" s="14"/>
      <c r="I19" s="14"/>
      <c r="J19" s="14"/>
      <c r="K19" s="14"/>
      <c r="L19" s="14"/>
      <c r="M19" s="14"/>
      <c r="N19" s="14"/>
      <c r="O19" s="14"/>
      <c r="P19" s="14"/>
      <c r="Q19" s="14"/>
      <c r="R19" s="14"/>
      <c r="S19" s="14"/>
      <c r="T19" s="14"/>
      <c r="U19" s="14"/>
      <c r="V19" s="14"/>
      <c r="W19" s="14"/>
      <c r="X19" s="14"/>
      <c r="Y19" s="14"/>
      <c r="Z19" s="14"/>
      <c r="AA19" s="14"/>
      <c r="AB19" s="14"/>
    </row>
    <row r="20" spans="2:28" ht="17.399999999999999" x14ac:dyDescent="0.35">
      <c r="B20" s="15" t="s">
        <v>1</v>
      </c>
      <c r="C20" s="16"/>
      <c r="D20" s="17" t="s">
        <v>2</v>
      </c>
      <c r="E20" s="16"/>
      <c r="F20" s="16"/>
      <c r="G20" s="14"/>
      <c r="H20" s="14"/>
      <c r="I20" s="14"/>
      <c r="J20" s="14"/>
      <c r="K20" s="14"/>
      <c r="L20" s="14"/>
      <c r="M20" s="14"/>
      <c r="N20" s="14"/>
      <c r="O20" s="14"/>
      <c r="P20" s="14"/>
      <c r="Q20" s="14"/>
      <c r="R20" s="14"/>
      <c r="S20" s="14"/>
      <c r="T20" s="14"/>
      <c r="U20" s="14"/>
      <c r="V20" s="14"/>
      <c r="W20" s="14"/>
      <c r="X20" s="14"/>
      <c r="Y20" s="14"/>
      <c r="Z20" s="14"/>
      <c r="AA20" s="14"/>
      <c r="AB20" s="14"/>
    </row>
    <row r="21" spans="2:28" ht="15.6" x14ac:dyDescent="0.3">
      <c r="B21" s="18" t="s">
        <v>3</v>
      </c>
      <c r="C21" s="19" t="s">
        <v>4</v>
      </c>
      <c r="D21" s="20">
        <v>22</v>
      </c>
      <c r="E21" s="21" t="s">
        <v>5</v>
      </c>
      <c r="F21" s="22" t="s">
        <v>6</v>
      </c>
      <c r="G21" s="14"/>
      <c r="H21" s="14"/>
      <c r="I21" s="14"/>
      <c r="J21" s="14"/>
      <c r="K21" s="14"/>
      <c r="L21" s="14"/>
      <c r="M21" s="14"/>
      <c r="N21" s="14"/>
      <c r="O21" s="14"/>
      <c r="P21" s="14"/>
      <c r="Q21" s="14"/>
      <c r="R21" s="14"/>
      <c r="S21" s="14"/>
      <c r="T21" s="14"/>
      <c r="U21" s="14"/>
      <c r="V21" s="14"/>
      <c r="W21" s="14"/>
      <c r="X21" s="14"/>
      <c r="Y21" s="14"/>
      <c r="Z21" s="14"/>
      <c r="AA21" s="14"/>
      <c r="AB21" s="14"/>
    </row>
    <row r="22" spans="2:28" ht="17.399999999999999" x14ac:dyDescent="0.35">
      <c r="B22" s="18" t="s">
        <v>7</v>
      </c>
      <c r="C22" s="19" t="s">
        <v>8</v>
      </c>
      <c r="D22" s="23">
        <v>300</v>
      </c>
      <c r="E22" s="21" t="s">
        <v>9</v>
      </c>
      <c r="F22" s="22" t="s">
        <v>10</v>
      </c>
      <c r="G22" s="14"/>
      <c r="H22" s="24"/>
      <c r="I22" s="25"/>
      <c r="J22" s="25"/>
      <c r="K22" s="25"/>
      <c r="L22" s="25"/>
      <c r="M22" s="25"/>
      <c r="N22" s="25"/>
      <c r="O22" s="25"/>
      <c r="P22" s="14"/>
      <c r="Q22" s="14"/>
      <c r="R22" s="14"/>
      <c r="S22" s="14"/>
      <c r="T22" s="14"/>
      <c r="U22" s="14"/>
      <c r="V22" s="14"/>
      <c r="W22" s="14"/>
      <c r="X22" s="14"/>
      <c r="Y22" s="14"/>
      <c r="Z22" s="14"/>
      <c r="AA22" s="14"/>
      <c r="AB22" s="14"/>
    </row>
    <row r="23" spans="2:28" ht="17.399999999999999" x14ac:dyDescent="0.35">
      <c r="B23" s="26" t="s">
        <v>11</v>
      </c>
      <c r="C23" s="19" t="s">
        <v>12</v>
      </c>
      <c r="D23" s="27">
        <v>2</v>
      </c>
      <c r="E23" s="21" t="s">
        <v>11</v>
      </c>
      <c r="F23" s="22" t="s">
        <v>13</v>
      </c>
      <c r="G23" s="14"/>
      <c r="H23" s="14"/>
      <c r="I23" s="14"/>
      <c r="J23" s="14"/>
      <c r="K23" s="14"/>
      <c r="L23" s="14"/>
      <c r="M23" s="28"/>
      <c r="N23" s="14"/>
      <c r="O23" s="14"/>
      <c r="P23" s="14"/>
      <c r="Q23" s="14"/>
      <c r="R23" s="14"/>
      <c r="S23" s="14"/>
      <c r="T23" s="14"/>
      <c r="U23" s="14"/>
      <c r="V23" s="14"/>
      <c r="W23" s="14"/>
      <c r="X23" s="14"/>
      <c r="Y23" s="14"/>
      <c r="Z23" s="14"/>
      <c r="AA23" s="14"/>
      <c r="AB23" s="14"/>
    </row>
    <row r="24" spans="2:28" ht="17.399999999999999" x14ac:dyDescent="0.35">
      <c r="B24" s="29" t="s">
        <v>14</v>
      </c>
      <c r="C24" s="30" t="s">
        <v>15</v>
      </c>
      <c r="D24" s="31">
        <v>12</v>
      </c>
      <c r="E24" s="32" t="s">
        <v>16</v>
      </c>
      <c r="F24" s="33" t="s">
        <v>17</v>
      </c>
      <c r="G24" s="14"/>
      <c r="H24" s="14"/>
      <c r="I24" s="14"/>
      <c r="J24" s="14"/>
      <c r="K24" s="14"/>
      <c r="L24" s="14"/>
      <c r="M24" s="28"/>
      <c r="N24" s="14"/>
      <c r="O24" s="14"/>
      <c r="P24" s="14"/>
      <c r="Q24" s="14"/>
      <c r="R24" s="14"/>
      <c r="S24" s="14"/>
      <c r="T24" s="14"/>
      <c r="U24" s="14"/>
      <c r="V24" s="14"/>
      <c r="W24" s="14"/>
      <c r="X24" s="14"/>
      <c r="Y24" s="14"/>
      <c r="Z24" s="14"/>
      <c r="AA24" s="14"/>
      <c r="AB24" s="14"/>
    </row>
    <row r="25" spans="2:28" ht="17.399999999999999" x14ac:dyDescent="0.35">
      <c r="B25" s="29" t="str">
        <f>IF(D28="Circular","Outer diameter of the inductor", "Short Side of inductor")</f>
        <v>Outer diameter of the inductor</v>
      </c>
      <c r="C25" s="30" t="s">
        <v>18</v>
      </c>
      <c r="D25" s="34">
        <v>34</v>
      </c>
      <c r="E25" s="35" t="s">
        <v>19</v>
      </c>
      <c r="F25" s="33" t="s">
        <v>20</v>
      </c>
      <c r="G25" s="14"/>
      <c r="H25" s="14"/>
      <c r="I25" s="14"/>
      <c r="J25" s="14"/>
      <c r="K25" s="14"/>
      <c r="L25" s="14"/>
      <c r="M25" s="14"/>
      <c r="N25" s="14"/>
      <c r="O25" s="14"/>
      <c r="P25" s="14"/>
      <c r="Q25" s="14"/>
      <c r="R25" s="14"/>
      <c r="S25" s="14"/>
      <c r="T25" s="14"/>
      <c r="U25" s="14"/>
      <c r="V25" s="14"/>
      <c r="W25" s="14"/>
      <c r="X25" s="14"/>
      <c r="Y25" s="14"/>
      <c r="Z25" s="14"/>
      <c r="AA25" s="14"/>
      <c r="AB25" s="14"/>
    </row>
    <row r="26" spans="2:28" ht="17.399999999999999" hidden="1" x14ac:dyDescent="0.35">
      <c r="B26" s="29" t="s">
        <v>21</v>
      </c>
      <c r="C26" s="30" t="str">
        <f>E25</f>
        <v>mm</v>
      </c>
      <c r="D26" s="36" t="str">
        <f>C26</f>
        <v>mm</v>
      </c>
      <c r="E26" s="37"/>
      <c r="F26" s="33"/>
      <c r="G26" s="14"/>
      <c r="H26" s="14"/>
      <c r="I26" s="14"/>
      <c r="J26" s="14"/>
      <c r="K26" s="14"/>
      <c r="L26" s="14"/>
      <c r="M26" s="14"/>
      <c r="N26" s="14"/>
      <c r="O26" s="14"/>
      <c r="P26" s="14"/>
      <c r="Q26" s="14"/>
      <c r="R26" s="14"/>
      <c r="S26" s="14"/>
      <c r="T26" s="14"/>
      <c r="U26" s="14"/>
      <c r="V26" s="14"/>
      <c r="W26" s="14"/>
      <c r="X26" s="14"/>
      <c r="Y26" s="14"/>
      <c r="Z26" s="14"/>
      <c r="AA26" s="14"/>
      <c r="AB26" s="14"/>
    </row>
    <row r="27" spans="2:28" ht="17.399999999999999" hidden="1" x14ac:dyDescent="0.35">
      <c r="B27" s="29" t="s">
        <v>22</v>
      </c>
      <c r="C27" s="30"/>
      <c r="D27" s="38">
        <f>IF(D26="mm",D25,D25*0.0254)</f>
        <v>34</v>
      </c>
      <c r="E27" s="39" t="s">
        <v>19</v>
      </c>
      <c r="F27" s="33"/>
      <c r="G27" s="14"/>
      <c r="H27" s="14"/>
      <c r="I27" s="14"/>
      <c r="J27" s="14"/>
      <c r="K27" s="14"/>
      <c r="L27" s="14"/>
      <c r="M27" s="14"/>
      <c r="N27" s="14"/>
      <c r="O27" s="14"/>
      <c r="P27" s="14"/>
      <c r="Q27" s="14"/>
      <c r="R27" s="14"/>
      <c r="S27" s="14"/>
      <c r="T27" s="14"/>
      <c r="U27" s="14"/>
      <c r="V27" s="14"/>
      <c r="W27" s="14"/>
      <c r="X27" s="14"/>
      <c r="Y27" s="14"/>
      <c r="Z27" s="14"/>
      <c r="AA27" s="14"/>
      <c r="AB27" s="14"/>
    </row>
    <row r="28" spans="2:28" ht="17.399999999999999" x14ac:dyDescent="0.35">
      <c r="B28" s="29" t="s">
        <v>23</v>
      </c>
      <c r="C28" s="30"/>
      <c r="D28" s="40" t="s">
        <v>351</v>
      </c>
      <c r="E28" s="39"/>
      <c r="F28" s="33"/>
      <c r="G28" s="14"/>
      <c r="H28" s="14"/>
      <c r="I28" s="14"/>
      <c r="J28" s="14"/>
      <c r="K28" s="14"/>
      <c r="L28" s="14"/>
      <c r="M28" s="14"/>
      <c r="N28" s="14"/>
      <c r="O28" s="14"/>
      <c r="P28" s="14"/>
      <c r="Q28" s="14"/>
      <c r="R28" s="14"/>
      <c r="S28" s="14"/>
      <c r="T28" s="14"/>
      <c r="U28" s="14"/>
      <c r="V28" s="14"/>
      <c r="W28" s="14"/>
      <c r="X28" s="14"/>
      <c r="Y28" s="14"/>
      <c r="Z28" s="14"/>
      <c r="AA28" s="14"/>
      <c r="AB28" s="14"/>
    </row>
    <row r="29" spans="2:28" ht="17.399999999999999" x14ac:dyDescent="0.35">
      <c r="B29" s="29" t="s">
        <v>24</v>
      </c>
      <c r="C29" s="30" t="s">
        <v>25</v>
      </c>
      <c r="D29" s="34">
        <v>17.399999999999999</v>
      </c>
      <c r="E29" s="41" t="str">
        <f>E25</f>
        <v>mm</v>
      </c>
      <c r="F29" s="42" t="str">
        <f>IF(D29&lt;D25,"Sensor Long Side must be longer than Short Side","")</f>
        <v>Sensor Long Side must be longer than Short Side</v>
      </c>
      <c r="G29" s="14"/>
      <c r="H29" s="14"/>
      <c r="I29" s="14"/>
      <c r="J29" s="14"/>
      <c r="K29" s="14"/>
      <c r="L29" s="14"/>
      <c r="M29" s="14"/>
      <c r="N29" s="14"/>
      <c r="O29" s="14"/>
      <c r="P29" s="14"/>
      <c r="Q29" s="14"/>
      <c r="R29" s="14"/>
      <c r="S29" s="14"/>
      <c r="T29" s="14"/>
      <c r="U29" s="14"/>
      <c r="V29" s="14"/>
      <c r="W29" s="14"/>
      <c r="X29" s="14"/>
      <c r="Y29" s="14"/>
      <c r="Z29" s="14"/>
      <c r="AA29" s="14"/>
      <c r="AB29" s="14"/>
    </row>
    <row r="30" spans="2:28" ht="17.399999999999999" hidden="1" x14ac:dyDescent="0.35">
      <c r="B30" s="29" t="s">
        <v>26</v>
      </c>
      <c r="C30" s="30"/>
      <c r="D30" s="36">
        <f>IF(E29="mm",D29,D29*0.0254)</f>
        <v>17.399999999999999</v>
      </c>
      <c r="E30" s="39" t="s">
        <v>19</v>
      </c>
      <c r="F30" s="33"/>
      <c r="G30" s="14"/>
      <c r="H30" s="14"/>
      <c r="I30" s="14"/>
      <c r="J30" s="14"/>
      <c r="K30" s="14"/>
      <c r="L30" s="14"/>
      <c r="M30" s="14"/>
      <c r="N30" s="14"/>
      <c r="O30" s="14"/>
      <c r="P30" s="14"/>
      <c r="Q30" s="14"/>
      <c r="R30" s="14"/>
      <c r="S30" s="14"/>
      <c r="T30" s="14"/>
      <c r="U30" s="14"/>
      <c r="V30" s="14"/>
      <c r="W30" s="14"/>
      <c r="X30" s="14"/>
      <c r="Y30" s="14"/>
      <c r="Z30" s="14"/>
      <c r="AA30" s="14"/>
      <c r="AB30" s="14"/>
    </row>
    <row r="31" spans="2:28" ht="17.399999999999999" hidden="1" x14ac:dyDescent="0.35">
      <c r="B31" s="29" t="s">
        <v>27</v>
      </c>
      <c r="C31" s="30"/>
      <c r="D31" s="43">
        <f>IF(D28="Circular",1,D30/D27)</f>
        <v>1</v>
      </c>
      <c r="E31" s="39"/>
      <c r="F31" s="33"/>
      <c r="G31" s="14"/>
      <c r="H31" s="14"/>
      <c r="I31" s="14"/>
      <c r="J31" s="14"/>
      <c r="K31" s="14"/>
      <c r="L31" s="14"/>
      <c r="M31" s="14"/>
      <c r="N31" s="14"/>
      <c r="O31" s="14"/>
      <c r="P31" s="14"/>
      <c r="Q31" s="14"/>
      <c r="R31" s="14"/>
      <c r="S31" s="14"/>
      <c r="T31" s="14"/>
      <c r="U31" s="14"/>
      <c r="V31" s="14"/>
      <c r="W31" s="14"/>
      <c r="X31" s="14"/>
      <c r="Y31" s="14"/>
      <c r="Z31" s="14"/>
      <c r="AA31" s="14"/>
      <c r="AB31" s="14"/>
    </row>
    <row r="32" spans="2:28" ht="17.399999999999999" hidden="1" x14ac:dyDescent="0.35">
      <c r="B32" s="29" t="s">
        <v>28</v>
      </c>
      <c r="C32" s="30"/>
      <c r="D32" s="44">
        <f>1+(4*(D31-1)/PI())</f>
        <v>1</v>
      </c>
      <c r="E32" s="39"/>
      <c r="F32" s="33"/>
      <c r="G32" s="14"/>
      <c r="H32" s="14"/>
      <c r="I32" s="14"/>
      <c r="J32" s="14"/>
      <c r="K32" s="14"/>
      <c r="L32" s="14"/>
      <c r="M32" s="14"/>
      <c r="N32" s="14"/>
      <c r="O32" s="14"/>
      <c r="P32" s="14"/>
      <c r="Q32" s="14"/>
      <c r="R32" s="14"/>
      <c r="S32" s="14"/>
      <c r="T32" s="14"/>
      <c r="U32" s="14"/>
      <c r="V32" s="14"/>
      <c r="W32" s="14"/>
      <c r="X32" s="14"/>
      <c r="Y32" s="14"/>
      <c r="Z32" s="14"/>
      <c r="AA32" s="14"/>
      <c r="AB32" s="14"/>
    </row>
    <row r="33" spans="2:28" ht="17.399999999999999" x14ac:dyDescent="0.35">
      <c r="B33" s="29" t="s">
        <v>29</v>
      </c>
      <c r="C33" s="30" t="s">
        <v>30</v>
      </c>
      <c r="D33" s="40">
        <v>0.125</v>
      </c>
      <c r="E33" s="35" t="s">
        <v>19</v>
      </c>
      <c r="F33" s="33" t="s">
        <v>32</v>
      </c>
      <c r="G33" s="14"/>
      <c r="H33" s="28"/>
      <c r="I33" s="14"/>
      <c r="J33" s="14"/>
      <c r="K33" s="14"/>
      <c r="L33" s="14"/>
      <c r="M33" s="14"/>
      <c r="N33" s="14"/>
      <c r="O33" s="14"/>
      <c r="P33" s="14"/>
      <c r="Q33" s="14"/>
      <c r="R33" s="14"/>
      <c r="S33" s="14"/>
      <c r="T33" s="14"/>
      <c r="U33" s="14"/>
      <c r="V33" s="14"/>
      <c r="W33" s="14"/>
      <c r="X33" s="14"/>
      <c r="Y33" s="14"/>
      <c r="Z33" s="14"/>
      <c r="AA33" s="14"/>
      <c r="AB33" s="14"/>
    </row>
    <row r="34" spans="2:28" ht="17.399999999999999" hidden="1" x14ac:dyDescent="0.35">
      <c r="B34" s="29" t="s">
        <v>33</v>
      </c>
      <c r="C34" s="30" t="str">
        <f>E33</f>
        <v>mm</v>
      </c>
      <c r="D34" s="38" t="str">
        <f>C34</f>
        <v>mm</v>
      </c>
      <c r="E34" s="45"/>
      <c r="F34" s="33"/>
      <c r="G34" s="14"/>
      <c r="H34" s="28"/>
      <c r="I34" s="14"/>
      <c r="J34" s="14"/>
      <c r="K34" s="14"/>
      <c r="L34" s="14"/>
      <c r="M34" s="14"/>
      <c r="N34" s="14"/>
      <c r="O34" s="14"/>
      <c r="P34" s="14"/>
      <c r="Q34" s="14"/>
      <c r="R34" s="14"/>
      <c r="S34" s="14"/>
      <c r="T34" s="14"/>
      <c r="U34" s="14"/>
      <c r="V34" s="14"/>
      <c r="W34" s="14"/>
      <c r="X34" s="14"/>
      <c r="Y34" s="14"/>
      <c r="Z34" s="14"/>
      <c r="AA34" s="14"/>
      <c r="AB34" s="14"/>
    </row>
    <row r="35" spans="2:28" ht="17.399999999999999" hidden="1" x14ac:dyDescent="0.35">
      <c r="B35" s="29" t="s">
        <v>34</v>
      </c>
      <c r="C35" s="30"/>
      <c r="D35" s="44">
        <f>IF(D34="mm",D33,D33*0.0254)</f>
        <v>0.125</v>
      </c>
      <c r="E35" s="45" t="s">
        <v>19</v>
      </c>
      <c r="F35" s="33"/>
      <c r="G35" s="14"/>
      <c r="H35" s="28"/>
      <c r="I35" s="14"/>
      <c r="J35" s="14"/>
      <c r="K35" s="14"/>
      <c r="L35" s="14"/>
      <c r="M35" s="14"/>
      <c r="N35" s="14"/>
      <c r="O35" s="14"/>
      <c r="P35" s="14"/>
      <c r="Q35" s="14"/>
      <c r="R35" s="14"/>
      <c r="S35" s="14"/>
      <c r="T35" s="14"/>
      <c r="U35" s="14"/>
      <c r="V35" s="14"/>
      <c r="W35" s="14"/>
      <c r="X35" s="14"/>
      <c r="Y35" s="14"/>
      <c r="Z35" s="14"/>
      <c r="AA35" s="14"/>
      <c r="AB35" s="14"/>
    </row>
    <row r="36" spans="2:28" ht="17.399999999999999" x14ac:dyDescent="0.35">
      <c r="B36" s="29" t="s">
        <v>35</v>
      </c>
      <c r="C36" s="30" t="s">
        <v>36</v>
      </c>
      <c r="D36" s="40">
        <v>0.25</v>
      </c>
      <c r="E36" s="35" t="s">
        <v>19</v>
      </c>
      <c r="F36" s="33" t="s">
        <v>37</v>
      </c>
      <c r="G36" s="14"/>
      <c r="H36" s="14"/>
      <c r="I36" s="14"/>
      <c r="J36" s="14"/>
      <c r="K36" s="14"/>
      <c r="L36" s="14"/>
      <c r="M36" s="14"/>
      <c r="N36" s="14"/>
      <c r="O36" s="14"/>
      <c r="P36" s="14"/>
      <c r="Q36" s="14"/>
      <c r="R36" s="14"/>
      <c r="S36" s="14"/>
      <c r="T36" s="14"/>
      <c r="U36" s="14"/>
      <c r="V36" s="14"/>
      <c r="W36" s="14"/>
      <c r="X36" s="14"/>
      <c r="Y36" s="14"/>
      <c r="Z36" s="14"/>
      <c r="AA36" s="14"/>
      <c r="AB36" s="14"/>
    </row>
    <row r="37" spans="2:28" hidden="1" x14ac:dyDescent="0.3">
      <c r="B37" s="29" t="s">
        <v>38</v>
      </c>
      <c r="C37" s="30" t="str">
        <f>E36</f>
        <v>mm</v>
      </c>
      <c r="D37" s="46" t="str">
        <f>C37</f>
        <v>mm</v>
      </c>
      <c r="E37" s="45"/>
      <c r="F37" s="33"/>
      <c r="G37" s="14"/>
      <c r="H37" s="14"/>
      <c r="I37" s="14"/>
      <c r="J37" s="14"/>
      <c r="K37" s="14"/>
      <c r="L37" s="14"/>
      <c r="M37" s="14"/>
      <c r="N37" s="14"/>
      <c r="O37" s="14"/>
      <c r="P37" s="14"/>
      <c r="Q37" s="14"/>
      <c r="R37" s="14"/>
      <c r="S37" s="14"/>
      <c r="T37" s="14"/>
      <c r="U37" s="14"/>
      <c r="V37" s="14"/>
      <c r="W37" s="14"/>
      <c r="X37" s="14"/>
      <c r="Y37" s="14"/>
      <c r="Z37" s="14"/>
      <c r="AA37" s="14"/>
      <c r="AB37" s="14"/>
    </row>
    <row r="38" spans="2:28" ht="15.6" hidden="1" x14ac:dyDescent="0.3">
      <c r="B38" s="29" t="s">
        <v>39</v>
      </c>
      <c r="C38" s="30"/>
      <c r="D38" s="47">
        <f>IF(D37="mm",D36,D36*0.0254)</f>
        <v>0.25</v>
      </c>
      <c r="E38" s="45" t="s">
        <v>19</v>
      </c>
      <c r="F38" s="33"/>
      <c r="G38" s="14"/>
      <c r="H38" s="14"/>
      <c r="I38" s="14"/>
      <c r="J38" s="14"/>
      <c r="K38" s="14"/>
      <c r="L38" s="14"/>
      <c r="M38" s="14"/>
      <c r="N38" s="14"/>
      <c r="O38" s="14"/>
      <c r="P38" s="14"/>
      <c r="Q38" s="14"/>
      <c r="R38" s="14"/>
      <c r="S38" s="14"/>
      <c r="T38" s="14"/>
      <c r="U38" s="14"/>
      <c r="V38" s="14"/>
      <c r="W38" s="14"/>
      <c r="X38" s="14"/>
      <c r="Y38" s="14"/>
      <c r="Z38" s="14"/>
      <c r="AA38" s="14"/>
      <c r="AB38" s="14"/>
    </row>
    <row r="39" spans="2:28" x14ac:dyDescent="0.3">
      <c r="B39" s="29" t="s">
        <v>40</v>
      </c>
      <c r="C39" s="30" t="s">
        <v>41</v>
      </c>
      <c r="D39" s="209">
        <v>12</v>
      </c>
      <c r="E39" s="35" t="s">
        <v>31</v>
      </c>
      <c r="F39" s="33" t="s">
        <v>42</v>
      </c>
      <c r="G39" s="14"/>
      <c r="H39" s="14"/>
      <c r="I39" s="14"/>
      <c r="J39" s="14"/>
      <c r="K39" s="14"/>
      <c r="L39" s="14"/>
      <c r="M39" s="14"/>
      <c r="N39" s="14"/>
      <c r="O39" s="14"/>
      <c r="P39" s="14"/>
      <c r="Q39" s="14"/>
      <c r="R39" s="14"/>
      <c r="S39" s="14"/>
      <c r="T39" s="14"/>
      <c r="U39" s="14"/>
      <c r="V39" s="14"/>
      <c r="W39" s="14"/>
      <c r="X39" s="14"/>
      <c r="Y39" s="14"/>
      <c r="Z39" s="14"/>
      <c r="AA39" s="14"/>
      <c r="AB39" s="14"/>
    </row>
    <row r="40" spans="2:28" x14ac:dyDescent="0.3">
      <c r="B40" s="29" t="s">
        <v>43</v>
      </c>
      <c r="C40" s="30" t="s">
        <v>44</v>
      </c>
      <c r="D40" s="210">
        <v>8</v>
      </c>
      <c r="E40" s="49" t="str">
        <f t="shared" ref="E40:E45" si="0">E39</f>
        <v>mil</v>
      </c>
      <c r="F40" s="33" t="s">
        <v>45</v>
      </c>
      <c r="G40" s="14"/>
      <c r="H40" s="14"/>
      <c r="I40" s="14"/>
      <c r="J40" s="14"/>
      <c r="K40" s="14"/>
      <c r="L40" s="14"/>
      <c r="M40" s="14"/>
      <c r="N40" s="14"/>
      <c r="O40" s="14"/>
      <c r="P40" s="14"/>
      <c r="Q40" s="14"/>
      <c r="R40" s="14"/>
      <c r="S40" s="14"/>
      <c r="T40" s="14"/>
      <c r="U40" s="14"/>
      <c r="V40" s="14"/>
      <c r="W40" s="14"/>
      <c r="X40" s="14"/>
      <c r="Y40" s="14"/>
      <c r="Z40" s="14"/>
      <c r="AA40" s="14"/>
      <c r="AB40" s="14"/>
    </row>
    <row r="41" spans="2:28" x14ac:dyDescent="0.3">
      <c r="B41" s="29" t="s">
        <v>46</v>
      </c>
      <c r="C41" s="30" t="s">
        <v>47</v>
      </c>
      <c r="D41" s="210">
        <v>8</v>
      </c>
      <c r="E41" s="49" t="str">
        <f t="shared" si="0"/>
        <v>mil</v>
      </c>
      <c r="F41" s="33" t="s">
        <v>48</v>
      </c>
      <c r="G41" s="14"/>
      <c r="H41" s="14"/>
      <c r="I41" s="14"/>
      <c r="J41" s="14"/>
      <c r="K41" s="14"/>
      <c r="L41" s="14"/>
      <c r="M41" s="14"/>
      <c r="N41" s="14"/>
      <c r="O41" s="14"/>
      <c r="P41" s="14"/>
      <c r="Q41" s="14"/>
      <c r="R41" s="14"/>
      <c r="S41" s="14"/>
      <c r="T41" s="14"/>
      <c r="U41" s="14"/>
      <c r="V41" s="14"/>
      <c r="W41" s="14"/>
      <c r="X41" s="14"/>
      <c r="Y41" s="14"/>
      <c r="Z41" s="14"/>
      <c r="AA41" s="14"/>
      <c r="AB41" s="14"/>
    </row>
    <row r="42" spans="2:28" x14ac:dyDescent="0.3">
      <c r="B42" s="29" t="s">
        <v>49</v>
      </c>
      <c r="C42" s="30" t="s">
        <v>50</v>
      </c>
      <c r="D42" s="210">
        <v>8</v>
      </c>
      <c r="E42" s="49" t="str">
        <f t="shared" si="0"/>
        <v>mil</v>
      </c>
      <c r="F42" s="33" t="s">
        <v>51</v>
      </c>
      <c r="G42" s="14"/>
      <c r="H42" s="14"/>
      <c r="I42" s="14"/>
      <c r="J42" s="14"/>
      <c r="K42" s="14"/>
      <c r="L42" s="14"/>
      <c r="M42" s="14"/>
      <c r="N42" s="14"/>
      <c r="O42" s="14"/>
      <c r="P42" s="14"/>
      <c r="Q42" s="14"/>
      <c r="R42" s="14"/>
      <c r="S42" s="14"/>
      <c r="T42" s="14"/>
      <c r="U42" s="14"/>
      <c r="V42" s="14"/>
      <c r="W42" s="14"/>
      <c r="X42" s="14"/>
      <c r="Y42" s="14"/>
      <c r="Z42" s="14"/>
      <c r="AA42" s="14"/>
      <c r="AB42" s="14"/>
    </row>
    <row r="43" spans="2:28" x14ac:dyDescent="0.3">
      <c r="B43" s="29" t="s">
        <v>52</v>
      </c>
      <c r="C43" s="30" t="s">
        <v>53</v>
      </c>
      <c r="D43" s="210">
        <v>8</v>
      </c>
      <c r="E43" s="49" t="str">
        <f t="shared" si="0"/>
        <v>mil</v>
      </c>
      <c r="F43" s="33" t="s">
        <v>54</v>
      </c>
      <c r="G43" s="14"/>
      <c r="H43" s="14"/>
      <c r="I43" s="14"/>
      <c r="J43" s="14"/>
      <c r="K43" s="14"/>
      <c r="L43" s="14"/>
      <c r="M43" s="14"/>
      <c r="N43" s="14"/>
      <c r="O43" s="14"/>
      <c r="P43" s="14"/>
      <c r="Q43" s="14"/>
      <c r="R43" s="14"/>
      <c r="S43" s="14"/>
      <c r="T43" s="14"/>
      <c r="U43" s="14"/>
      <c r="V43" s="14"/>
      <c r="W43" s="14"/>
      <c r="X43" s="14"/>
      <c r="Y43" s="14"/>
      <c r="Z43" s="14"/>
      <c r="AA43" s="14"/>
      <c r="AB43" s="14"/>
    </row>
    <row r="44" spans="2:28" ht="15.45" customHeight="1" x14ac:dyDescent="0.3">
      <c r="B44" s="29" t="s">
        <v>55</v>
      </c>
      <c r="C44" s="30" t="s">
        <v>56</v>
      </c>
      <c r="D44" s="210">
        <v>8</v>
      </c>
      <c r="E44" s="49" t="str">
        <f t="shared" si="0"/>
        <v>mil</v>
      </c>
      <c r="F44" s="33" t="s">
        <v>57</v>
      </c>
      <c r="G44" s="14"/>
      <c r="H44" s="14"/>
      <c r="I44" s="14"/>
      <c r="J44" s="14"/>
      <c r="K44" s="14"/>
      <c r="L44" s="14"/>
      <c r="M44" s="14"/>
      <c r="N44" s="14"/>
      <c r="O44" s="14"/>
      <c r="P44" s="14"/>
      <c r="Q44" s="14"/>
      <c r="R44" s="14"/>
      <c r="S44" s="14"/>
      <c r="T44" s="14"/>
      <c r="U44" s="14"/>
      <c r="V44" s="14"/>
      <c r="W44" s="14"/>
      <c r="X44" s="14"/>
      <c r="Y44" s="14"/>
      <c r="Z44" s="14"/>
      <c r="AA44" s="14"/>
      <c r="AB44" s="14"/>
    </row>
    <row r="45" spans="2:28" x14ac:dyDescent="0.3">
      <c r="B45" s="29" t="s">
        <v>58</v>
      </c>
      <c r="C45" s="30" t="s">
        <v>59</v>
      </c>
      <c r="D45" s="210">
        <v>88</v>
      </c>
      <c r="E45" s="49" t="str">
        <f t="shared" si="0"/>
        <v>mil</v>
      </c>
      <c r="F45" s="33" t="s">
        <v>60</v>
      </c>
      <c r="G45" s="14"/>
      <c r="H45" s="14"/>
      <c r="I45" s="14"/>
      <c r="J45" s="14"/>
      <c r="K45" s="14"/>
      <c r="L45" s="14"/>
      <c r="M45" s="14"/>
      <c r="N45" s="14"/>
      <c r="O45" s="14"/>
      <c r="P45" s="14"/>
      <c r="Q45" s="14"/>
      <c r="R45" s="14"/>
      <c r="S45" s="14"/>
      <c r="T45" s="14"/>
      <c r="U45" s="14"/>
      <c r="V45" s="14"/>
      <c r="W45" s="14"/>
      <c r="X45" s="14"/>
      <c r="Y45" s="14"/>
      <c r="Z45" s="14"/>
      <c r="AA45" s="14"/>
      <c r="AB45" s="14"/>
    </row>
    <row r="46" spans="2:28" x14ac:dyDescent="0.3">
      <c r="B46" s="29" t="s">
        <v>61</v>
      </c>
      <c r="C46" s="30" t="s">
        <v>62</v>
      </c>
      <c r="D46" s="50">
        <v>1</v>
      </c>
      <c r="E46" s="35" t="s">
        <v>63</v>
      </c>
      <c r="F46" s="33" t="s">
        <v>64</v>
      </c>
      <c r="G46" s="14"/>
      <c r="H46" s="14"/>
      <c r="I46" s="14"/>
      <c r="J46" s="14"/>
      <c r="K46" s="14"/>
      <c r="L46" s="14"/>
      <c r="M46" s="14"/>
      <c r="N46" s="14"/>
      <c r="O46" s="14"/>
      <c r="P46" s="14"/>
      <c r="Q46" s="14"/>
      <c r="R46" s="14"/>
      <c r="S46" s="14"/>
      <c r="T46" s="14"/>
      <c r="U46" s="14"/>
      <c r="V46" s="14"/>
      <c r="W46" s="14"/>
      <c r="X46" s="14"/>
      <c r="Y46" s="14"/>
      <c r="Z46" s="14"/>
      <c r="AA46" s="14"/>
      <c r="AB46" s="14"/>
    </row>
    <row r="47" spans="2:28" hidden="1" x14ac:dyDescent="0.3">
      <c r="B47" s="29" t="s">
        <v>65</v>
      </c>
      <c r="C47" s="30" t="str">
        <f>E46</f>
        <v>oz-Cu</v>
      </c>
      <c r="D47" s="48" t="str">
        <f>C47</f>
        <v>oz-Cu</v>
      </c>
      <c r="E47" s="45"/>
      <c r="F47" s="33"/>
      <c r="G47" s="14"/>
      <c r="H47" s="14"/>
      <c r="I47" s="14"/>
      <c r="J47" s="14"/>
      <c r="K47" s="14"/>
      <c r="L47" s="14"/>
      <c r="M47" s="14"/>
      <c r="N47" s="14"/>
      <c r="O47" s="14"/>
      <c r="P47" s="14"/>
      <c r="Q47" s="14"/>
      <c r="R47" s="14"/>
      <c r="S47" s="14"/>
      <c r="T47" s="14"/>
      <c r="U47" s="14"/>
      <c r="V47" s="14"/>
      <c r="W47" s="14"/>
      <c r="X47" s="14"/>
      <c r="Y47" s="14"/>
      <c r="Z47" s="14"/>
      <c r="AA47" s="14"/>
      <c r="AB47" s="14"/>
    </row>
    <row r="48" spans="2:28" hidden="1" x14ac:dyDescent="0.3">
      <c r="B48" s="29" t="s">
        <v>66</v>
      </c>
      <c r="C48" s="30"/>
      <c r="D48" s="51">
        <f>IF(D47="mm",D46, IF(D47="mil",D46*0.0254,D46*0.0347))</f>
        <v>3.4700000000000002E-2</v>
      </c>
      <c r="E48" s="45" t="s">
        <v>19</v>
      </c>
      <c r="F48" s="33"/>
      <c r="G48" s="14"/>
      <c r="H48" s="14"/>
      <c r="I48" s="14"/>
      <c r="J48" s="14"/>
      <c r="K48" s="14"/>
      <c r="L48" s="14"/>
      <c r="M48" s="14"/>
      <c r="N48" s="14"/>
      <c r="O48" s="14"/>
      <c r="P48" s="14"/>
      <c r="Q48" s="14"/>
      <c r="R48" s="14"/>
      <c r="S48" s="14"/>
      <c r="T48" s="14"/>
      <c r="U48" s="14"/>
      <c r="V48" s="14"/>
      <c r="W48" s="14"/>
      <c r="X48" s="14"/>
      <c r="Y48" s="14"/>
      <c r="Z48" s="14"/>
      <c r="AA48" s="14"/>
      <c r="AB48" s="14"/>
    </row>
    <row r="49" spans="1:28" ht="15" customHeight="1" x14ac:dyDescent="0.3">
      <c r="B49" s="52" t="s">
        <v>67</v>
      </c>
      <c r="C49" s="53" t="s">
        <v>68</v>
      </c>
      <c r="D49" s="54">
        <v>1.6800000000000002E-8</v>
      </c>
      <c r="E49" s="55" t="s">
        <v>69</v>
      </c>
      <c r="F49" s="56" t="s">
        <v>70</v>
      </c>
      <c r="G49" s="14"/>
      <c r="H49" s="14"/>
      <c r="I49" s="14"/>
      <c r="J49" s="14"/>
      <c r="K49" s="14"/>
      <c r="L49" s="14"/>
      <c r="M49" s="14"/>
      <c r="N49" s="14"/>
      <c r="O49" s="14"/>
      <c r="P49" s="14"/>
      <c r="Q49" s="14"/>
      <c r="R49" s="14"/>
      <c r="S49" s="14"/>
      <c r="T49" s="14"/>
      <c r="U49" s="14"/>
      <c r="V49" s="14"/>
      <c r="W49" s="14"/>
      <c r="X49" s="14"/>
      <c r="Y49" s="14"/>
      <c r="Z49" s="14"/>
      <c r="AA49" s="14"/>
      <c r="AB49" s="14"/>
    </row>
    <row r="50" spans="1:28" x14ac:dyDescent="0.3">
      <c r="B50" s="52" t="s">
        <v>71</v>
      </c>
      <c r="C50" s="53" t="s">
        <v>72</v>
      </c>
      <c r="D50" s="57">
        <v>0.39300000000000002</v>
      </c>
      <c r="E50" s="55" t="s">
        <v>73</v>
      </c>
      <c r="F50" s="56" t="s">
        <v>74</v>
      </c>
      <c r="G50" s="14"/>
      <c r="H50" s="14"/>
      <c r="I50" s="14"/>
      <c r="J50" s="14"/>
      <c r="K50" s="14"/>
      <c r="L50" s="14"/>
      <c r="M50" s="14"/>
      <c r="N50" s="14"/>
      <c r="O50" s="14"/>
      <c r="P50" s="14"/>
      <c r="Q50" s="14"/>
      <c r="R50" s="14"/>
      <c r="S50" s="14"/>
      <c r="T50" s="14"/>
      <c r="U50" s="14"/>
      <c r="V50" s="14"/>
      <c r="W50" s="14"/>
      <c r="X50" s="14"/>
      <c r="Y50" s="14"/>
      <c r="Z50" s="14"/>
      <c r="AA50" s="14"/>
      <c r="AB50" s="14"/>
    </row>
    <row r="51" spans="1:28" ht="15" x14ac:dyDescent="0.35">
      <c r="B51" s="52" t="s">
        <v>75</v>
      </c>
      <c r="C51" s="58" t="s">
        <v>76</v>
      </c>
      <c r="D51" s="59">
        <v>1</v>
      </c>
      <c r="E51" s="55"/>
      <c r="F51" s="56" t="s">
        <v>77</v>
      </c>
      <c r="G51" s="14"/>
      <c r="H51" s="14"/>
      <c r="I51" s="14"/>
      <c r="J51" s="14"/>
      <c r="K51" s="14"/>
      <c r="L51" s="14"/>
      <c r="M51" s="14"/>
      <c r="N51" s="14"/>
      <c r="O51" s="14"/>
      <c r="P51" s="14"/>
      <c r="Q51" s="14"/>
      <c r="R51" s="14"/>
      <c r="S51" s="14"/>
      <c r="T51" s="14"/>
      <c r="U51" s="14"/>
      <c r="V51" s="14"/>
      <c r="W51" s="14"/>
      <c r="X51" s="14"/>
      <c r="Y51" s="14"/>
      <c r="Z51" s="14"/>
      <c r="AA51" s="14"/>
      <c r="AB51" s="14"/>
    </row>
    <row r="52" spans="1:28" x14ac:dyDescent="0.3">
      <c r="B52" s="52" t="s">
        <v>78</v>
      </c>
      <c r="C52" s="53" t="s">
        <v>79</v>
      </c>
      <c r="D52" s="60">
        <v>4</v>
      </c>
      <c r="E52" s="55" t="s">
        <v>9</v>
      </c>
      <c r="F52" s="56" t="s">
        <v>80</v>
      </c>
      <c r="G52" s="14"/>
      <c r="H52" s="14"/>
      <c r="I52" s="14"/>
      <c r="J52" s="14"/>
      <c r="K52" s="14"/>
      <c r="L52" s="14"/>
      <c r="M52" s="14"/>
      <c r="N52" s="14"/>
      <c r="O52" s="14"/>
      <c r="P52" s="14"/>
      <c r="Q52" s="14"/>
      <c r="R52" s="14"/>
      <c r="S52" s="14"/>
      <c r="T52" s="14"/>
      <c r="U52" s="14"/>
      <c r="V52" s="14"/>
      <c r="W52" s="14"/>
      <c r="X52" s="14"/>
      <c r="Y52" s="14"/>
      <c r="Z52" s="14"/>
      <c r="AA52" s="14"/>
      <c r="AB52" s="14"/>
    </row>
    <row r="53" spans="1:28" x14ac:dyDescent="0.3">
      <c r="B53" s="61" t="s">
        <v>81</v>
      </c>
      <c r="C53" s="62" t="s">
        <v>82</v>
      </c>
      <c r="D53" s="63">
        <f>D49*(1+(D50/100)*(D21-20))</f>
        <v>1.6932048000000001E-8</v>
      </c>
      <c r="E53" s="64" t="s">
        <v>83</v>
      </c>
      <c r="F53" s="65"/>
      <c r="G53" s="14"/>
      <c r="H53" s="14"/>
      <c r="I53" s="14"/>
      <c r="J53" s="14"/>
      <c r="K53" s="14"/>
      <c r="L53" s="14"/>
      <c r="M53" s="14"/>
      <c r="N53" s="14"/>
      <c r="O53" s="14"/>
      <c r="P53" s="14"/>
      <c r="Q53" s="14"/>
      <c r="R53" s="14"/>
      <c r="S53" s="14"/>
      <c r="T53" s="14"/>
      <c r="U53" s="14"/>
      <c r="V53" s="14"/>
      <c r="W53" s="14"/>
      <c r="X53" s="14"/>
      <c r="Y53" s="14"/>
      <c r="Z53" s="14"/>
      <c r="AA53" s="14"/>
      <c r="AB53" s="14"/>
    </row>
    <row r="54" spans="1:28" x14ac:dyDescent="0.3">
      <c r="A54" s="66"/>
      <c r="B54" s="67" t="s">
        <v>84</v>
      </c>
      <c r="C54" s="68" t="s">
        <v>85</v>
      </c>
      <c r="D54" s="69">
        <f>D57/D27</f>
        <v>0.73161764705882348</v>
      </c>
      <c r="E54" s="39"/>
      <c r="F54" s="65" t="s">
        <v>86</v>
      </c>
      <c r="G54" s="14"/>
      <c r="H54" s="14"/>
      <c r="I54" s="14"/>
      <c r="J54" s="14"/>
      <c r="K54" s="14"/>
      <c r="L54" s="14"/>
      <c r="M54" s="14"/>
      <c r="N54" s="14"/>
      <c r="O54" s="14"/>
      <c r="P54" s="14"/>
      <c r="Q54" s="14"/>
      <c r="R54" s="14"/>
      <c r="S54" s="14"/>
      <c r="T54" s="14"/>
      <c r="U54" s="14"/>
      <c r="V54" s="14"/>
      <c r="W54" s="14"/>
      <c r="X54" s="14"/>
      <c r="Y54" s="14"/>
      <c r="Z54" s="14"/>
      <c r="AA54" s="14"/>
      <c r="AB54" s="14"/>
    </row>
    <row r="55" spans="1:28" hidden="1" x14ac:dyDescent="0.3">
      <c r="A55" s="66"/>
      <c r="B55" s="61" t="s">
        <v>87</v>
      </c>
      <c r="C55" s="62" t="s">
        <v>88</v>
      </c>
      <c r="D55" s="70">
        <f>MAX(0,D32*(D57+D27)/2)</f>
        <v>29.4375</v>
      </c>
      <c r="E55" s="71" t="s">
        <v>19</v>
      </c>
      <c r="F55" s="65"/>
      <c r="G55" s="14"/>
      <c r="H55" s="14"/>
      <c r="I55" s="14"/>
      <c r="J55" s="14"/>
      <c r="K55" s="14"/>
      <c r="L55" s="14"/>
      <c r="M55" s="14"/>
      <c r="N55" s="14"/>
      <c r="O55" s="14"/>
      <c r="P55" s="14"/>
      <c r="Q55" s="14"/>
      <c r="R55" s="14"/>
      <c r="S55" s="14"/>
      <c r="T55" s="14"/>
      <c r="U55" s="14"/>
      <c r="V55" s="14"/>
      <c r="W55" s="14"/>
      <c r="X55" s="14"/>
      <c r="Y55" s="14"/>
      <c r="Z55" s="14"/>
      <c r="AA55" s="14"/>
      <c r="AB55" s="14"/>
    </row>
    <row r="56" spans="1:28" hidden="1" x14ac:dyDescent="0.3">
      <c r="A56" s="66"/>
      <c r="B56" s="61" t="s">
        <v>89</v>
      </c>
      <c r="C56" s="62" t="s">
        <v>90</v>
      </c>
      <c r="D56" s="72">
        <f>(D27-D57)/(D27+D57)</f>
        <v>0.15498938428874734</v>
      </c>
      <c r="E56" s="71"/>
      <c r="F56" s="65"/>
      <c r="G56" s="14"/>
      <c r="H56" s="14"/>
      <c r="I56" s="14"/>
      <c r="J56" s="14"/>
      <c r="K56" s="14"/>
      <c r="L56" s="14"/>
      <c r="M56" s="14"/>
      <c r="N56" s="14"/>
      <c r="O56" s="14"/>
      <c r="P56" s="14"/>
      <c r="Q56" s="14"/>
      <c r="R56" s="14"/>
      <c r="S56" s="14"/>
      <c r="T56" s="14"/>
      <c r="U56" s="14"/>
      <c r="V56" s="14"/>
      <c r="W56" s="14"/>
      <c r="X56" s="14"/>
      <c r="Y56" s="14"/>
      <c r="Z56" s="14"/>
      <c r="AA56" s="14"/>
      <c r="AB56" s="14"/>
    </row>
    <row r="57" spans="1:28" hidden="1" x14ac:dyDescent="0.3">
      <c r="A57" s="66"/>
      <c r="B57" s="61" t="s">
        <v>91</v>
      </c>
      <c r="C57" s="62"/>
      <c r="D57" s="72">
        <f>D27-(2*D24+1)*D38-(2*D24-1)*D35</f>
        <v>24.875</v>
      </c>
      <c r="E57" s="71" t="s">
        <v>19</v>
      </c>
      <c r="F57" s="65"/>
      <c r="G57" s="14"/>
      <c r="H57" s="14"/>
      <c r="I57" s="14"/>
      <c r="J57" s="14"/>
      <c r="K57" s="14"/>
      <c r="L57" s="14"/>
      <c r="M57" s="14"/>
      <c r="N57" s="14"/>
      <c r="O57" s="14"/>
      <c r="P57" s="14"/>
      <c r="Q57" s="14"/>
      <c r="R57" s="14"/>
      <c r="S57" s="14"/>
      <c r="T57" s="14"/>
      <c r="U57" s="14"/>
      <c r="V57" s="14"/>
      <c r="W57" s="14"/>
      <c r="X57" s="14"/>
      <c r="Y57" s="14"/>
      <c r="Z57" s="14"/>
      <c r="AA57" s="14"/>
      <c r="AB57" s="14"/>
    </row>
    <row r="58" spans="1:28" hidden="1" x14ac:dyDescent="0.3">
      <c r="A58" s="66"/>
      <c r="B58" s="61" t="s">
        <v>92</v>
      </c>
      <c r="C58" s="62" t="str">
        <f>E59</f>
        <v>mm</v>
      </c>
      <c r="D58" s="72" t="str">
        <f>C58</f>
        <v>mm</v>
      </c>
      <c r="E58" s="71"/>
      <c r="F58" s="65"/>
      <c r="G58" s="14"/>
      <c r="H58" s="14"/>
      <c r="I58" s="14"/>
      <c r="J58" s="14"/>
      <c r="K58" s="14"/>
      <c r="L58" s="14"/>
      <c r="M58" s="14"/>
      <c r="N58" s="14"/>
      <c r="O58" s="14"/>
      <c r="P58" s="14"/>
      <c r="Q58" s="14"/>
      <c r="R58" s="14"/>
      <c r="S58" s="14"/>
      <c r="T58" s="14"/>
      <c r="U58" s="14"/>
      <c r="V58" s="14"/>
      <c r="W58" s="14"/>
      <c r="X58" s="14"/>
      <c r="Y58" s="14"/>
      <c r="Z58" s="14"/>
      <c r="AA58" s="14"/>
      <c r="AB58" s="14"/>
    </row>
    <row r="59" spans="1:28" x14ac:dyDescent="0.3">
      <c r="A59" s="66"/>
      <c r="B59" s="61" t="s">
        <v>93</v>
      </c>
      <c r="C59" s="62" t="s">
        <v>94</v>
      </c>
      <c r="D59" s="73">
        <f>IF(D58="mm",D57,D57/0.0254)</f>
        <v>24.875</v>
      </c>
      <c r="E59" s="35" t="s">
        <v>19</v>
      </c>
      <c r="F59" s="33" t="s">
        <v>95</v>
      </c>
      <c r="G59" s="14"/>
      <c r="H59" s="74"/>
      <c r="I59" s="14"/>
      <c r="J59" s="14"/>
      <c r="K59" s="14"/>
      <c r="L59" s="14"/>
      <c r="M59" s="14"/>
      <c r="N59" s="14"/>
      <c r="O59" s="14"/>
      <c r="P59" s="14"/>
      <c r="Q59" s="14"/>
      <c r="R59" s="14"/>
      <c r="S59" s="14"/>
      <c r="T59" s="14"/>
      <c r="U59" s="14"/>
      <c r="V59" s="14"/>
      <c r="W59" s="14"/>
      <c r="X59" s="14"/>
      <c r="Y59" s="14"/>
      <c r="Z59" s="14"/>
      <c r="AA59" s="14"/>
      <c r="AB59" s="14"/>
    </row>
    <row r="60" spans="1:28" x14ac:dyDescent="0.3">
      <c r="A60" s="66"/>
      <c r="B60" s="67" t="s">
        <v>96</v>
      </c>
      <c r="C60" s="68" t="s">
        <v>97</v>
      </c>
      <c r="D60" s="75">
        <f>0.5*4*PI()*0.0001*D24*D24*D55*(LN(2.46/D56)+0.2*D56*D56)</f>
        <v>7.3760420059580776</v>
      </c>
      <c r="E60" s="32" t="s">
        <v>98</v>
      </c>
      <c r="F60" s="76"/>
      <c r="G60" s="14"/>
      <c r="H60" s="14"/>
      <c r="I60" s="14"/>
      <c r="J60" s="14"/>
      <c r="K60" s="14"/>
      <c r="L60" s="14"/>
      <c r="M60" s="14"/>
      <c r="N60" s="14"/>
      <c r="O60" s="14"/>
      <c r="P60" s="14"/>
      <c r="Q60" s="14"/>
      <c r="R60" s="14"/>
      <c r="S60" s="14"/>
      <c r="T60" s="14"/>
      <c r="U60" s="14"/>
      <c r="V60" s="14"/>
      <c r="W60" s="14"/>
      <c r="X60" s="14"/>
      <c r="Y60" s="14"/>
      <c r="Z60" s="14"/>
      <c r="AA60" s="14"/>
      <c r="AB60" s="14"/>
    </row>
    <row r="61" spans="1:28" hidden="1" x14ac:dyDescent="0.3">
      <c r="A61" s="66"/>
      <c r="B61" s="77"/>
      <c r="C61" s="68"/>
      <c r="D61" s="200"/>
      <c r="E61" s="32"/>
      <c r="F61" s="76"/>
      <c r="G61" s="14"/>
      <c r="H61" s="14"/>
      <c r="I61" s="14"/>
      <c r="J61" s="14"/>
      <c r="K61" s="14"/>
      <c r="L61" s="14"/>
      <c r="M61" s="14"/>
      <c r="N61" s="14"/>
      <c r="O61" s="14"/>
      <c r="P61" s="14"/>
      <c r="Q61" s="14"/>
      <c r="R61" s="14"/>
      <c r="S61" s="14"/>
      <c r="T61" s="14"/>
      <c r="U61" s="14"/>
      <c r="V61" s="14"/>
      <c r="W61" s="14"/>
      <c r="X61" s="14"/>
      <c r="Y61" s="14"/>
      <c r="Z61" s="14"/>
      <c r="AA61" s="14"/>
      <c r="AB61" s="14"/>
    </row>
    <row r="62" spans="1:28" hidden="1" x14ac:dyDescent="0.3">
      <c r="A62" s="66"/>
      <c r="C62" s="78"/>
      <c r="D62" s="79"/>
      <c r="E62" s="80"/>
      <c r="F62" s="76"/>
      <c r="G62" s="14"/>
      <c r="H62" s="14"/>
      <c r="I62" s="14"/>
      <c r="J62" s="14"/>
      <c r="K62" s="14"/>
      <c r="L62" s="14"/>
      <c r="M62" s="14"/>
      <c r="N62" s="14"/>
      <c r="O62" s="14"/>
      <c r="P62" s="14"/>
      <c r="Q62" s="14"/>
      <c r="R62" s="14"/>
      <c r="S62" s="14"/>
      <c r="T62" s="14"/>
      <c r="U62" s="14"/>
      <c r="V62" s="14"/>
      <c r="W62" s="14"/>
      <c r="X62" s="14"/>
      <c r="Y62" s="14"/>
      <c r="Z62" s="14"/>
      <c r="AA62" s="14"/>
      <c r="AB62" s="14"/>
    </row>
    <row r="63" spans="1:28" hidden="1" x14ac:dyDescent="0.3">
      <c r="A63" s="66"/>
      <c r="B63" s="81" t="s">
        <v>99</v>
      </c>
      <c r="C63" s="78"/>
      <c r="D63" s="79">
        <f>IF(E39="mm",D39,D39*0.0254)</f>
        <v>0.30479999999999996</v>
      </c>
      <c r="E63" s="80" t="s">
        <v>19</v>
      </c>
      <c r="F63" s="76"/>
      <c r="G63" s="14"/>
      <c r="H63" s="14"/>
      <c r="I63" s="14"/>
      <c r="J63" s="14"/>
      <c r="K63" s="14"/>
      <c r="L63" s="14"/>
      <c r="M63" s="14"/>
      <c r="N63" s="14"/>
      <c r="O63" s="14"/>
      <c r="P63" s="14"/>
      <c r="Q63" s="14"/>
      <c r="R63" s="14"/>
      <c r="S63" s="14"/>
      <c r="T63" s="14"/>
      <c r="U63" s="14"/>
      <c r="V63" s="14"/>
      <c r="W63" s="14"/>
      <c r="X63" s="14"/>
      <c r="Y63" s="14"/>
      <c r="Z63" s="14"/>
      <c r="AA63" s="14"/>
      <c r="AB63" s="14"/>
    </row>
    <row r="64" spans="1:28" hidden="1" x14ac:dyDescent="0.3">
      <c r="A64" s="66"/>
      <c r="B64" s="81" t="s">
        <v>100</v>
      </c>
      <c r="C64" s="78"/>
      <c r="D64" s="79">
        <f t="shared" ref="D64:D69" si="1">IF(E40="mm",D40,D40*0.0254)</f>
        <v>0.20319999999999999</v>
      </c>
      <c r="E64" s="80" t="s">
        <v>19</v>
      </c>
      <c r="F64" s="76"/>
      <c r="G64" s="14"/>
      <c r="H64" s="14"/>
      <c r="I64" s="14"/>
      <c r="J64" s="14"/>
      <c r="K64" s="14"/>
      <c r="L64" s="14"/>
      <c r="M64" s="14"/>
      <c r="N64" s="14"/>
      <c r="O64" s="14"/>
      <c r="P64" s="14"/>
      <c r="Q64" s="14"/>
      <c r="R64" s="14"/>
      <c r="S64" s="14"/>
      <c r="T64" s="14"/>
      <c r="U64" s="14"/>
      <c r="V64" s="14"/>
      <c r="W64" s="14"/>
      <c r="X64" s="14"/>
      <c r="Y64" s="14"/>
      <c r="Z64" s="14"/>
      <c r="AA64" s="14"/>
      <c r="AB64" s="14"/>
    </row>
    <row r="65" spans="1:28" hidden="1" x14ac:dyDescent="0.3">
      <c r="A65" s="66"/>
      <c r="B65" s="81" t="s">
        <v>101</v>
      </c>
      <c r="C65" s="78"/>
      <c r="D65" s="79">
        <f t="shared" si="1"/>
        <v>0.20319999999999999</v>
      </c>
      <c r="E65" s="80" t="s">
        <v>19</v>
      </c>
      <c r="F65" s="76"/>
      <c r="G65" s="14"/>
      <c r="H65" s="14"/>
      <c r="I65" s="14"/>
      <c r="J65" s="14"/>
      <c r="K65" s="14"/>
      <c r="L65" s="14"/>
      <c r="M65" s="14"/>
      <c r="N65" s="14"/>
      <c r="O65" s="14"/>
      <c r="P65" s="14"/>
      <c r="Q65" s="14"/>
      <c r="R65" s="14"/>
      <c r="S65" s="14"/>
      <c r="T65" s="14"/>
      <c r="U65" s="14"/>
      <c r="V65" s="14"/>
      <c r="W65" s="14"/>
      <c r="X65" s="14"/>
      <c r="Y65" s="14"/>
      <c r="Z65" s="14"/>
      <c r="AA65" s="14"/>
      <c r="AB65" s="14"/>
    </row>
    <row r="66" spans="1:28" hidden="1" x14ac:dyDescent="0.3">
      <c r="A66" s="66"/>
      <c r="B66" s="81" t="s">
        <v>102</v>
      </c>
      <c r="C66" s="78"/>
      <c r="D66" s="79">
        <f t="shared" si="1"/>
        <v>0.20319999999999999</v>
      </c>
      <c r="E66" s="80" t="s">
        <v>19</v>
      </c>
      <c r="F66" s="76"/>
      <c r="G66" s="14"/>
      <c r="H66" s="14"/>
      <c r="I66" s="14"/>
      <c r="J66" s="14"/>
      <c r="K66" s="14"/>
      <c r="L66" s="14"/>
      <c r="M66" s="14"/>
      <c r="N66" s="14"/>
      <c r="O66" s="14"/>
      <c r="P66" s="14"/>
      <c r="Q66" s="14"/>
      <c r="R66" s="14"/>
      <c r="S66" s="14"/>
      <c r="T66" s="14"/>
      <c r="U66" s="14"/>
      <c r="V66" s="14"/>
      <c r="W66" s="14"/>
      <c r="X66" s="14"/>
      <c r="Y66" s="14"/>
      <c r="Z66" s="14"/>
      <c r="AA66" s="14"/>
      <c r="AB66" s="14"/>
    </row>
    <row r="67" spans="1:28" hidden="1" x14ac:dyDescent="0.3">
      <c r="A67" s="66"/>
      <c r="B67" s="81" t="s">
        <v>103</v>
      </c>
      <c r="C67" s="78"/>
      <c r="D67" s="79">
        <f t="shared" si="1"/>
        <v>0.20319999999999999</v>
      </c>
      <c r="E67" s="80" t="s">
        <v>19</v>
      </c>
      <c r="F67" s="76"/>
      <c r="G67" s="14"/>
      <c r="H67" s="14"/>
      <c r="I67" s="14"/>
      <c r="J67" s="14"/>
      <c r="K67" s="14"/>
      <c r="L67" s="14"/>
      <c r="M67" s="14"/>
      <c r="N67" s="14"/>
      <c r="O67" s="14"/>
      <c r="P67" s="14"/>
      <c r="Q67" s="14"/>
      <c r="R67" s="14"/>
      <c r="S67" s="14"/>
      <c r="T67" s="14"/>
      <c r="U67" s="14"/>
      <c r="V67" s="14"/>
      <c r="W67" s="14"/>
      <c r="X67" s="14"/>
      <c r="Y67" s="14"/>
      <c r="Z67" s="14"/>
      <c r="AA67" s="14"/>
      <c r="AB67" s="14"/>
    </row>
    <row r="68" spans="1:28" hidden="1" x14ac:dyDescent="0.3">
      <c r="A68" s="66"/>
      <c r="B68" s="81" t="s">
        <v>104</v>
      </c>
      <c r="C68" s="78"/>
      <c r="D68" s="79">
        <f t="shared" si="1"/>
        <v>0.20319999999999999</v>
      </c>
      <c r="E68" s="80" t="s">
        <v>19</v>
      </c>
      <c r="F68" s="76"/>
      <c r="G68" s="14"/>
      <c r="H68" s="14"/>
      <c r="I68" s="14"/>
      <c r="J68" s="14"/>
      <c r="K68" s="14"/>
      <c r="L68" s="14"/>
      <c r="M68" s="14"/>
      <c r="N68" s="14"/>
      <c r="O68" s="14"/>
      <c r="P68" s="14"/>
      <c r="Q68" s="14"/>
      <c r="R68" s="14"/>
      <c r="S68" s="14"/>
      <c r="T68" s="14"/>
      <c r="U68" s="14"/>
      <c r="V68" s="14"/>
      <c r="W68" s="14"/>
      <c r="X68" s="14"/>
      <c r="Y68" s="14"/>
      <c r="Z68" s="14"/>
      <c r="AA68" s="14"/>
      <c r="AB68" s="14"/>
    </row>
    <row r="69" spans="1:28" hidden="1" x14ac:dyDescent="0.3">
      <c r="A69" s="66"/>
      <c r="B69" s="81" t="s">
        <v>105</v>
      </c>
      <c r="D69" s="79">
        <f t="shared" si="1"/>
        <v>2.2351999999999999</v>
      </c>
      <c r="E69" s="80" t="s">
        <v>19</v>
      </c>
      <c r="F69" s="76"/>
      <c r="G69" s="14"/>
      <c r="H69" s="14"/>
      <c r="I69" s="14"/>
      <c r="J69" s="14"/>
      <c r="K69" s="14"/>
      <c r="L69" s="14"/>
      <c r="M69" s="14"/>
      <c r="N69" s="14"/>
      <c r="O69" s="14"/>
      <c r="P69" s="14"/>
      <c r="Q69" s="14"/>
      <c r="R69" s="14"/>
      <c r="S69" s="14"/>
      <c r="T69" s="14"/>
      <c r="U69" s="14"/>
      <c r="V69" s="14"/>
      <c r="W69" s="14"/>
      <c r="X69" s="14"/>
      <c r="Y69" s="14"/>
      <c r="Z69" s="14"/>
      <c r="AA69" s="14"/>
      <c r="AB69" s="14"/>
    </row>
    <row r="70" spans="1:28" hidden="1" x14ac:dyDescent="0.3">
      <c r="A70" s="66"/>
      <c r="B70" s="81"/>
      <c r="D70" s="79"/>
      <c r="E70" s="82"/>
      <c r="F70" s="76"/>
      <c r="G70" s="14"/>
      <c r="H70" s="14"/>
      <c r="I70" s="14"/>
      <c r="J70" s="14"/>
      <c r="K70" s="14"/>
      <c r="L70" s="14"/>
      <c r="M70" s="14"/>
      <c r="N70" s="14"/>
      <c r="O70" s="14"/>
      <c r="P70" s="14"/>
      <c r="Q70" s="14"/>
      <c r="R70" s="14"/>
      <c r="S70" s="14"/>
      <c r="T70" s="14"/>
      <c r="U70" s="14"/>
      <c r="V70" s="14"/>
      <c r="W70" s="14"/>
      <c r="X70" s="14"/>
      <c r="Y70" s="14"/>
      <c r="Z70" s="14"/>
      <c r="AA70" s="14"/>
      <c r="AB70" s="14"/>
    </row>
    <row r="71" spans="1:28" hidden="1" x14ac:dyDescent="0.3">
      <c r="A71" s="66"/>
      <c r="B71" s="81"/>
      <c r="C71" s="82"/>
      <c r="D71" s="79">
        <f>IF(E46="mm",D46,D46*0.0254)</f>
        <v>2.5399999999999999E-2</v>
      </c>
      <c r="E71" s="82"/>
      <c r="F71" s="76"/>
      <c r="G71" s="14"/>
      <c r="H71" s="14"/>
      <c r="I71" s="14"/>
      <c r="J71" s="14"/>
      <c r="K71" s="14"/>
      <c r="L71" s="14"/>
      <c r="M71" s="14"/>
      <c r="N71" s="14"/>
      <c r="O71" s="14"/>
      <c r="P71" s="14"/>
      <c r="Q71" s="14"/>
      <c r="R71" s="14"/>
      <c r="S71" s="14"/>
      <c r="T71" s="14"/>
      <c r="U71" s="14"/>
      <c r="V71" s="14"/>
      <c r="W71" s="14"/>
      <c r="X71" s="14"/>
      <c r="Y71" s="14"/>
      <c r="Z71" s="14"/>
      <c r="AA71" s="14"/>
      <c r="AB71" s="14"/>
    </row>
    <row r="72" spans="1:28" hidden="1" x14ac:dyDescent="0.3">
      <c r="A72" s="66"/>
      <c r="B72" s="82" t="s">
        <v>106</v>
      </c>
      <c r="D72" s="83">
        <f>D24</f>
        <v>12</v>
      </c>
      <c r="E72" s="82"/>
      <c r="F72" s="76"/>
      <c r="G72" s="14"/>
      <c r="H72" s="14"/>
      <c r="I72" s="14"/>
      <c r="J72" s="14"/>
      <c r="K72" s="14"/>
      <c r="L72" s="14"/>
      <c r="M72" s="14"/>
      <c r="N72" s="14"/>
      <c r="O72" s="14"/>
      <c r="P72" s="14"/>
      <c r="Q72" s="14"/>
      <c r="R72" s="14"/>
      <c r="S72" s="14"/>
      <c r="T72" s="14"/>
      <c r="U72" s="14"/>
      <c r="V72" s="14"/>
      <c r="W72" s="14"/>
      <c r="X72" s="14"/>
      <c r="Y72" s="14"/>
      <c r="Z72" s="14"/>
      <c r="AA72" s="14"/>
      <c r="AB72" s="14"/>
    </row>
    <row r="73" spans="1:28" hidden="1" x14ac:dyDescent="0.3">
      <c r="A73" s="66"/>
      <c r="B73" s="82" t="s">
        <v>107</v>
      </c>
      <c r="D73" s="84">
        <f>D60</f>
        <v>7.3760420059580776</v>
      </c>
      <c r="E73" s="85" t="s">
        <v>108</v>
      </c>
      <c r="F73" s="76"/>
      <c r="G73" s="14"/>
      <c r="H73" s="14"/>
      <c r="I73" s="14"/>
      <c r="J73" s="14"/>
      <c r="K73" s="14"/>
      <c r="L73" s="14"/>
      <c r="M73" s="14"/>
      <c r="N73" s="14"/>
      <c r="O73" s="14"/>
      <c r="P73" s="14"/>
      <c r="Q73" s="14"/>
      <c r="R73" s="14"/>
      <c r="S73" s="14"/>
      <c r="T73" s="14"/>
      <c r="U73" s="14"/>
      <c r="V73" s="14"/>
      <c r="W73" s="14"/>
      <c r="X73" s="14"/>
      <c r="Y73" s="14"/>
      <c r="Z73" s="14"/>
      <c r="AA73" s="14"/>
      <c r="AB73" s="14"/>
    </row>
    <row r="74" spans="1:28" hidden="1" x14ac:dyDescent="0.3">
      <c r="A74" s="66"/>
      <c r="B74" s="82" t="s">
        <v>109</v>
      </c>
      <c r="D74" s="86">
        <f>D23</f>
        <v>2</v>
      </c>
      <c r="E74" s="82"/>
      <c r="F74" s="76"/>
      <c r="G74" s="14"/>
      <c r="H74" s="14"/>
      <c r="I74" s="14"/>
      <c r="J74" s="14"/>
      <c r="K74" s="14"/>
      <c r="L74" s="14"/>
      <c r="M74" s="14"/>
      <c r="N74" s="14"/>
      <c r="O74" s="14"/>
      <c r="P74" s="14"/>
      <c r="Q74" s="14"/>
      <c r="R74" s="14"/>
      <c r="S74" s="14"/>
      <c r="T74" s="14"/>
      <c r="U74" s="14"/>
      <c r="V74" s="14"/>
      <c r="W74" s="14"/>
      <c r="X74" s="14"/>
      <c r="Y74" s="14"/>
      <c r="Z74" s="14"/>
      <c r="AA74" s="14"/>
      <c r="AB74" s="14"/>
    </row>
    <row r="75" spans="1:28" hidden="1" x14ac:dyDescent="0.3">
      <c r="A75" s="66"/>
      <c r="B75" s="82" t="s">
        <v>110</v>
      </c>
      <c r="D75" s="87">
        <f>D224</f>
        <v>53</v>
      </c>
      <c r="E75" s="82" t="s">
        <v>19</v>
      </c>
      <c r="F75" s="76"/>
      <c r="G75" s="14"/>
      <c r="H75" s="14"/>
      <c r="I75" s="14"/>
      <c r="J75" s="14"/>
      <c r="K75" s="14"/>
      <c r="L75" s="14"/>
      <c r="M75" s="14"/>
      <c r="N75" s="14"/>
      <c r="O75" s="14"/>
      <c r="P75" s="14"/>
      <c r="Q75" s="14"/>
      <c r="R75" s="14"/>
      <c r="S75" s="14"/>
      <c r="T75" s="14"/>
      <c r="U75" s="14"/>
      <c r="V75" s="14"/>
      <c r="W75" s="14"/>
      <c r="X75" s="14"/>
      <c r="Y75" s="14"/>
      <c r="Z75" s="14"/>
      <c r="AA75" s="14"/>
      <c r="AB75" s="14"/>
    </row>
    <row r="76" spans="1:28" hidden="1" x14ac:dyDescent="0.3">
      <c r="A76" s="66"/>
      <c r="B76" s="82" t="s">
        <v>111</v>
      </c>
      <c r="D76" s="88">
        <f>D63</f>
        <v>0.30479999999999996</v>
      </c>
      <c r="E76" s="82" t="s">
        <v>19</v>
      </c>
      <c r="F76" s="76"/>
      <c r="G76" s="14"/>
      <c r="H76" s="14"/>
      <c r="I76" s="14"/>
      <c r="J76" s="14"/>
      <c r="K76" s="14"/>
      <c r="L76" s="14"/>
      <c r="M76" s="14"/>
      <c r="N76" s="14"/>
      <c r="O76" s="14"/>
      <c r="P76" s="14"/>
      <c r="Q76" s="14"/>
      <c r="R76" s="14"/>
      <c r="S76" s="14"/>
      <c r="T76" s="14"/>
      <c r="U76" s="14"/>
      <c r="V76" s="14"/>
      <c r="W76" s="14"/>
      <c r="X76" s="14"/>
      <c r="Y76" s="14"/>
      <c r="Z76" s="14"/>
      <c r="AA76" s="14"/>
      <c r="AB76" s="14"/>
    </row>
    <row r="77" spans="1:28" hidden="1" x14ac:dyDescent="0.3">
      <c r="A77" s="66"/>
      <c r="B77" s="82" t="s">
        <v>112</v>
      </c>
      <c r="D77" s="88">
        <f>D89</f>
        <v>0.20319999999999999</v>
      </c>
      <c r="E77" s="82" t="s">
        <v>19</v>
      </c>
      <c r="F77" s="76"/>
      <c r="G77" s="14"/>
      <c r="H77" s="14"/>
      <c r="I77" s="14"/>
      <c r="J77" s="14"/>
      <c r="K77" s="14"/>
      <c r="L77" s="14"/>
      <c r="M77" s="14"/>
      <c r="N77" s="14"/>
      <c r="O77" s="14"/>
      <c r="P77" s="14"/>
      <c r="Q77" s="14"/>
      <c r="R77" s="14"/>
      <c r="S77" s="14"/>
      <c r="T77" s="14"/>
      <c r="U77" s="14"/>
      <c r="V77" s="14"/>
      <c r="W77" s="14"/>
      <c r="X77" s="14"/>
      <c r="Y77" s="14"/>
      <c r="Z77" s="14"/>
      <c r="AA77" s="14"/>
      <c r="AB77" s="14"/>
    </row>
    <row r="78" spans="1:28" hidden="1" x14ac:dyDescent="0.3">
      <c r="A78" s="66"/>
      <c r="B78" s="82" t="s">
        <v>113</v>
      </c>
      <c r="D78" s="88">
        <f>D88</f>
        <v>0.20319999999999999</v>
      </c>
      <c r="E78" s="82" t="s">
        <v>19</v>
      </c>
      <c r="F78" s="76"/>
      <c r="G78" s="14"/>
      <c r="H78" s="14"/>
      <c r="I78" s="14"/>
      <c r="J78" s="14"/>
      <c r="K78" s="14"/>
      <c r="L78" s="14"/>
      <c r="M78" s="14"/>
      <c r="N78" s="14"/>
      <c r="O78" s="14"/>
      <c r="P78" s="14"/>
      <c r="Q78" s="14"/>
      <c r="R78" s="14"/>
      <c r="S78" s="14"/>
      <c r="T78" s="14"/>
      <c r="U78" s="14"/>
      <c r="V78" s="14"/>
      <c r="W78" s="14"/>
      <c r="X78" s="14"/>
      <c r="Y78" s="14"/>
      <c r="Z78" s="14"/>
      <c r="AA78" s="14"/>
      <c r="AB78" s="14"/>
    </row>
    <row r="79" spans="1:28" hidden="1" x14ac:dyDescent="0.3">
      <c r="A79" s="66"/>
      <c r="B79" s="82" t="s">
        <v>114</v>
      </c>
      <c r="D79" s="88">
        <f>D87</f>
        <v>0.20319999999999999</v>
      </c>
      <c r="E79" s="82" t="s">
        <v>19</v>
      </c>
      <c r="F79" s="76"/>
      <c r="G79" s="14"/>
      <c r="H79" s="14"/>
      <c r="I79" s="14"/>
      <c r="J79" s="14"/>
      <c r="K79" s="14"/>
      <c r="L79" s="14"/>
      <c r="M79" s="14"/>
      <c r="N79" s="14"/>
      <c r="O79" s="14"/>
      <c r="P79" s="14"/>
      <c r="Q79" s="14"/>
      <c r="R79" s="14"/>
      <c r="S79" s="14"/>
      <c r="T79" s="14"/>
      <c r="U79" s="14"/>
      <c r="V79" s="14"/>
      <c r="W79" s="14"/>
      <c r="X79" s="14"/>
      <c r="Y79" s="14"/>
      <c r="Z79" s="14"/>
      <c r="AA79" s="14"/>
      <c r="AB79" s="14"/>
    </row>
    <row r="80" spans="1:28" hidden="1" x14ac:dyDescent="0.3">
      <c r="A80" s="66"/>
      <c r="B80" s="82" t="s">
        <v>115</v>
      </c>
      <c r="D80" s="88">
        <f>D86</f>
        <v>0.20319999999999999</v>
      </c>
      <c r="E80" s="82" t="s">
        <v>19</v>
      </c>
      <c r="F80" s="76"/>
      <c r="G80" s="14"/>
      <c r="H80" s="14"/>
      <c r="I80" s="14"/>
      <c r="J80" s="14"/>
      <c r="K80" s="14"/>
      <c r="L80" s="14"/>
      <c r="M80" s="14"/>
      <c r="N80" s="14"/>
      <c r="O80" s="14"/>
      <c r="P80" s="14"/>
      <c r="Q80" s="14"/>
      <c r="R80" s="14"/>
      <c r="S80" s="14"/>
      <c r="T80" s="14"/>
      <c r="U80" s="14"/>
      <c r="V80" s="14"/>
      <c r="W80" s="14"/>
      <c r="X80" s="14"/>
      <c r="Y80" s="14"/>
      <c r="Z80" s="14"/>
      <c r="AA80" s="14"/>
      <c r="AB80" s="14"/>
    </row>
    <row r="81" spans="1:28" hidden="1" x14ac:dyDescent="0.3">
      <c r="A81" s="66"/>
      <c r="B81" s="82" t="s">
        <v>116</v>
      </c>
      <c r="D81" s="88">
        <f>D85</f>
        <v>0.20319999999999999</v>
      </c>
      <c r="E81" s="82" t="s">
        <v>19</v>
      </c>
      <c r="F81" s="76"/>
      <c r="G81" s="14"/>
      <c r="H81" s="14"/>
      <c r="I81" s="14"/>
      <c r="J81" s="14"/>
      <c r="K81" s="14"/>
      <c r="L81" s="14"/>
      <c r="M81" s="14"/>
      <c r="N81" s="14"/>
      <c r="O81" s="14"/>
      <c r="P81" s="14"/>
      <c r="Q81" s="14"/>
      <c r="R81" s="14"/>
      <c r="S81" s="14"/>
      <c r="T81" s="14"/>
      <c r="U81" s="14"/>
      <c r="V81" s="14"/>
      <c r="W81" s="14"/>
      <c r="X81" s="14"/>
      <c r="Y81" s="14"/>
      <c r="Z81" s="14"/>
      <c r="AA81" s="14"/>
      <c r="AB81" s="14"/>
    </row>
    <row r="82" spans="1:28" hidden="1" x14ac:dyDescent="0.3">
      <c r="A82" s="66"/>
      <c r="B82" s="82" t="s">
        <v>117</v>
      </c>
      <c r="D82" s="88">
        <f>D84</f>
        <v>0.30479999999999996</v>
      </c>
      <c r="E82" s="82" t="s">
        <v>19</v>
      </c>
      <c r="F82" s="76"/>
      <c r="G82" s="14"/>
      <c r="H82" s="14"/>
      <c r="I82" s="14"/>
      <c r="J82" s="14"/>
      <c r="K82" s="14"/>
      <c r="L82" s="14"/>
      <c r="M82" s="14"/>
      <c r="N82" s="14"/>
      <c r="O82" s="14"/>
      <c r="P82" s="14"/>
      <c r="Q82" s="14"/>
      <c r="R82" s="14"/>
      <c r="S82" s="14"/>
      <c r="T82" s="14"/>
      <c r="U82" s="14"/>
      <c r="V82" s="14"/>
      <c r="W82" s="14"/>
      <c r="X82" s="14"/>
      <c r="Y82" s="14"/>
      <c r="Z82" s="14"/>
      <c r="AA82" s="14"/>
      <c r="AB82" s="14"/>
    </row>
    <row r="83" spans="1:28" hidden="1" x14ac:dyDescent="0.3">
      <c r="A83" s="66"/>
      <c r="B83" s="82" t="s">
        <v>118</v>
      </c>
      <c r="D83" s="89">
        <f>2*D75</f>
        <v>106</v>
      </c>
      <c r="E83" s="82" t="s">
        <v>19</v>
      </c>
      <c r="F83" s="76"/>
      <c r="G83" s="14"/>
      <c r="H83" s="14"/>
      <c r="I83" s="14"/>
      <c r="J83" s="14"/>
      <c r="K83" s="14"/>
      <c r="L83" s="14"/>
      <c r="M83" s="14"/>
      <c r="N83" s="14"/>
      <c r="O83" s="14"/>
      <c r="P83" s="14"/>
      <c r="Q83" s="14"/>
      <c r="R83" s="14"/>
      <c r="S83" s="14"/>
      <c r="T83" s="14"/>
      <c r="U83" s="14"/>
      <c r="V83" s="14"/>
      <c r="W83" s="14"/>
      <c r="X83" s="14"/>
      <c r="Y83" s="14"/>
      <c r="Z83" s="14"/>
      <c r="AA83" s="14"/>
      <c r="AB83" s="14"/>
    </row>
    <row r="84" spans="1:28" hidden="1" x14ac:dyDescent="0.3">
      <c r="A84" s="66"/>
      <c r="B84" s="82" t="s">
        <v>119</v>
      </c>
      <c r="D84" s="84">
        <f>D63</f>
        <v>0.30479999999999996</v>
      </c>
      <c r="E84" s="82" t="s">
        <v>19</v>
      </c>
      <c r="F84" s="76"/>
      <c r="G84" s="14"/>
      <c r="H84" s="14"/>
      <c r="I84" s="14"/>
      <c r="J84" s="14"/>
      <c r="K84" s="14"/>
      <c r="L84" s="14"/>
      <c r="M84" s="14"/>
      <c r="N84" s="14"/>
      <c r="O84" s="14"/>
      <c r="P84" s="14"/>
      <c r="Q84" s="14"/>
      <c r="R84" s="14"/>
      <c r="S84" s="14"/>
      <c r="T84" s="14"/>
      <c r="U84" s="14"/>
      <c r="V84" s="14"/>
      <c r="W84" s="14"/>
      <c r="X84" s="14"/>
      <c r="Y84" s="14"/>
      <c r="Z84" s="14"/>
      <c r="AA84" s="14"/>
      <c r="AB84" s="14"/>
    </row>
    <row r="85" spans="1:28" hidden="1" x14ac:dyDescent="0.3">
      <c r="A85" s="66"/>
      <c r="B85" s="82" t="s">
        <v>120</v>
      </c>
      <c r="D85" s="84">
        <f t="shared" ref="D85:D90" si="2">D64</f>
        <v>0.20319999999999999</v>
      </c>
      <c r="E85" s="82" t="s">
        <v>19</v>
      </c>
      <c r="F85" s="76"/>
      <c r="G85" s="14"/>
      <c r="H85" s="14"/>
      <c r="I85" s="14"/>
      <c r="J85" s="14"/>
      <c r="K85" s="14"/>
      <c r="L85" s="14"/>
      <c r="M85" s="14"/>
      <c r="N85" s="14"/>
      <c r="O85" s="14"/>
      <c r="P85" s="14"/>
      <c r="Q85" s="14"/>
      <c r="R85" s="14"/>
      <c r="S85" s="14"/>
      <c r="T85" s="14"/>
      <c r="U85" s="14"/>
      <c r="V85" s="14"/>
      <c r="W85" s="14"/>
      <c r="X85" s="14"/>
      <c r="Y85" s="14"/>
      <c r="Z85" s="14"/>
      <c r="AA85" s="14"/>
      <c r="AB85" s="14"/>
    </row>
    <row r="86" spans="1:28" hidden="1" x14ac:dyDescent="0.3">
      <c r="A86" s="66"/>
      <c r="B86" s="82" t="s">
        <v>121</v>
      </c>
      <c r="D86" s="84">
        <f t="shared" si="2"/>
        <v>0.20319999999999999</v>
      </c>
      <c r="E86" s="82" t="s">
        <v>19</v>
      </c>
      <c r="F86" s="76"/>
      <c r="G86" s="14"/>
      <c r="H86" s="14"/>
      <c r="I86" s="14"/>
      <c r="J86" s="14"/>
      <c r="K86" s="14"/>
      <c r="L86" s="14"/>
      <c r="M86" s="14"/>
      <c r="N86" s="14"/>
      <c r="O86" s="14"/>
      <c r="P86" s="14"/>
      <c r="Q86" s="14"/>
      <c r="R86" s="14"/>
      <c r="S86" s="14"/>
      <c r="T86" s="14"/>
      <c r="U86" s="14"/>
      <c r="V86" s="14"/>
      <c r="W86" s="14"/>
      <c r="X86" s="14"/>
      <c r="Y86" s="14"/>
      <c r="Z86" s="14"/>
      <c r="AA86" s="14"/>
      <c r="AB86" s="14"/>
    </row>
    <row r="87" spans="1:28" hidden="1" x14ac:dyDescent="0.3">
      <c r="A87" s="66"/>
      <c r="B87" s="82" t="s">
        <v>122</v>
      </c>
      <c r="D87" s="84">
        <f t="shared" si="2"/>
        <v>0.20319999999999999</v>
      </c>
      <c r="E87" s="82" t="s">
        <v>19</v>
      </c>
      <c r="F87" s="76"/>
      <c r="G87" s="14"/>
      <c r="H87" s="14"/>
      <c r="I87" s="14"/>
      <c r="J87" s="14"/>
      <c r="K87" s="14"/>
      <c r="L87" s="14"/>
      <c r="M87" s="14"/>
      <c r="N87" s="14"/>
      <c r="O87" s="14"/>
      <c r="P87" s="14"/>
      <c r="Q87" s="14"/>
      <c r="R87" s="14"/>
      <c r="S87" s="14"/>
      <c r="T87" s="14"/>
      <c r="U87" s="14"/>
      <c r="V87" s="14"/>
      <c r="W87" s="14"/>
      <c r="X87" s="14"/>
      <c r="Y87" s="14"/>
      <c r="Z87" s="14"/>
      <c r="AA87" s="14"/>
      <c r="AB87" s="14"/>
    </row>
    <row r="88" spans="1:28" hidden="1" x14ac:dyDescent="0.3">
      <c r="A88" s="66"/>
      <c r="B88" s="82" t="s">
        <v>123</v>
      </c>
      <c r="D88" s="84">
        <f t="shared" si="2"/>
        <v>0.20319999999999999</v>
      </c>
      <c r="E88" s="82" t="s">
        <v>19</v>
      </c>
      <c r="F88" s="76"/>
      <c r="G88" s="14"/>
      <c r="H88" s="14"/>
      <c r="I88" s="14"/>
      <c r="J88" s="14"/>
      <c r="K88" s="14"/>
      <c r="L88" s="14"/>
      <c r="M88" s="14"/>
      <c r="N88" s="14"/>
      <c r="O88" s="14"/>
      <c r="P88" s="14"/>
      <c r="Q88" s="14"/>
      <c r="R88" s="14"/>
      <c r="S88" s="14"/>
      <c r="T88" s="14"/>
      <c r="U88" s="14"/>
      <c r="V88" s="14"/>
      <c r="W88" s="14"/>
      <c r="X88" s="14"/>
      <c r="Y88" s="14"/>
      <c r="Z88" s="14"/>
      <c r="AA88" s="14"/>
      <c r="AB88" s="14"/>
    </row>
    <row r="89" spans="1:28" hidden="1" x14ac:dyDescent="0.3">
      <c r="A89" s="66"/>
      <c r="B89" s="82" t="s">
        <v>124</v>
      </c>
      <c r="D89" s="84">
        <f t="shared" si="2"/>
        <v>0.20319999999999999</v>
      </c>
      <c r="E89" s="82" t="s">
        <v>19</v>
      </c>
      <c r="F89" s="76"/>
      <c r="G89" s="14"/>
      <c r="H89" s="14"/>
      <c r="I89" s="14"/>
      <c r="J89" s="14"/>
      <c r="K89" s="14"/>
      <c r="L89" s="14"/>
      <c r="M89" s="14"/>
      <c r="N89" s="14"/>
      <c r="O89" s="14"/>
      <c r="P89" s="14"/>
      <c r="Q89" s="14"/>
      <c r="R89" s="14"/>
      <c r="S89" s="14"/>
      <c r="T89" s="14"/>
      <c r="U89" s="14"/>
      <c r="V89" s="14"/>
      <c r="W89" s="14"/>
      <c r="X89" s="14"/>
      <c r="Y89" s="14"/>
      <c r="Z89" s="14"/>
      <c r="AA89" s="14"/>
      <c r="AB89" s="14"/>
    </row>
    <row r="90" spans="1:28" hidden="1" x14ac:dyDescent="0.3">
      <c r="A90" s="66"/>
      <c r="B90" s="82" t="s">
        <v>125</v>
      </c>
      <c r="D90" s="84">
        <f t="shared" si="2"/>
        <v>2.2351999999999999</v>
      </c>
      <c r="E90" s="82" t="s">
        <v>19</v>
      </c>
      <c r="F90" s="76"/>
      <c r="G90" s="14"/>
      <c r="H90" s="14"/>
      <c r="I90" s="14"/>
      <c r="J90" s="14"/>
      <c r="K90" s="14"/>
      <c r="L90" s="14"/>
      <c r="M90" s="14"/>
      <c r="N90" s="14"/>
      <c r="O90" s="14"/>
      <c r="P90" s="14"/>
      <c r="Q90" s="14"/>
      <c r="R90" s="14"/>
      <c r="S90" s="14"/>
      <c r="T90" s="14"/>
      <c r="U90" s="14"/>
      <c r="V90" s="14"/>
      <c r="W90" s="14"/>
      <c r="X90" s="14"/>
      <c r="Y90" s="14"/>
      <c r="Z90" s="14"/>
      <c r="AA90" s="14"/>
      <c r="AB90" s="14"/>
    </row>
    <row r="91" spans="1:28" hidden="1" x14ac:dyDescent="0.3">
      <c r="A91" s="66"/>
      <c r="B91" s="82" t="s">
        <v>126</v>
      </c>
      <c r="D91" s="84">
        <f>1.5625*D72^2/(1.67*D72^2-5.84*D72+65)</f>
        <v>0.955819881053526</v>
      </c>
      <c r="E91" s="82"/>
      <c r="F91" s="76"/>
      <c r="G91" s="14"/>
      <c r="H91" s="14"/>
      <c r="I91" s="14"/>
      <c r="J91" s="14"/>
      <c r="K91" s="14"/>
      <c r="L91" s="14"/>
      <c r="M91" s="14"/>
      <c r="N91" s="14"/>
      <c r="O91" s="14"/>
      <c r="P91" s="14"/>
      <c r="Q91" s="14"/>
      <c r="R91" s="14"/>
      <c r="S91" s="14"/>
      <c r="T91" s="14"/>
      <c r="U91" s="14"/>
      <c r="V91" s="14"/>
      <c r="W91" s="14"/>
      <c r="X91" s="14"/>
      <c r="Y91" s="14"/>
      <c r="Z91" s="14"/>
      <c r="AA91" s="14"/>
      <c r="AB91" s="14"/>
    </row>
    <row r="92" spans="1:28" hidden="1" x14ac:dyDescent="0.3">
      <c r="A92" s="66"/>
      <c r="B92" s="82" t="s">
        <v>127</v>
      </c>
      <c r="D92" s="90">
        <f>(2*SUM(D99:D126))</f>
        <v>1.5700822660904721</v>
      </c>
      <c r="E92" s="82"/>
      <c r="F92" s="76"/>
      <c r="G92" s="14"/>
      <c r="H92" s="14"/>
      <c r="I92" s="14"/>
      <c r="J92" s="14"/>
      <c r="K92" s="14"/>
      <c r="L92" s="14"/>
      <c r="M92" s="14"/>
      <c r="N92" s="14"/>
      <c r="O92" s="14"/>
      <c r="P92" s="14"/>
      <c r="Q92" s="14"/>
      <c r="R92" s="14"/>
      <c r="S92" s="14"/>
      <c r="T92" s="14"/>
      <c r="U92" s="14"/>
      <c r="V92" s="14"/>
      <c r="W92" s="14"/>
      <c r="X92" s="14"/>
      <c r="Y92" s="14"/>
      <c r="Z92" s="14"/>
      <c r="AA92" s="14"/>
      <c r="AB92" s="14"/>
    </row>
    <row r="93" spans="1:28" hidden="1" x14ac:dyDescent="0.3">
      <c r="A93" s="66"/>
      <c r="B93" s="82" t="s">
        <v>128</v>
      </c>
      <c r="D93" s="90">
        <f>D92*D91+D74</f>
        <v>3.5007158448188456</v>
      </c>
      <c r="E93" s="82"/>
      <c r="F93" s="76"/>
      <c r="G93" s="14"/>
      <c r="H93" s="14"/>
      <c r="I93" s="14"/>
      <c r="J93" s="14"/>
      <c r="K93" s="14"/>
      <c r="L93" s="14"/>
      <c r="M93" s="14"/>
      <c r="N93" s="14"/>
      <c r="O93" s="14"/>
      <c r="P93" s="14"/>
      <c r="Q93" s="14"/>
      <c r="R93" s="14"/>
      <c r="S93" s="14"/>
      <c r="T93" s="14"/>
      <c r="U93" s="14"/>
      <c r="V93" s="14"/>
      <c r="W93" s="14"/>
      <c r="X93" s="14"/>
      <c r="Y93" s="14"/>
      <c r="Z93" s="14"/>
      <c r="AA93" s="14"/>
      <c r="AB93" s="14"/>
    </row>
    <row r="94" spans="1:28" hidden="1" x14ac:dyDescent="0.3">
      <c r="A94" s="66"/>
      <c r="B94" s="91" t="s">
        <v>129</v>
      </c>
      <c r="D94" s="92">
        <f>D93*D73</f>
        <v>25.821427122306822</v>
      </c>
      <c r="E94" s="82"/>
      <c r="F94" s="76"/>
      <c r="G94" s="14"/>
      <c r="H94" s="14"/>
      <c r="I94" s="14"/>
      <c r="J94" s="14"/>
      <c r="K94" s="14"/>
      <c r="L94" s="14"/>
      <c r="M94" s="14"/>
      <c r="N94" s="14"/>
      <c r="O94" s="14"/>
      <c r="P94" s="14"/>
      <c r="Q94" s="14"/>
      <c r="R94" s="14"/>
      <c r="S94" s="14"/>
      <c r="T94" s="14"/>
      <c r="U94" s="14"/>
      <c r="V94" s="14"/>
      <c r="W94" s="14"/>
      <c r="X94" s="14"/>
      <c r="Y94" s="14"/>
      <c r="Z94" s="14"/>
      <c r="AA94" s="14"/>
      <c r="AB94" s="14"/>
    </row>
    <row r="95" spans="1:28" hidden="1" x14ac:dyDescent="0.3">
      <c r="A95" s="66"/>
      <c r="B95" s="82" t="s">
        <v>130</v>
      </c>
      <c r="D95" s="90">
        <f>SUM(D128:D190)</f>
        <v>-1.8585986680552077E-5</v>
      </c>
      <c r="E95" s="82"/>
      <c r="F95" s="76"/>
      <c r="G95" s="14"/>
      <c r="H95" s="14"/>
      <c r="I95" s="14"/>
      <c r="J95" s="14"/>
      <c r="K95" s="14"/>
      <c r="L95" s="14"/>
      <c r="M95" s="14"/>
      <c r="N95" s="14"/>
      <c r="O95" s="14"/>
      <c r="P95" s="14"/>
      <c r="Q95" s="14"/>
      <c r="R95" s="14"/>
      <c r="S95" s="14"/>
      <c r="T95" s="14"/>
      <c r="U95" s="14"/>
      <c r="V95" s="14"/>
      <c r="W95" s="14"/>
      <c r="X95" s="14"/>
      <c r="Y95" s="14"/>
      <c r="Z95" s="14"/>
      <c r="AA95" s="14"/>
      <c r="AB95" s="14"/>
    </row>
    <row r="96" spans="1:28" hidden="1" x14ac:dyDescent="0.3">
      <c r="A96" s="66"/>
      <c r="B96" s="82" t="s">
        <v>131</v>
      </c>
      <c r="D96" s="90">
        <f>(D92+D95)*D91+D74</f>
        <v>3.500698079963267</v>
      </c>
      <c r="E96" s="82"/>
      <c r="F96" s="76"/>
      <c r="G96" s="14"/>
      <c r="H96" s="14"/>
      <c r="I96" s="14"/>
      <c r="J96" s="14"/>
      <c r="K96" s="14"/>
      <c r="L96" s="14"/>
      <c r="M96" s="14"/>
      <c r="N96" s="14"/>
      <c r="O96" s="14"/>
      <c r="P96" s="14"/>
      <c r="Q96" s="14"/>
      <c r="R96" s="14"/>
      <c r="S96" s="14"/>
      <c r="T96" s="14"/>
      <c r="U96" s="14"/>
      <c r="V96" s="14"/>
      <c r="W96" s="14"/>
      <c r="X96" s="14"/>
      <c r="Y96" s="14"/>
      <c r="Z96" s="14"/>
      <c r="AA96" s="14"/>
      <c r="AB96" s="14"/>
    </row>
    <row r="97" spans="1:28" hidden="1" x14ac:dyDescent="0.3">
      <c r="A97" s="66"/>
      <c r="B97" s="91" t="s">
        <v>132</v>
      </c>
      <c r="D97" s="92">
        <f>D96*D73</f>
        <v>25.821296087985846</v>
      </c>
      <c r="E97" s="82"/>
      <c r="F97" s="76"/>
      <c r="G97" s="14"/>
      <c r="H97" s="14"/>
      <c r="I97" s="14"/>
      <c r="J97" s="14"/>
      <c r="K97" s="14"/>
      <c r="L97" s="14"/>
      <c r="M97" s="14"/>
      <c r="N97" s="14"/>
      <c r="O97" s="14"/>
      <c r="P97" s="14"/>
      <c r="Q97" s="14"/>
      <c r="R97" s="14"/>
      <c r="S97" s="14"/>
      <c r="T97" s="14"/>
      <c r="U97" s="14"/>
      <c r="V97" s="14"/>
      <c r="W97" s="14"/>
      <c r="X97" s="14"/>
      <c r="Y97" s="14"/>
      <c r="Z97" s="14"/>
      <c r="AA97" s="14"/>
      <c r="AB97" s="14"/>
    </row>
    <row r="98" spans="1:28" hidden="1" x14ac:dyDescent="0.3">
      <c r="A98" s="66"/>
      <c r="B98" s="82"/>
      <c r="D98" s="90"/>
      <c r="E98" s="82"/>
      <c r="F98" s="76"/>
      <c r="G98" s="14"/>
      <c r="H98" s="14"/>
      <c r="I98" s="14"/>
      <c r="J98" s="14"/>
      <c r="K98" s="14"/>
      <c r="L98" s="14"/>
      <c r="M98" s="14"/>
      <c r="N98" s="14"/>
      <c r="O98" s="14"/>
      <c r="P98" s="14"/>
      <c r="Q98" s="14"/>
      <c r="R98" s="14"/>
      <c r="S98" s="14"/>
      <c r="T98" s="14"/>
      <c r="U98" s="14"/>
      <c r="V98" s="14"/>
      <c r="W98" s="14"/>
      <c r="X98" s="14"/>
      <c r="Y98" s="14"/>
      <c r="Z98" s="14"/>
      <c r="AA98" s="14"/>
      <c r="AB98" s="14"/>
    </row>
    <row r="99" spans="1:28" hidden="1" x14ac:dyDescent="0.3">
      <c r="A99" s="66"/>
      <c r="B99" s="82" t="s">
        <v>133</v>
      </c>
      <c r="D99" s="90">
        <f>IF(2&gt;D74,0,1/((0.184*ABS(SUM(D84:D84))^3-0.525*(SUM(D84:D84))^2+1.038*ABS(SUM(D84:D84))+1.001)))</f>
        <v>0.78504113304523604</v>
      </c>
      <c r="E99" s="82"/>
      <c r="F99" s="76"/>
      <c r="G99" s="14"/>
      <c r="H99" s="14"/>
      <c r="I99" s="14"/>
      <c r="J99" s="14"/>
      <c r="K99" s="14"/>
      <c r="L99" s="14"/>
      <c r="M99" s="14"/>
      <c r="N99" s="14"/>
      <c r="O99" s="14"/>
      <c r="P99" s="14"/>
      <c r="Q99" s="14"/>
      <c r="R99" s="14"/>
      <c r="S99" s="14"/>
      <c r="T99" s="14"/>
      <c r="U99" s="14"/>
      <c r="V99" s="14"/>
      <c r="W99" s="14"/>
      <c r="X99" s="14"/>
      <c r="Y99" s="14"/>
      <c r="Z99" s="14"/>
      <c r="AA99" s="14"/>
      <c r="AB99" s="14"/>
    </row>
    <row r="100" spans="1:28" hidden="1" x14ac:dyDescent="0.3">
      <c r="A100" s="66"/>
      <c r="B100" s="82" t="s">
        <v>134</v>
      </c>
      <c r="D100" s="90">
        <f>IF(3&gt;D74,0,1/((0.184*ABS(SUM(D84:D85))^3-0.525*(SUM(D84:D85))^2+1.038*ABS(SUM(D84:D85))+1.001)))</f>
        <v>0</v>
      </c>
      <c r="E100" s="82"/>
      <c r="F100" s="76"/>
      <c r="G100" s="14"/>
      <c r="H100" s="14"/>
      <c r="I100" s="14"/>
      <c r="J100" s="14"/>
      <c r="K100" s="14"/>
      <c r="L100" s="14"/>
      <c r="M100" s="14"/>
      <c r="N100" s="14"/>
      <c r="O100" s="14"/>
      <c r="P100" s="14"/>
      <c r="Q100" s="14"/>
      <c r="R100" s="14"/>
      <c r="S100" s="14"/>
      <c r="T100" s="14"/>
      <c r="U100" s="14"/>
      <c r="V100" s="14"/>
      <c r="W100" s="14"/>
      <c r="X100" s="14"/>
      <c r="Y100" s="14"/>
      <c r="Z100" s="14"/>
      <c r="AA100" s="14"/>
      <c r="AB100" s="14"/>
    </row>
    <row r="101" spans="1:28" hidden="1" x14ac:dyDescent="0.3">
      <c r="A101" s="66"/>
      <c r="B101" s="82" t="s">
        <v>135</v>
      </c>
      <c r="D101" s="90">
        <f>IF(4&gt;D74,0,1/((0.184*ABS(SUM(D84:D86))^3-0.525*(SUM(D84:D86))^2+1.038*ABS(SUM(D84:D86))+1.001)))</f>
        <v>0</v>
      </c>
      <c r="E101" s="82"/>
      <c r="F101" s="76"/>
      <c r="G101" s="14"/>
      <c r="H101" s="14"/>
      <c r="I101" s="14"/>
      <c r="J101" s="14"/>
      <c r="K101" s="14"/>
      <c r="L101" s="14"/>
      <c r="M101" s="14"/>
      <c r="N101" s="14"/>
      <c r="O101" s="14"/>
      <c r="P101" s="14"/>
      <c r="Q101" s="14"/>
      <c r="R101" s="14"/>
      <c r="S101" s="14"/>
      <c r="T101" s="14"/>
      <c r="U101" s="14"/>
      <c r="V101" s="14"/>
      <c r="W101" s="14"/>
      <c r="X101" s="14"/>
      <c r="Y101" s="14"/>
      <c r="Z101" s="14"/>
      <c r="AA101" s="14"/>
      <c r="AB101" s="14"/>
    </row>
    <row r="102" spans="1:28" hidden="1" x14ac:dyDescent="0.3">
      <c r="A102" s="66"/>
      <c r="B102" s="82" t="s">
        <v>136</v>
      </c>
      <c r="D102" s="90">
        <f>IF(5&gt;D74,0,1/((0.184*ABS(SUM(D84:D87))^3-0.525*(SUM(D84:D87))^2+1.038*ABS(SUM(D84:D87))+1.001)))</f>
        <v>0</v>
      </c>
      <c r="E102" s="82"/>
      <c r="F102" s="76"/>
      <c r="G102" s="14"/>
      <c r="H102" s="14"/>
      <c r="I102" s="14"/>
      <c r="J102" s="14"/>
      <c r="K102" s="14"/>
      <c r="L102" s="14"/>
      <c r="M102" s="14"/>
      <c r="N102" s="14"/>
      <c r="O102" s="14"/>
      <c r="P102" s="14"/>
      <c r="Q102" s="14"/>
      <c r="R102" s="14"/>
      <c r="S102" s="14"/>
      <c r="T102" s="14"/>
      <c r="U102" s="14"/>
      <c r="V102" s="14"/>
      <c r="W102" s="14"/>
      <c r="X102" s="14"/>
      <c r="Y102" s="14"/>
      <c r="Z102" s="14"/>
      <c r="AA102" s="14"/>
      <c r="AB102" s="14"/>
    </row>
    <row r="103" spans="1:28" hidden="1" x14ac:dyDescent="0.3">
      <c r="A103" s="66"/>
      <c r="B103" s="82" t="s">
        <v>137</v>
      </c>
      <c r="D103" s="90">
        <f>IF(6&gt;D74,0,1/((0.184*ABS(SUM(D84:D88))^3-0.525*(SUM(D84:D88))^2+1.038*ABS(SUM(D84:D88))+1.001)))</f>
        <v>0</v>
      </c>
      <c r="E103" s="82"/>
      <c r="F103" s="76"/>
      <c r="G103" s="14"/>
      <c r="H103" s="14"/>
      <c r="I103" s="14"/>
      <c r="J103" s="14"/>
      <c r="K103" s="14"/>
      <c r="L103" s="14"/>
      <c r="M103" s="14"/>
      <c r="N103" s="14"/>
      <c r="O103" s="14"/>
      <c r="P103" s="14"/>
      <c r="Q103" s="14"/>
      <c r="R103" s="14"/>
      <c r="S103" s="14"/>
      <c r="T103" s="14"/>
      <c r="U103" s="14"/>
      <c r="V103" s="14"/>
      <c r="W103" s="14"/>
      <c r="X103" s="14"/>
      <c r="Y103" s="14"/>
      <c r="Z103" s="14"/>
      <c r="AA103" s="14"/>
      <c r="AB103" s="14"/>
    </row>
    <row r="104" spans="1:28" hidden="1" x14ac:dyDescent="0.3">
      <c r="A104" s="66"/>
      <c r="B104" s="82" t="s">
        <v>138</v>
      </c>
      <c r="D104" s="90">
        <f>IF(7&gt;D74,0,1/((0.184*ABS(SUM(D84:D89))^3-0.525*(SUM(D84:D89))^2+1.038*ABS(SUM(D84:D89))+1.001)))</f>
        <v>0</v>
      </c>
      <c r="E104" s="82"/>
      <c r="F104" s="76"/>
      <c r="G104" s="14"/>
      <c r="H104" s="14"/>
      <c r="I104" s="14"/>
      <c r="J104" s="14"/>
      <c r="K104" s="14"/>
      <c r="L104" s="14"/>
      <c r="M104" s="14"/>
      <c r="N104" s="14"/>
      <c r="O104" s="14"/>
      <c r="P104" s="14"/>
      <c r="Q104" s="14"/>
      <c r="R104" s="14"/>
      <c r="S104" s="14"/>
      <c r="T104" s="14"/>
      <c r="U104" s="14"/>
      <c r="V104" s="14"/>
      <c r="W104" s="14"/>
      <c r="X104" s="14"/>
      <c r="Y104" s="14"/>
      <c r="Z104" s="14"/>
      <c r="AA104" s="14"/>
      <c r="AB104" s="14"/>
    </row>
    <row r="105" spans="1:28" hidden="1" x14ac:dyDescent="0.3">
      <c r="A105" s="66"/>
      <c r="B105" s="82" t="s">
        <v>139</v>
      </c>
      <c r="D105" s="90">
        <f>IF(8&gt;D74,0,1/((0.184*ABS(SUM(D84:D90))^3-0.525*(SUM(D84:D90))^2+1.038*ABS(SUM(D84:D90))+1.001)))</f>
        <v>0</v>
      </c>
      <c r="E105" s="82"/>
      <c r="F105" s="76"/>
      <c r="G105" s="14"/>
      <c r="H105" s="14"/>
      <c r="I105" s="14"/>
      <c r="J105" s="14"/>
      <c r="K105" s="14"/>
      <c r="L105" s="14"/>
      <c r="M105" s="14"/>
      <c r="N105" s="14"/>
      <c r="O105" s="14"/>
      <c r="P105" s="14"/>
      <c r="Q105" s="14"/>
      <c r="R105" s="14"/>
      <c r="S105" s="14"/>
      <c r="T105" s="14"/>
      <c r="U105" s="14"/>
      <c r="V105" s="14"/>
      <c r="W105" s="14"/>
      <c r="X105" s="14"/>
      <c r="Y105" s="14"/>
      <c r="Z105" s="14"/>
      <c r="AA105" s="14"/>
      <c r="AB105" s="14"/>
    </row>
    <row r="106" spans="1:28" hidden="1" x14ac:dyDescent="0.3">
      <c r="A106" s="66"/>
      <c r="B106" s="82" t="s">
        <v>140</v>
      </c>
      <c r="D106" s="90">
        <f>IF(3&gt;D74,0,1/((0.184*ABS(SUM(D85:D85))^3-0.525*(SUM(D85:D85))^2+1.038*ABS(SUM(D85:D85))+1.001)))</f>
        <v>0</v>
      </c>
      <c r="E106" s="82"/>
      <c r="F106" s="76"/>
      <c r="G106" s="14"/>
      <c r="H106" s="14"/>
      <c r="I106" s="14"/>
      <c r="J106" s="14"/>
      <c r="K106" s="14"/>
      <c r="L106" s="14"/>
      <c r="M106" s="14"/>
      <c r="N106" s="14"/>
      <c r="O106" s="14"/>
      <c r="P106" s="14"/>
      <c r="Q106" s="14"/>
      <c r="R106" s="14"/>
      <c r="S106" s="14"/>
      <c r="T106" s="14"/>
      <c r="U106" s="14"/>
      <c r="V106" s="14"/>
      <c r="W106" s="14"/>
      <c r="X106" s="14"/>
      <c r="Y106" s="14"/>
      <c r="Z106" s="14"/>
      <c r="AA106" s="14"/>
      <c r="AB106" s="14"/>
    </row>
    <row r="107" spans="1:28" hidden="1" x14ac:dyDescent="0.3">
      <c r="A107" s="66"/>
      <c r="B107" s="82" t="s">
        <v>141</v>
      </c>
      <c r="D107" s="90">
        <f>IF(4&gt;D74,0,1/((0.184*ABS(SUM(D85:D86))^3-0.525*(SUM(D85:D86))^2+1.038*ABS(SUM(D85:D86))+1.001)))</f>
        <v>0</v>
      </c>
      <c r="E107" s="82"/>
      <c r="F107" s="76"/>
      <c r="G107" s="14"/>
      <c r="H107" s="14"/>
      <c r="I107" s="14"/>
      <c r="J107" s="14"/>
      <c r="K107" s="14"/>
      <c r="L107" s="14"/>
      <c r="M107" s="14"/>
      <c r="N107" s="14"/>
      <c r="O107" s="14"/>
      <c r="P107" s="14"/>
      <c r="Q107" s="14"/>
      <c r="R107" s="14"/>
      <c r="S107" s="14"/>
      <c r="T107" s="14"/>
      <c r="U107" s="14"/>
      <c r="V107" s="14"/>
      <c r="W107" s="14"/>
      <c r="X107" s="14"/>
      <c r="Y107" s="14"/>
      <c r="Z107" s="14"/>
      <c r="AA107" s="14"/>
      <c r="AB107" s="14"/>
    </row>
    <row r="108" spans="1:28" hidden="1" x14ac:dyDescent="0.3">
      <c r="A108" s="66"/>
      <c r="B108" s="82" t="s">
        <v>142</v>
      </c>
      <c r="D108" s="90">
        <f>IF(5&gt;D74,0,1/((0.184*ABS(SUM(D85:D87))^3-0.525*(SUM(D85:D87))^2+1.038*ABS(SUM(D85:D87))+1.001)))</f>
        <v>0</v>
      </c>
      <c r="E108" s="82"/>
      <c r="F108" s="76"/>
      <c r="G108" s="14"/>
      <c r="H108" s="14"/>
      <c r="I108" s="14"/>
      <c r="J108" s="14"/>
      <c r="K108" s="14"/>
      <c r="L108" s="14"/>
      <c r="M108" s="14"/>
      <c r="N108" s="14"/>
      <c r="O108" s="14"/>
      <c r="P108" s="14"/>
      <c r="Q108" s="14"/>
      <c r="R108" s="14"/>
      <c r="S108" s="14"/>
      <c r="T108" s="14"/>
      <c r="U108" s="14"/>
      <c r="V108" s="14"/>
      <c r="W108" s="14"/>
      <c r="X108" s="14"/>
      <c r="Y108" s="14"/>
      <c r="Z108" s="14"/>
      <c r="AA108" s="14"/>
      <c r="AB108" s="14"/>
    </row>
    <row r="109" spans="1:28" hidden="1" x14ac:dyDescent="0.3">
      <c r="A109" s="66"/>
      <c r="B109" s="82" t="s">
        <v>143</v>
      </c>
      <c r="D109" s="90">
        <f>IF(6&gt;D74,0,1/((0.184*ABS(SUM(D85:D88))^3-0.525*(SUM(D85:D88))^2+1.038*ABS(SUM(D85:D88))+1.001)))</f>
        <v>0</v>
      </c>
      <c r="E109" s="82"/>
      <c r="F109" s="76"/>
      <c r="G109" s="14"/>
      <c r="H109" s="14"/>
      <c r="I109" s="14"/>
      <c r="J109" s="14"/>
      <c r="K109" s="14"/>
      <c r="L109" s="14"/>
      <c r="M109" s="14"/>
      <c r="N109" s="14"/>
      <c r="O109" s="14"/>
      <c r="P109" s="14"/>
      <c r="Q109" s="14"/>
      <c r="R109" s="14"/>
      <c r="S109" s="14"/>
      <c r="T109" s="14"/>
      <c r="U109" s="14"/>
      <c r="V109" s="14"/>
      <c r="W109" s="14"/>
      <c r="X109" s="14"/>
      <c r="Y109" s="14"/>
      <c r="Z109" s="14"/>
      <c r="AA109" s="14"/>
      <c r="AB109" s="14"/>
    </row>
    <row r="110" spans="1:28" hidden="1" x14ac:dyDescent="0.3">
      <c r="A110" s="66"/>
      <c r="B110" s="82" t="s">
        <v>144</v>
      </c>
      <c r="D110" s="90">
        <f>IF(7&gt;D74,0,1/((0.184*ABS(SUM(D85:D89))^3-0.525*(SUM(D85:D89))^2+1.038*ABS(SUM(D85:D89))+1.001)))</f>
        <v>0</v>
      </c>
      <c r="E110" s="82"/>
      <c r="F110" s="76"/>
      <c r="G110" s="14"/>
      <c r="H110" s="14"/>
      <c r="I110" s="14"/>
      <c r="J110" s="14"/>
      <c r="K110" s="14"/>
      <c r="L110" s="14"/>
      <c r="M110" s="14"/>
      <c r="N110" s="14"/>
      <c r="O110" s="14"/>
      <c r="P110" s="14"/>
      <c r="Q110" s="14"/>
      <c r="R110" s="14"/>
      <c r="S110" s="14"/>
      <c r="T110" s="14"/>
      <c r="U110" s="14"/>
      <c r="V110" s="14"/>
      <c r="W110" s="14"/>
      <c r="X110" s="14"/>
      <c r="Y110" s="14"/>
      <c r="Z110" s="14"/>
      <c r="AA110" s="14"/>
      <c r="AB110" s="14"/>
    </row>
    <row r="111" spans="1:28" hidden="1" x14ac:dyDescent="0.3">
      <c r="A111" s="66"/>
      <c r="B111" s="82" t="s">
        <v>145</v>
      </c>
      <c r="D111" s="90">
        <f>IF(8&gt;D74,0,1/((0.184*ABS(SUM(D85:D90))^3-0.525*(SUM(D85:D90))^2+1.038*ABS(SUM(D85:D90))+1.001)))</f>
        <v>0</v>
      </c>
      <c r="E111" s="82"/>
      <c r="F111" s="76"/>
      <c r="G111" s="14"/>
      <c r="H111" s="14"/>
      <c r="I111" s="14"/>
      <c r="J111" s="14"/>
      <c r="K111" s="14"/>
      <c r="L111" s="14"/>
      <c r="M111" s="14"/>
      <c r="N111" s="14"/>
      <c r="O111" s="14"/>
      <c r="P111" s="14"/>
      <c r="Q111" s="14"/>
      <c r="R111" s="14"/>
      <c r="S111" s="14"/>
      <c r="T111" s="14"/>
      <c r="U111" s="14"/>
      <c r="V111" s="14"/>
      <c r="W111" s="14"/>
      <c r="X111" s="14"/>
      <c r="Y111" s="14"/>
      <c r="Z111" s="14"/>
      <c r="AA111" s="14"/>
      <c r="AB111" s="14"/>
    </row>
    <row r="112" spans="1:28" hidden="1" x14ac:dyDescent="0.3">
      <c r="A112" s="66"/>
      <c r="B112" s="82" t="s">
        <v>146</v>
      </c>
      <c r="D112" s="90">
        <f>IF(4&gt;D74,0,1/((0.184*ABS(SUM(D86:D86))^3-0.525*(SUM(D86:D86))^2+1.038*ABS(SUM(D86:D86))+1.001)))</f>
        <v>0</v>
      </c>
      <c r="E112" s="82"/>
      <c r="F112" s="76"/>
      <c r="G112" s="14"/>
      <c r="H112" s="14"/>
      <c r="I112" s="14"/>
      <c r="J112" s="14"/>
      <c r="K112" s="14"/>
      <c r="L112" s="14"/>
      <c r="M112" s="14"/>
      <c r="N112" s="14"/>
      <c r="O112" s="14"/>
      <c r="P112" s="14"/>
      <c r="Q112" s="14"/>
      <c r="R112" s="14"/>
      <c r="S112" s="14"/>
      <c r="T112" s="14"/>
      <c r="U112" s="14"/>
      <c r="V112" s="14"/>
      <c r="W112" s="14"/>
      <c r="X112" s="14"/>
      <c r="Y112" s="14"/>
      <c r="Z112" s="14"/>
      <c r="AA112" s="14"/>
      <c r="AB112" s="14"/>
    </row>
    <row r="113" spans="1:28" hidden="1" x14ac:dyDescent="0.3">
      <c r="A113" s="66"/>
      <c r="B113" s="82" t="s">
        <v>147</v>
      </c>
      <c r="D113" s="90">
        <f>IF(5&gt;D74,0,1/((0.184*ABS(SUM(D86:D87))^3-0.525*(SUM(D86:D87))^2+1.038*ABS(SUM(D86:D87))+1.001)))</f>
        <v>0</v>
      </c>
      <c r="E113" s="82"/>
      <c r="F113" s="76"/>
      <c r="G113" s="14"/>
      <c r="H113" s="14"/>
      <c r="I113" s="14"/>
      <c r="J113" s="14"/>
      <c r="K113" s="14"/>
      <c r="L113" s="14"/>
      <c r="M113" s="14"/>
      <c r="N113" s="14"/>
      <c r="O113" s="14"/>
      <c r="P113" s="14"/>
      <c r="Q113" s="14"/>
      <c r="R113" s="14"/>
      <c r="S113" s="14"/>
      <c r="T113" s="14"/>
      <c r="U113" s="14"/>
      <c r="V113" s="14"/>
      <c r="W113" s="14"/>
      <c r="X113" s="14"/>
      <c r="Y113" s="14"/>
      <c r="Z113" s="14"/>
      <c r="AA113" s="14"/>
      <c r="AB113" s="14"/>
    </row>
    <row r="114" spans="1:28" hidden="1" x14ac:dyDescent="0.3">
      <c r="A114" s="66"/>
      <c r="B114" s="82" t="s">
        <v>148</v>
      </c>
      <c r="D114" s="90">
        <f>IF(6&gt;D74,0,1/((0.184*ABS(SUM(D86:D88))^3-0.525*(SUM(D86:D88))^2+1.038*ABS(SUM(D86:D88))+1.001)))</f>
        <v>0</v>
      </c>
      <c r="E114" s="82"/>
      <c r="F114" s="76"/>
      <c r="G114" s="14"/>
      <c r="H114" s="14"/>
      <c r="I114" s="14"/>
      <c r="J114" s="14"/>
      <c r="K114" s="14"/>
      <c r="L114" s="14"/>
      <c r="M114" s="14"/>
      <c r="N114" s="14"/>
      <c r="O114" s="14"/>
      <c r="P114" s="14"/>
      <c r="Q114" s="14"/>
      <c r="R114" s="14"/>
      <c r="S114" s="14"/>
      <c r="T114" s="14"/>
      <c r="U114" s="14"/>
      <c r="V114" s="14"/>
      <c r="W114" s="14"/>
      <c r="X114" s="14"/>
      <c r="Y114" s="14"/>
      <c r="Z114" s="14"/>
      <c r="AA114" s="14"/>
      <c r="AB114" s="14"/>
    </row>
    <row r="115" spans="1:28" hidden="1" x14ac:dyDescent="0.3">
      <c r="A115" s="66"/>
      <c r="B115" s="82" t="s">
        <v>149</v>
      </c>
      <c r="D115" s="90">
        <f>IF(7&gt;D74,0,1/((0.184*ABS(SUM(D86:D89))^3-0.525*(SUM(D86:D89))^2+1.038*ABS(SUM(D86:D89))+1.001)))</f>
        <v>0</v>
      </c>
      <c r="E115" s="82"/>
      <c r="F115" s="76"/>
      <c r="G115" s="14"/>
      <c r="H115" s="14"/>
      <c r="I115" s="14"/>
      <c r="J115" s="14"/>
      <c r="K115" s="14"/>
      <c r="L115" s="14"/>
      <c r="M115" s="14"/>
      <c r="N115" s="14"/>
      <c r="O115" s="14"/>
      <c r="P115" s="14"/>
      <c r="Q115" s="14"/>
      <c r="R115" s="14"/>
      <c r="S115" s="14"/>
      <c r="T115" s="14"/>
      <c r="U115" s="14"/>
      <c r="V115" s="14"/>
      <c r="W115" s="14"/>
      <c r="X115" s="14"/>
      <c r="Y115" s="14"/>
      <c r="Z115" s="14"/>
      <c r="AA115" s="14"/>
      <c r="AB115" s="14"/>
    </row>
    <row r="116" spans="1:28" hidden="1" x14ac:dyDescent="0.3">
      <c r="A116" s="66"/>
      <c r="B116" s="82" t="s">
        <v>150</v>
      </c>
      <c r="D116" s="90">
        <f>IF(8&gt;D74,0,1/((0.184*ABS(SUM(D86:D90))^3-0.525*(SUM(D86:D90))^2+1.038*ABS(SUM(D86:D90))+1.001)))</f>
        <v>0</v>
      </c>
      <c r="E116" s="82"/>
      <c r="F116" s="76"/>
      <c r="G116" s="14"/>
      <c r="H116" s="14"/>
      <c r="I116" s="14"/>
      <c r="J116" s="14"/>
      <c r="K116" s="14"/>
      <c r="L116" s="14"/>
      <c r="M116" s="14"/>
      <c r="N116" s="14"/>
      <c r="O116" s="14"/>
      <c r="P116" s="14"/>
      <c r="Q116" s="14"/>
      <c r="R116" s="14"/>
      <c r="S116" s="14"/>
      <c r="T116" s="14"/>
      <c r="U116" s="14"/>
      <c r="V116" s="14"/>
      <c r="W116" s="14"/>
      <c r="X116" s="14"/>
      <c r="Y116" s="14"/>
      <c r="Z116" s="14"/>
      <c r="AA116" s="14"/>
      <c r="AB116" s="14"/>
    </row>
    <row r="117" spans="1:28" hidden="1" x14ac:dyDescent="0.3">
      <c r="A117" s="66"/>
      <c r="B117" s="82" t="s">
        <v>151</v>
      </c>
      <c r="D117" s="90">
        <f>IF(5&gt;D74,0,1/((0.184*ABS(SUM(D87:D87))^3-0.525*(SUM(D87:D87))^2+1.038*ABS(SUM(D87:D87))+1.001)))</f>
        <v>0</v>
      </c>
      <c r="E117" s="82"/>
      <c r="F117" s="76"/>
      <c r="G117" s="14"/>
      <c r="H117" s="14"/>
      <c r="I117" s="14"/>
      <c r="J117" s="14"/>
      <c r="K117" s="14"/>
      <c r="L117" s="14"/>
      <c r="M117" s="14"/>
      <c r="N117" s="14"/>
      <c r="O117" s="14"/>
      <c r="P117" s="14"/>
      <c r="Q117" s="14"/>
      <c r="R117" s="14"/>
      <c r="S117" s="14"/>
      <c r="T117" s="14"/>
      <c r="U117" s="14"/>
      <c r="V117" s="14"/>
      <c r="W117" s="14"/>
      <c r="X117" s="14"/>
      <c r="Y117" s="14"/>
      <c r="Z117" s="14"/>
      <c r="AA117" s="14"/>
      <c r="AB117" s="14"/>
    </row>
    <row r="118" spans="1:28" hidden="1" x14ac:dyDescent="0.3">
      <c r="A118" s="66"/>
      <c r="B118" s="82" t="s">
        <v>152</v>
      </c>
      <c r="D118" s="90">
        <f>IF(6&gt;D74,0,1/((0.184*ABS(SUM(D87:D88))^3-0.525*(SUM(D87:D88))^2+1.038*ABS(SUM(D87:D88))+1.001)))</f>
        <v>0</v>
      </c>
      <c r="E118" s="82"/>
      <c r="F118" s="76"/>
      <c r="G118" s="14"/>
      <c r="H118" s="14"/>
      <c r="I118" s="14"/>
      <c r="J118" s="14"/>
      <c r="K118" s="14"/>
      <c r="L118" s="14"/>
      <c r="M118" s="14"/>
      <c r="N118" s="14"/>
      <c r="O118" s="14"/>
      <c r="P118" s="14"/>
      <c r="Q118" s="14"/>
      <c r="R118" s="14"/>
      <c r="S118" s="14"/>
      <c r="T118" s="14"/>
      <c r="U118" s="14"/>
      <c r="V118" s="14"/>
      <c r="W118" s="14"/>
      <c r="X118" s="14"/>
      <c r="Y118" s="14"/>
      <c r="Z118" s="14"/>
      <c r="AA118" s="14"/>
      <c r="AB118" s="14"/>
    </row>
    <row r="119" spans="1:28" hidden="1" x14ac:dyDescent="0.3">
      <c r="A119" s="66"/>
      <c r="B119" s="82" t="s">
        <v>153</v>
      </c>
      <c r="D119" s="90">
        <f>IF(7&gt;D74,0,1/((0.184*ABS(SUM(D87:D89))^3-0.525*(SUM(D87:D89))^2+1.038*ABS(SUM(D87:D89))+1.001)))</f>
        <v>0</v>
      </c>
      <c r="E119" s="82"/>
      <c r="F119" s="76"/>
      <c r="G119" s="14"/>
      <c r="H119" s="14"/>
      <c r="I119" s="14"/>
      <c r="J119" s="14"/>
      <c r="K119" s="14"/>
      <c r="L119" s="14"/>
      <c r="M119" s="14"/>
      <c r="N119" s="14"/>
      <c r="O119" s="14"/>
      <c r="P119" s="14"/>
      <c r="Q119" s="14"/>
      <c r="R119" s="14"/>
      <c r="S119" s="14"/>
      <c r="T119" s="14"/>
      <c r="U119" s="14"/>
      <c r="V119" s="14"/>
      <c r="W119" s="14"/>
      <c r="X119" s="14"/>
      <c r="Y119" s="14"/>
      <c r="Z119" s="14"/>
      <c r="AA119" s="14"/>
      <c r="AB119" s="14"/>
    </row>
    <row r="120" spans="1:28" hidden="1" x14ac:dyDescent="0.3">
      <c r="A120" s="66"/>
      <c r="B120" s="82" t="s">
        <v>154</v>
      </c>
      <c r="D120" s="90">
        <f>IF(8&gt;D74,0,1/((0.184*ABS(SUM(D87:D90))^3-0.525*(SUM(D87:D90))^2+1.038*ABS(SUM(D87:D90))+1.001)))</f>
        <v>0</v>
      </c>
      <c r="E120" s="82"/>
      <c r="F120" s="76"/>
      <c r="G120" s="14"/>
      <c r="H120" s="14"/>
      <c r="I120" s="14"/>
      <c r="J120" s="14"/>
      <c r="K120" s="14"/>
      <c r="L120" s="14"/>
      <c r="M120" s="14"/>
      <c r="N120" s="14"/>
      <c r="O120" s="14"/>
      <c r="P120" s="14"/>
      <c r="Q120" s="14"/>
      <c r="R120" s="14"/>
      <c r="S120" s="14"/>
      <c r="T120" s="14"/>
      <c r="U120" s="14"/>
      <c r="V120" s="14"/>
      <c r="W120" s="14"/>
      <c r="X120" s="14"/>
      <c r="Y120" s="14"/>
      <c r="Z120" s="14"/>
      <c r="AA120" s="14"/>
      <c r="AB120" s="14"/>
    </row>
    <row r="121" spans="1:28" hidden="1" x14ac:dyDescent="0.3">
      <c r="A121" s="66"/>
      <c r="B121" s="82" t="s">
        <v>155</v>
      </c>
      <c r="D121" s="90">
        <f>IF(6&gt;D74,0,1/((0.184*ABS(SUM(D88:D88))^3-0.525*(SUM(D88:D88))^2+1.038*ABS(SUM(D88:D88))+1.001)))</f>
        <v>0</v>
      </c>
      <c r="E121" s="82"/>
      <c r="F121" s="76"/>
      <c r="G121" s="14"/>
      <c r="H121" s="14"/>
      <c r="I121" s="14"/>
      <c r="J121" s="14"/>
      <c r="K121" s="14"/>
      <c r="L121" s="14"/>
      <c r="M121" s="14"/>
      <c r="N121" s="14"/>
      <c r="O121" s="14"/>
      <c r="P121" s="14"/>
      <c r="Q121" s="14"/>
      <c r="R121" s="14"/>
      <c r="S121" s="14"/>
      <c r="T121" s="14"/>
      <c r="U121" s="14"/>
      <c r="V121" s="14"/>
      <c r="W121" s="14"/>
      <c r="X121" s="14"/>
      <c r="Y121" s="14"/>
      <c r="Z121" s="14"/>
      <c r="AA121" s="14"/>
      <c r="AB121" s="14"/>
    </row>
    <row r="122" spans="1:28" hidden="1" x14ac:dyDescent="0.3">
      <c r="A122" s="66"/>
      <c r="B122" s="82" t="s">
        <v>156</v>
      </c>
      <c r="D122" s="90">
        <f>IF(7&gt;D74,0,1/((0.184*ABS(SUM(D88:D89))^3-0.525*(SUM(D88:D89))^2+1.038*ABS(SUM(D88:D89))+1.001)))</f>
        <v>0</v>
      </c>
      <c r="E122" s="82"/>
      <c r="F122" s="76"/>
      <c r="G122" s="14"/>
      <c r="H122" s="14"/>
      <c r="I122" s="14"/>
      <c r="J122" s="14"/>
      <c r="K122" s="14"/>
      <c r="L122" s="14"/>
      <c r="M122" s="14"/>
      <c r="N122" s="14"/>
      <c r="O122" s="14"/>
      <c r="P122" s="14"/>
      <c r="Q122" s="14"/>
      <c r="R122" s="14"/>
      <c r="S122" s="14"/>
      <c r="T122" s="14"/>
      <c r="U122" s="14"/>
      <c r="V122" s="14"/>
      <c r="W122" s="14"/>
      <c r="X122" s="14"/>
      <c r="Y122" s="14"/>
      <c r="Z122" s="14"/>
      <c r="AA122" s="14"/>
      <c r="AB122" s="14"/>
    </row>
    <row r="123" spans="1:28" hidden="1" x14ac:dyDescent="0.3">
      <c r="A123" s="66"/>
      <c r="B123" s="82" t="s">
        <v>157</v>
      </c>
      <c r="D123" s="90">
        <f>IF(8&gt;D74,0,1/((0.184*ABS(SUM(D88:D90))^3-0.525*(SUM(D88:D90))^2+1.038*ABS(SUM(D88:D90))+1.001)))</f>
        <v>0</v>
      </c>
      <c r="E123" s="82"/>
      <c r="F123" s="76"/>
      <c r="G123" s="14"/>
      <c r="H123" s="14"/>
      <c r="I123" s="14"/>
      <c r="J123" s="14"/>
      <c r="K123" s="14"/>
      <c r="L123" s="14"/>
      <c r="M123" s="14"/>
      <c r="N123" s="14"/>
      <c r="O123" s="14"/>
      <c r="P123" s="14"/>
      <c r="Q123" s="14"/>
      <c r="R123" s="14"/>
      <c r="S123" s="14"/>
      <c r="T123" s="14"/>
      <c r="U123" s="14"/>
      <c r="V123" s="14"/>
      <c r="W123" s="14"/>
      <c r="X123" s="14"/>
      <c r="Y123" s="14"/>
      <c r="Z123" s="14"/>
      <c r="AA123" s="14"/>
      <c r="AB123" s="14"/>
    </row>
    <row r="124" spans="1:28" hidden="1" x14ac:dyDescent="0.3">
      <c r="A124" s="66"/>
      <c r="B124" s="82" t="s">
        <v>158</v>
      </c>
      <c r="D124" s="90">
        <f>IF(7&gt;D74,0,1/((0.184*ABS(SUM(D89:D89))^3-0.525*(SUM(D89:D89))^2+1.038*ABS(SUM(D89:D89))+1.001)))</f>
        <v>0</v>
      </c>
      <c r="E124" s="82"/>
      <c r="F124" s="76"/>
      <c r="G124" s="14"/>
      <c r="H124" s="14"/>
      <c r="I124" s="14"/>
      <c r="J124" s="14"/>
      <c r="K124" s="14"/>
      <c r="L124" s="14"/>
      <c r="M124" s="14"/>
      <c r="N124" s="14"/>
      <c r="O124" s="14"/>
      <c r="P124" s="14"/>
      <c r="Q124" s="14"/>
      <c r="R124" s="14"/>
      <c r="S124" s="14"/>
      <c r="T124" s="14"/>
      <c r="U124" s="14"/>
      <c r="V124" s="14"/>
      <c r="W124" s="14"/>
      <c r="X124" s="14"/>
      <c r="Y124" s="14"/>
      <c r="Z124" s="14"/>
      <c r="AA124" s="14"/>
      <c r="AB124" s="14"/>
    </row>
    <row r="125" spans="1:28" hidden="1" x14ac:dyDescent="0.3">
      <c r="A125" s="66"/>
      <c r="B125" s="82" t="s">
        <v>159</v>
      </c>
      <c r="D125" s="90">
        <f>IF(8&gt;D74,0,1/((0.184*ABS(SUM(D89:D90))^3-0.525*(SUM(D89:D90))^2+1.038*ABS(SUM(D89:D90))+1.001)))</f>
        <v>0</v>
      </c>
      <c r="E125" s="82"/>
      <c r="F125" s="76"/>
      <c r="G125" s="14"/>
      <c r="H125" s="14"/>
      <c r="I125" s="14"/>
      <c r="J125" s="14"/>
      <c r="K125" s="14"/>
      <c r="L125" s="14"/>
      <c r="M125" s="14"/>
      <c r="N125" s="14"/>
      <c r="O125" s="14"/>
      <c r="P125" s="14"/>
      <c r="Q125" s="14"/>
      <c r="R125" s="14"/>
      <c r="S125" s="14"/>
      <c r="T125" s="14"/>
      <c r="U125" s="14"/>
      <c r="V125" s="14"/>
      <c r="W125" s="14"/>
      <c r="X125" s="14"/>
      <c r="Y125" s="14"/>
      <c r="Z125" s="14"/>
      <c r="AA125" s="14"/>
      <c r="AB125" s="14"/>
    </row>
    <row r="126" spans="1:28" hidden="1" x14ac:dyDescent="0.3">
      <c r="A126" s="66"/>
      <c r="B126" s="82" t="s">
        <v>160</v>
      </c>
      <c r="D126" s="90">
        <f>IF(8&gt;D74,0,1/((0.184*ABS(SUM(D90:D90))^3-0.525*(SUM(D90:D90))^2+1.038*ABS(SUM(D90:D90))+1.001)))</f>
        <v>0</v>
      </c>
      <c r="E126" s="82"/>
      <c r="F126" s="76"/>
      <c r="G126" s="14"/>
      <c r="H126" s="14"/>
      <c r="I126" s="14"/>
      <c r="J126" s="14"/>
      <c r="K126" s="14"/>
      <c r="L126" s="14"/>
      <c r="M126" s="14"/>
      <c r="N126" s="14"/>
      <c r="O126" s="14"/>
      <c r="P126" s="14"/>
      <c r="Q126" s="14"/>
      <c r="R126" s="14"/>
      <c r="S126" s="14"/>
      <c r="T126" s="14"/>
      <c r="U126" s="14"/>
      <c r="V126" s="14"/>
      <c r="W126" s="14"/>
      <c r="X126" s="14"/>
      <c r="Y126" s="14"/>
      <c r="Z126" s="14"/>
      <c r="AA126" s="14"/>
      <c r="AB126" s="14"/>
    </row>
    <row r="127" spans="1:28" hidden="1" x14ac:dyDescent="0.3">
      <c r="A127" s="66"/>
      <c r="B127" s="82"/>
      <c r="D127" s="90"/>
      <c r="E127" s="82"/>
      <c r="F127" s="76"/>
      <c r="G127" s="14"/>
      <c r="H127" s="14"/>
      <c r="I127" s="14"/>
      <c r="J127" s="14"/>
      <c r="K127" s="14"/>
      <c r="L127" s="14"/>
      <c r="M127" s="14"/>
      <c r="N127" s="14"/>
      <c r="O127" s="14"/>
      <c r="P127" s="14"/>
      <c r="Q127" s="14"/>
      <c r="R127" s="14"/>
      <c r="S127" s="14"/>
      <c r="T127" s="14"/>
      <c r="U127" s="14"/>
      <c r="V127" s="14"/>
      <c r="W127" s="14"/>
      <c r="X127" s="14"/>
      <c r="Y127" s="14"/>
      <c r="Z127" s="14"/>
      <c r="AA127" s="14"/>
      <c r="AB127" s="14"/>
    </row>
    <row r="128" spans="1:28" hidden="1" x14ac:dyDescent="0.3">
      <c r="A128" s="66"/>
      <c r="B128" s="82" t="s">
        <v>161</v>
      </c>
      <c r="D128" s="90">
        <f>IF(1&gt;D74,0,-1/((0.184*ABS(SUM(D83:D83))^3-0.525*(SUM(D83:D83))^2+1.038*ABS(SUM(D83:D83))+1.001)))</f>
        <v>-4.6869344993826445E-6</v>
      </c>
      <c r="E128" s="82"/>
      <c r="F128" s="76"/>
      <c r="G128" s="14"/>
      <c r="H128" s="14"/>
      <c r="I128" s="14"/>
      <c r="J128" s="14"/>
      <c r="K128" s="14"/>
      <c r="L128" s="14"/>
      <c r="M128" s="14"/>
      <c r="N128" s="14"/>
      <c r="O128" s="14"/>
      <c r="P128" s="14"/>
      <c r="Q128" s="14"/>
      <c r="R128" s="14"/>
      <c r="S128" s="14"/>
      <c r="T128" s="14"/>
      <c r="U128" s="14"/>
      <c r="V128" s="14"/>
      <c r="W128" s="14"/>
      <c r="X128" s="14"/>
      <c r="Y128" s="14"/>
      <c r="Z128" s="14"/>
      <c r="AA128" s="14"/>
      <c r="AB128" s="14"/>
    </row>
    <row r="129" spans="1:28" hidden="1" x14ac:dyDescent="0.3">
      <c r="A129" s="66"/>
      <c r="B129" s="82" t="s">
        <v>162</v>
      </c>
      <c r="D129" s="90">
        <f>IF(2&gt;D74,0,-1/((0.184*ABS(SUM(D83:D84))^3-0.525*(SUM(D83:D84))^2+1.038*ABS(SUM(D83:D84))+1.001)))</f>
        <v>-4.6463800442210122E-6</v>
      </c>
      <c r="E129" s="82"/>
      <c r="F129" s="76"/>
      <c r="G129" s="14"/>
      <c r="H129" s="14"/>
      <c r="I129" s="14"/>
      <c r="J129" s="14"/>
      <c r="K129" s="14"/>
      <c r="L129" s="14"/>
      <c r="M129" s="14"/>
      <c r="N129" s="14"/>
      <c r="O129" s="14"/>
      <c r="P129" s="14"/>
      <c r="Q129" s="14"/>
      <c r="R129" s="14"/>
      <c r="S129" s="14"/>
      <c r="T129" s="14"/>
      <c r="U129" s="14"/>
      <c r="V129" s="14"/>
      <c r="W129" s="14"/>
      <c r="X129" s="14"/>
      <c r="Y129" s="14"/>
      <c r="Z129" s="14"/>
      <c r="AA129" s="14"/>
      <c r="AB129" s="14"/>
    </row>
    <row r="130" spans="1:28" hidden="1" x14ac:dyDescent="0.3">
      <c r="A130" s="66"/>
      <c r="B130" s="82" t="s">
        <v>163</v>
      </c>
      <c r="D130" s="90">
        <f>IF(3&gt;D74,0,-1/((0.184*ABS(SUM(D83:D85))^3-0.525*(SUM(D83:D85))^2+1.038*ABS(SUM(D83:D85))+1.001)))</f>
        <v>0</v>
      </c>
      <c r="E130" s="82"/>
      <c r="F130" s="76"/>
      <c r="G130" s="14"/>
      <c r="H130" s="14"/>
      <c r="I130" s="14"/>
      <c r="J130" s="14"/>
      <c r="K130" s="14"/>
      <c r="L130" s="14"/>
      <c r="M130" s="14"/>
      <c r="N130" s="14"/>
      <c r="O130" s="14"/>
      <c r="P130" s="14"/>
      <c r="Q130" s="14"/>
      <c r="R130" s="14"/>
      <c r="S130" s="14"/>
      <c r="T130" s="14"/>
      <c r="U130" s="14"/>
      <c r="V130" s="14"/>
      <c r="W130" s="14"/>
      <c r="X130" s="14"/>
      <c r="Y130" s="14"/>
      <c r="Z130" s="14"/>
      <c r="AA130" s="14"/>
      <c r="AB130" s="14"/>
    </row>
    <row r="131" spans="1:28" hidden="1" x14ac:dyDescent="0.3">
      <c r="A131" s="66"/>
      <c r="B131" s="82" t="s">
        <v>164</v>
      </c>
      <c r="D131" s="90">
        <f>IF(4&gt;D74,0,-1/((0.184*ABS(SUM(D83:D86))^3-0.525*(SUM(D83:D86))^2+1.038*ABS(SUM(D83:D86))+1.001)))</f>
        <v>0</v>
      </c>
      <c r="E131" s="82"/>
      <c r="F131" s="76"/>
      <c r="G131" s="14"/>
      <c r="H131" s="14"/>
      <c r="I131" s="14"/>
      <c r="J131" s="14"/>
      <c r="K131" s="14"/>
      <c r="L131" s="14"/>
      <c r="M131" s="14"/>
      <c r="N131" s="14"/>
      <c r="O131" s="14"/>
      <c r="P131" s="14"/>
      <c r="Q131" s="14"/>
      <c r="R131" s="14"/>
      <c r="S131" s="14"/>
      <c r="T131" s="14"/>
      <c r="U131" s="14"/>
      <c r="V131" s="14"/>
      <c r="W131" s="14"/>
      <c r="X131" s="14"/>
      <c r="Y131" s="14"/>
      <c r="Z131" s="14"/>
      <c r="AA131" s="14"/>
      <c r="AB131" s="14"/>
    </row>
    <row r="132" spans="1:28" hidden="1" x14ac:dyDescent="0.3">
      <c r="A132" s="66"/>
      <c r="B132" s="82" t="s">
        <v>165</v>
      </c>
      <c r="D132" s="90">
        <f>IF(5&gt;D74,0,-1/((0.184*ABS(SUM(D83:D87))^3-0.525*(SUM(D83:D87))^2+1.038*ABS(SUM(D83:D87))+1.001)))</f>
        <v>0</v>
      </c>
      <c r="E132" s="82"/>
      <c r="F132" s="76"/>
      <c r="G132" s="14"/>
      <c r="H132" s="14"/>
      <c r="I132" s="14"/>
      <c r="J132" s="14"/>
      <c r="K132" s="14"/>
      <c r="L132" s="14"/>
      <c r="M132" s="14"/>
      <c r="N132" s="14"/>
      <c r="O132" s="14"/>
      <c r="P132" s="14"/>
      <c r="Q132" s="14"/>
      <c r="R132" s="14"/>
      <c r="S132" s="14"/>
      <c r="T132" s="14"/>
      <c r="U132" s="14"/>
      <c r="V132" s="14"/>
      <c r="W132" s="14"/>
      <c r="X132" s="14"/>
      <c r="Y132" s="14"/>
      <c r="Z132" s="14"/>
      <c r="AA132" s="14"/>
      <c r="AB132" s="14"/>
    </row>
    <row r="133" spans="1:28" hidden="1" x14ac:dyDescent="0.3">
      <c r="A133" s="66"/>
      <c r="B133" s="82" t="s">
        <v>166</v>
      </c>
      <c r="D133" s="90">
        <f>IF(6&gt;D74,0,-1/((0.184*ABS(SUM(D83:D88))^3-0.525*(SUM(D83:D88))^2+1.038*ABS(SUM(D83:D88))+1.001)))</f>
        <v>0</v>
      </c>
      <c r="E133" s="82"/>
      <c r="F133" s="76"/>
      <c r="G133" s="14"/>
      <c r="H133" s="14"/>
      <c r="I133" s="14"/>
      <c r="J133" s="14"/>
      <c r="K133" s="14"/>
      <c r="L133" s="14"/>
      <c r="M133" s="14"/>
      <c r="N133" s="14"/>
      <c r="O133" s="14"/>
      <c r="P133" s="14"/>
      <c r="Q133" s="14"/>
      <c r="R133" s="14"/>
      <c r="S133" s="14"/>
      <c r="T133" s="14"/>
      <c r="U133" s="14"/>
      <c r="V133" s="14"/>
      <c r="W133" s="14"/>
      <c r="X133" s="14"/>
      <c r="Y133" s="14"/>
      <c r="Z133" s="14"/>
      <c r="AA133" s="14"/>
      <c r="AB133" s="14"/>
    </row>
    <row r="134" spans="1:28" hidden="1" x14ac:dyDescent="0.3">
      <c r="A134" s="66"/>
      <c r="B134" s="82" t="s">
        <v>167</v>
      </c>
      <c r="D134" s="90">
        <f>IF(7&gt;D74,0,-1/((0.184*ABS(SUM(D83:D89))^3-0.525*(SUM(D83:D89))^2+1.038*ABS(SUM(D83:D89))+1.001)))</f>
        <v>0</v>
      </c>
      <c r="E134" s="82"/>
      <c r="F134" s="76"/>
      <c r="G134" s="14"/>
      <c r="H134" s="14"/>
      <c r="I134" s="14"/>
      <c r="J134" s="14"/>
      <c r="K134" s="14"/>
      <c r="L134" s="14"/>
      <c r="M134" s="14"/>
      <c r="N134" s="14"/>
      <c r="O134" s="14"/>
      <c r="P134" s="14"/>
      <c r="Q134" s="14"/>
      <c r="R134" s="14"/>
      <c r="S134" s="14"/>
      <c r="T134" s="14"/>
      <c r="U134" s="14"/>
      <c r="V134" s="14"/>
      <c r="W134" s="14"/>
      <c r="X134" s="14"/>
      <c r="Y134" s="14"/>
      <c r="Z134" s="14"/>
      <c r="AA134" s="14"/>
      <c r="AB134" s="14"/>
    </row>
    <row r="135" spans="1:28" hidden="1" x14ac:dyDescent="0.3">
      <c r="A135" s="66"/>
      <c r="B135" s="82" t="s">
        <v>168</v>
      </c>
      <c r="D135" s="90">
        <f>IF(8&gt;D74,0,-1/((0.184*ABS(SUM(D83:D90))^3-0.525*(SUM(D83:D90))^2+1.038*ABS(SUM(D83:D90))+1.001)))</f>
        <v>0</v>
      </c>
      <c r="E135" s="82"/>
      <c r="F135" s="76"/>
      <c r="G135" s="14"/>
      <c r="H135" s="14"/>
      <c r="I135" s="14"/>
      <c r="J135" s="14"/>
      <c r="K135" s="14"/>
      <c r="L135" s="14"/>
      <c r="M135" s="14"/>
      <c r="N135" s="14"/>
      <c r="O135" s="14"/>
      <c r="P135" s="14"/>
      <c r="Q135" s="14"/>
      <c r="R135" s="14"/>
      <c r="S135" s="14"/>
      <c r="T135" s="14"/>
      <c r="U135" s="14"/>
      <c r="V135" s="14"/>
      <c r="W135" s="14"/>
      <c r="X135" s="14"/>
      <c r="Y135" s="14"/>
      <c r="Z135" s="14"/>
      <c r="AA135" s="14"/>
      <c r="AB135" s="14"/>
    </row>
    <row r="136" spans="1:28" hidden="1" x14ac:dyDescent="0.3">
      <c r="A136" s="66"/>
      <c r="B136" s="82" t="s">
        <v>169</v>
      </c>
      <c r="D136" s="90">
        <f>IF(2&gt;D74,0,-1/((0.184*ABS(SUM(D82:D83))^3-0.525*(SUM(D82:D83))^2+1.038*ABS(SUM(D82:D83))+1.001)))</f>
        <v>-4.6463800442210122E-6</v>
      </c>
      <c r="E136" s="82"/>
      <c r="F136" s="76"/>
      <c r="G136" s="14"/>
      <c r="H136" s="14"/>
      <c r="I136" s="14"/>
      <c r="J136" s="14"/>
      <c r="K136" s="14"/>
      <c r="L136" s="14"/>
      <c r="M136" s="14"/>
      <c r="N136" s="14"/>
      <c r="O136" s="14"/>
      <c r="P136" s="14"/>
      <c r="Q136" s="14"/>
      <c r="R136" s="14"/>
      <c r="S136" s="14"/>
      <c r="T136" s="14"/>
      <c r="U136" s="14"/>
      <c r="V136" s="14"/>
      <c r="W136" s="14"/>
      <c r="X136" s="14"/>
      <c r="Y136" s="14"/>
      <c r="Z136" s="14"/>
      <c r="AA136" s="14"/>
      <c r="AB136" s="14"/>
    </row>
    <row r="137" spans="1:28" hidden="1" x14ac:dyDescent="0.3">
      <c r="A137" s="66"/>
      <c r="B137" s="82" t="s">
        <v>170</v>
      </c>
      <c r="D137" s="90">
        <f>IF(2&gt;D74,0,-1/((0.184*ABS(SUM(D82:D84))^3-0.525*(SUM(D82:D84))^2+1.038*ABS(SUM(D82:D84))+1.001)))</f>
        <v>-4.6062920927274073E-6</v>
      </c>
      <c r="E137" s="82"/>
      <c r="F137" s="76"/>
      <c r="G137" s="14"/>
      <c r="H137" s="14"/>
      <c r="I137" s="14"/>
      <c r="J137" s="14"/>
      <c r="K137" s="14"/>
      <c r="L137" s="14"/>
      <c r="M137" s="14"/>
      <c r="N137" s="14"/>
      <c r="O137" s="14"/>
      <c r="P137" s="14"/>
      <c r="Q137" s="14"/>
      <c r="R137" s="14"/>
      <c r="S137" s="14"/>
      <c r="T137" s="14"/>
      <c r="U137" s="14"/>
      <c r="V137" s="14"/>
      <c r="W137" s="14"/>
      <c r="X137" s="14"/>
      <c r="Y137" s="14"/>
      <c r="Z137" s="14"/>
      <c r="AA137" s="14"/>
      <c r="AB137" s="14"/>
    </row>
    <row r="138" spans="1:28" hidden="1" x14ac:dyDescent="0.3">
      <c r="A138" s="66"/>
      <c r="B138" s="82" t="s">
        <v>171</v>
      </c>
      <c r="D138" s="90">
        <f>IF(3&gt;D74,0,-1/((0.184*ABS(SUM(D82:D85))^3-0.525*(SUM(D82:D85))^2+1.038*ABS(SUM(D82:D85))+1.001)))</f>
        <v>0</v>
      </c>
      <c r="E138" s="82"/>
      <c r="F138" s="76"/>
      <c r="G138" s="14"/>
      <c r="H138" s="14"/>
      <c r="I138" s="14"/>
      <c r="J138" s="14"/>
      <c r="K138" s="14"/>
      <c r="L138" s="14"/>
      <c r="M138" s="14"/>
      <c r="N138" s="14"/>
      <c r="O138" s="14"/>
      <c r="P138" s="14"/>
      <c r="Q138" s="14"/>
      <c r="R138" s="14"/>
      <c r="S138" s="14"/>
      <c r="T138" s="14"/>
      <c r="U138" s="14"/>
      <c r="V138" s="14"/>
      <c r="W138" s="14"/>
      <c r="X138" s="14"/>
      <c r="Y138" s="14"/>
      <c r="Z138" s="14"/>
      <c r="AA138" s="14"/>
      <c r="AB138" s="14"/>
    </row>
    <row r="139" spans="1:28" hidden="1" x14ac:dyDescent="0.3">
      <c r="A139" s="66"/>
      <c r="B139" s="82" t="s">
        <v>172</v>
      </c>
      <c r="D139" s="90">
        <f>IF(4&gt;D74,0,-1/((0.184*ABS(SUM(D82:D86))^3-0.525*(SUM(D82:D86))^2+1.038*ABS(SUM(D82:D86))+1.001)))</f>
        <v>0</v>
      </c>
      <c r="E139" s="82"/>
      <c r="F139" s="76"/>
      <c r="G139" s="14"/>
      <c r="H139" s="14"/>
      <c r="I139" s="14"/>
      <c r="J139" s="14"/>
      <c r="K139" s="14"/>
      <c r="L139" s="14"/>
      <c r="M139" s="14"/>
      <c r="N139" s="14"/>
      <c r="O139" s="14"/>
      <c r="P139" s="14"/>
      <c r="Q139" s="14"/>
      <c r="R139" s="14"/>
      <c r="S139" s="14"/>
      <c r="T139" s="14"/>
      <c r="U139" s="14"/>
      <c r="V139" s="14"/>
      <c r="W139" s="14"/>
      <c r="X139" s="14"/>
      <c r="Y139" s="14"/>
      <c r="Z139" s="14"/>
      <c r="AA139" s="14"/>
      <c r="AB139" s="14"/>
    </row>
    <row r="140" spans="1:28" hidden="1" x14ac:dyDescent="0.3">
      <c r="A140" s="66"/>
      <c r="B140" s="82" t="s">
        <v>173</v>
      </c>
      <c r="D140" s="90">
        <f>IF(5&gt;D74,0,-1/((0.184*ABS(SUM(D82:D87))^3-0.525*(SUM(D82:D87))^2+1.038*ABS(SUM(D82:D87))+1.001)))</f>
        <v>0</v>
      </c>
      <c r="E140" s="82"/>
      <c r="F140" s="76"/>
      <c r="G140" s="14"/>
      <c r="H140" s="14"/>
      <c r="I140" s="14"/>
      <c r="J140" s="14"/>
      <c r="K140" s="14"/>
      <c r="L140" s="14"/>
      <c r="M140" s="14"/>
      <c r="N140" s="14"/>
      <c r="O140" s="14"/>
      <c r="P140" s="14"/>
      <c r="Q140" s="14"/>
      <c r="R140" s="14"/>
      <c r="S140" s="14"/>
      <c r="T140" s="14"/>
      <c r="U140" s="14"/>
      <c r="V140" s="14"/>
      <c r="W140" s="14"/>
      <c r="X140" s="14"/>
      <c r="Y140" s="14"/>
      <c r="Z140" s="14"/>
      <c r="AA140" s="14"/>
      <c r="AB140" s="14"/>
    </row>
    <row r="141" spans="1:28" hidden="1" x14ac:dyDescent="0.3">
      <c r="A141" s="66"/>
      <c r="B141" s="82" t="s">
        <v>174</v>
      </c>
      <c r="D141" s="90">
        <f>IF(6&gt;D74,0,-1/((0.184*ABS(SUM(D82:D88))^3-0.525*(SUM(D82:D88))^2+1.038*ABS(SUM(D82:D88))+1.001)))</f>
        <v>0</v>
      </c>
      <c r="E141" s="82"/>
      <c r="F141" s="76"/>
      <c r="G141" s="14"/>
      <c r="H141" s="14"/>
      <c r="I141" s="14"/>
      <c r="J141" s="14"/>
      <c r="K141" s="14"/>
      <c r="L141" s="14"/>
      <c r="M141" s="14"/>
      <c r="N141" s="14"/>
      <c r="O141" s="14"/>
      <c r="P141" s="14"/>
      <c r="Q141" s="14"/>
      <c r="R141" s="14"/>
      <c r="S141" s="14"/>
      <c r="T141" s="14"/>
      <c r="U141" s="14"/>
      <c r="V141" s="14"/>
      <c r="W141" s="14"/>
      <c r="X141" s="14"/>
      <c r="Y141" s="14"/>
      <c r="Z141" s="14"/>
      <c r="AA141" s="14"/>
      <c r="AB141" s="14"/>
    </row>
    <row r="142" spans="1:28" hidden="1" x14ac:dyDescent="0.3">
      <c r="A142" s="66"/>
      <c r="B142" s="82" t="s">
        <v>175</v>
      </c>
      <c r="D142" s="90">
        <f>IF(7&gt;D74,0,-1/((0.184*ABS(SUM(D82:D89))^3-0.525*(SUM(D82:D89))^2+1.038*ABS(SUM(D82:D89))+1.001)))</f>
        <v>0</v>
      </c>
      <c r="E142" s="82"/>
      <c r="F142" s="76"/>
      <c r="G142" s="14"/>
      <c r="H142" s="14"/>
      <c r="I142" s="14"/>
      <c r="J142" s="14"/>
      <c r="K142" s="14"/>
      <c r="L142" s="14"/>
      <c r="M142" s="14"/>
      <c r="N142" s="14"/>
      <c r="O142" s="14"/>
      <c r="P142" s="14"/>
      <c r="Q142" s="14"/>
      <c r="R142" s="14"/>
      <c r="S142" s="14"/>
      <c r="T142" s="14"/>
      <c r="U142" s="14"/>
      <c r="V142" s="14"/>
      <c r="W142" s="14"/>
      <c r="X142" s="14"/>
      <c r="Y142" s="14"/>
      <c r="Z142" s="14"/>
      <c r="AA142" s="14"/>
      <c r="AB142" s="14"/>
    </row>
    <row r="143" spans="1:28" hidden="1" x14ac:dyDescent="0.3">
      <c r="A143" s="66"/>
      <c r="B143" s="82" t="s">
        <v>176</v>
      </c>
      <c r="D143" s="90">
        <f>IF(8&gt;D74,0,-1/((0.184*ABS(SUM(D82:D90))^3-0.525*(SUM(D82:D90))^2+1.038*ABS(SUM(D82:D90))+1.001)))</f>
        <v>0</v>
      </c>
      <c r="E143" s="82"/>
      <c r="F143" s="76"/>
      <c r="G143" s="14"/>
      <c r="H143" s="14"/>
      <c r="I143" s="14"/>
      <c r="J143" s="14"/>
      <c r="K143" s="14"/>
      <c r="L143" s="14"/>
      <c r="M143" s="14"/>
      <c r="N143" s="14"/>
      <c r="O143" s="14"/>
      <c r="P143" s="14"/>
      <c r="Q143" s="14"/>
      <c r="R143" s="14"/>
      <c r="S143" s="14"/>
      <c r="T143" s="14"/>
      <c r="U143" s="14"/>
      <c r="V143" s="14"/>
      <c r="W143" s="14"/>
      <c r="X143" s="14"/>
      <c r="Y143" s="14"/>
      <c r="Z143" s="14"/>
      <c r="AA143" s="14"/>
      <c r="AB143" s="14"/>
    </row>
    <row r="144" spans="1:28" hidden="1" x14ac:dyDescent="0.3">
      <c r="A144" s="66"/>
      <c r="B144" s="82" t="s">
        <v>177</v>
      </c>
      <c r="D144" s="90">
        <f>IF(3&gt;D74,0,-1/((0.184*ABS(SUM(D81:D83))^3-0.525*(SUM(D81:D83))^2+1.038*ABS(SUM(D81:D83))+1.001)))</f>
        <v>0</v>
      </c>
      <c r="E144" s="82"/>
      <c r="F144" s="76"/>
      <c r="G144" s="14"/>
      <c r="H144" s="14"/>
      <c r="I144" s="14"/>
      <c r="J144" s="14"/>
      <c r="K144" s="14"/>
      <c r="L144" s="14"/>
      <c r="M144" s="14"/>
      <c r="N144" s="14"/>
      <c r="O144" s="14"/>
      <c r="P144" s="14"/>
      <c r="Q144" s="14"/>
      <c r="R144" s="14"/>
      <c r="S144" s="14"/>
      <c r="T144" s="14"/>
      <c r="U144" s="14"/>
      <c r="V144" s="14"/>
      <c r="W144" s="14"/>
      <c r="X144" s="14"/>
      <c r="Y144" s="14"/>
      <c r="Z144" s="14"/>
      <c r="AA144" s="14"/>
      <c r="AB144" s="14"/>
    </row>
    <row r="145" spans="1:28" hidden="1" x14ac:dyDescent="0.3">
      <c r="A145" s="66"/>
      <c r="B145" s="82" t="s">
        <v>178</v>
      </c>
      <c r="D145" s="90">
        <f>IF(3&gt;D74,0,-1/((0.184*ABS(SUM(D81:D84))^3-0.525*(SUM(D81:D84))^2+1.038*ABS(SUM(D81:D84))+1.001)))</f>
        <v>0</v>
      </c>
      <c r="E145" s="82"/>
      <c r="F145" s="76"/>
      <c r="G145" s="14"/>
      <c r="H145" s="14"/>
      <c r="I145" s="14"/>
      <c r="J145" s="14"/>
      <c r="K145" s="14"/>
      <c r="L145" s="14"/>
      <c r="M145" s="14"/>
      <c r="N145" s="14"/>
      <c r="O145" s="14"/>
      <c r="P145" s="14"/>
      <c r="Q145" s="14"/>
      <c r="R145" s="14"/>
      <c r="S145" s="14"/>
      <c r="T145" s="14"/>
      <c r="U145" s="14"/>
      <c r="V145" s="14"/>
      <c r="W145" s="14"/>
      <c r="X145" s="14"/>
      <c r="Y145" s="14"/>
      <c r="Z145" s="14"/>
      <c r="AA145" s="14"/>
      <c r="AB145" s="14"/>
    </row>
    <row r="146" spans="1:28" hidden="1" x14ac:dyDescent="0.3">
      <c r="A146" s="66"/>
      <c r="B146" s="82" t="s">
        <v>179</v>
      </c>
      <c r="D146" s="90">
        <f>IF(3&gt;D74,0,-1/((0.184*ABS(SUM(D81:D85))^3-0.525*(SUM(D81:D85))^2+1.038*ABS(SUM(D81:D85))+1.001)))</f>
        <v>0</v>
      </c>
      <c r="E146" s="82"/>
      <c r="F146" s="76"/>
      <c r="G146" s="14"/>
      <c r="H146" s="14"/>
      <c r="I146" s="14"/>
      <c r="J146" s="14"/>
      <c r="K146" s="14"/>
      <c r="L146" s="14"/>
      <c r="M146" s="14"/>
      <c r="N146" s="14"/>
      <c r="O146" s="14"/>
      <c r="P146" s="14"/>
      <c r="Q146" s="14"/>
      <c r="R146" s="14"/>
      <c r="S146" s="14"/>
      <c r="T146" s="14"/>
      <c r="U146" s="14"/>
      <c r="V146" s="14"/>
      <c r="W146" s="14"/>
      <c r="X146" s="14"/>
      <c r="Y146" s="14"/>
      <c r="Z146" s="14"/>
      <c r="AA146" s="14"/>
      <c r="AB146" s="14"/>
    </row>
    <row r="147" spans="1:28" hidden="1" x14ac:dyDescent="0.3">
      <c r="A147" s="66"/>
      <c r="B147" s="82" t="s">
        <v>180</v>
      </c>
      <c r="D147" s="90">
        <f>IF(4&gt;D74,0,-1/((0.184*ABS(SUM(D81:D86))^3-0.525*(SUM(D81:D86))^2+1.038*ABS(SUM(D81:D86))+1.001)))</f>
        <v>0</v>
      </c>
      <c r="E147" s="82"/>
      <c r="F147" s="76"/>
      <c r="G147" s="14"/>
      <c r="H147" s="14"/>
      <c r="I147" s="14"/>
      <c r="J147" s="14"/>
      <c r="K147" s="14"/>
      <c r="L147" s="14"/>
      <c r="M147" s="14"/>
      <c r="N147" s="14"/>
      <c r="O147" s="14"/>
      <c r="P147" s="14"/>
      <c r="Q147" s="14"/>
      <c r="R147" s="14"/>
      <c r="S147" s="14"/>
      <c r="T147" s="14"/>
      <c r="U147" s="14"/>
      <c r="V147" s="14"/>
      <c r="W147" s="14"/>
      <c r="X147" s="14"/>
      <c r="Y147" s="14"/>
      <c r="Z147" s="14"/>
      <c r="AA147" s="14"/>
      <c r="AB147" s="14"/>
    </row>
    <row r="148" spans="1:28" hidden="1" x14ac:dyDescent="0.3">
      <c r="A148" s="66"/>
      <c r="B148" s="82" t="s">
        <v>181</v>
      </c>
      <c r="D148" s="90">
        <f>IF(5&gt;D74,0,-1/((0.184*ABS(SUM(D81:D87))^3-0.525*(SUM(D81:D87))^2+1.038*ABS(SUM(D81:D87))+1.001)))</f>
        <v>0</v>
      </c>
      <c r="E148" s="82"/>
      <c r="F148" s="76"/>
      <c r="G148" s="14"/>
      <c r="H148" s="14"/>
      <c r="I148" s="14"/>
      <c r="J148" s="14"/>
      <c r="K148" s="14"/>
      <c r="L148" s="14"/>
      <c r="M148" s="14"/>
      <c r="N148" s="14"/>
      <c r="O148" s="14"/>
      <c r="P148" s="14"/>
      <c r="Q148" s="14"/>
      <c r="R148" s="14"/>
      <c r="S148" s="14"/>
      <c r="T148" s="14"/>
      <c r="U148" s="14"/>
      <c r="V148" s="14"/>
      <c r="W148" s="14"/>
      <c r="X148" s="14"/>
      <c r="Y148" s="14"/>
      <c r="Z148" s="14"/>
      <c r="AA148" s="14"/>
      <c r="AB148" s="14"/>
    </row>
    <row r="149" spans="1:28" hidden="1" x14ac:dyDescent="0.3">
      <c r="A149" s="66"/>
      <c r="B149" s="82" t="s">
        <v>182</v>
      </c>
      <c r="D149" s="90">
        <f>IF(6&gt;D74,0,-1/((0.184*ABS(SUM(D81:D88))^3-0.525*(SUM(D81:D88))^2+1.038*ABS(SUM(D81:D88))+1.001)))</f>
        <v>0</v>
      </c>
      <c r="E149" s="82"/>
      <c r="F149" s="76"/>
      <c r="G149" s="14"/>
      <c r="H149" s="14"/>
      <c r="I149" s="14"/>
      <c r="J149" s="14"/>
      <c r="K149" s="14"/>
      <c r="L149" s="14"/>
      <c r="M149" s="14"/>
      <c r="N149" s="14"/>
      <c r="O149" s="14"/>
      <c r="P149" s="14"/>
      <c r="Q149" s="14"/>
      <c r="R149" s="14"/>
      <c r="S149" s="14"/>
      <c r="T149" s="14"/>
      <c r="U149" s="14"/>
      <c r="V149" s="14"/>
      <c r="W149" s="14"/>
      <c r="X149" s="14"/>
      <c r="Y149" s="14"/>
      <c r="Z149" s="14"/>
      <c r="AA149" s="14"/>
      <c r="AB149" s="14"/>
    </row>
    <row r="150" spans="1:28" hidden="1" x14ac:dyDescent="0.3">
      <c r="A150" s="66"/>
      <c r="B150" s="82" t="s">
        <v>183</v>
      </c>
      <c r="D150" s="90">
        <f>IF(7&gt;D74,0,-1/((0.184*ABS(SUM(D81:D89))^3-0.525*(SUM(D81:D89))^2+1.038*ABS(SUM(D81:D89))+1.001)))</f>
        <v>0</v>
      </c>
      <c r="E150" s="82"/>
      <c r="F150" s="76"/>
      <c r="G150" s="14"/>
      <c r="H150" s="14"/>
      <c r="I150" s="14"/>
      <c r="J150" s="14"/>
      <c r="K150" s="14"/>
      <c r="L150" s="14"/>
      <c r="M150" s="14"/>
      <c r="N150" s="14"/>
      <c r="O150" s="14"/>
      <c r="P150" s="14"/>
      <c r="Q150" s="14"/>
      <c r="R150" s="14"/>
      <c r="S150" s="14"/>
      <c r="T150" s="14"/>
      <c r="U150" s="14"/>
      <c r="V150" s="14"/>
      <c r="W150" s="14"/>
      <c r="X150" s="14"/>
      <c r="Y150" s="14"/>
      <c r="Z150" s="14"/>
      <c r="AA150" s="14"/>
      <c r="AB150" s="14"/>
    </row>
    <row r="151" spans="1:28" hidden="1" x14ac:dyDescent="0.3">
      <c r="A151" s="66"/>
      <c r="B151" s="82" t="s">
        <v>184</v>
      </c>
      <c r="D151" s="90">
        <f>IF(8&gt;D74,0,-1/((0.184*ABS(SUM(D81:D90))^3-0.525*(SUM(D81:D90))^2+1.038*ABS(SUM(D81:D90))+1.001)))</f>
        <v>0</v>
      </c>
      <c r="E151" s="82"/>
      <c r="F151" s="76"/>
      <c r="G151" s="14"/>
      <c r="H151" s="14"/>
      <c r="I151" s="14"/>
      <c r="J151" s="14"/>
      <c r="K151" s="14"/>
      <c r="L151" s="14"/>
      <c r="M151" s="14"/>
      <c r="N151" s="14"/>
      <c r="O151" s="14"/>
      <c r="P151" s="14"/>
      <c r="Q151" s="14"/>
      <c r="R151" s="14"/>
      <c r="S151" s="14"/>
      <c r="T151" s="14"/>
      <c r="U151" s="14"/>
      <c r="V151" s="14"/>
      <c r="W151" s="14"/>
      <c r="X151" s="14"/>
      <c r="Y151" s="14"/>
      <c r="Z151" s="14"/>
      <c r="AA151" s="14"/>
      <c r="AB151" s="14"/>
    </row>
    <row r="152" spans="1:28" hidden="1" x14ac:dyDescent="0.3">
      <c r="A152" s="66"/>
      <c r="B152" s="82" t="s">
        <v>185</v>
      </c>
      <c r="D152" s="90">
        <f>IF(4&gt;D74,0,-1/((0.184*ABS(SUM(D80:D83))^3-0.525*(SUM(D80:D83))^2+1.038*ABS(SUM(D80:D83))+1.001)))</f>
        <v>0</v>
      </c>
      <c r="E152" s="82"/>
      <c r="F152" s="76"/>
      <c r="G152" s="14"/>
      <c r="H152" s="14"/>
      <c r="I152" s="14"/>
      <c r="J152" s="14"/>
      <c r="K152" s="14"/>
      <c r="L152" s="14"/>
      <c r="M152" s="14"/>
      <c r="N152" s="14"/>
      <c r="O152" s="14"/>
      <c r="P152" s="14"/>
      <c r="Q152" s="14"/>
      <c r="R152" s="14"/>
      <c r="S152" s="14"/>
      <c r="T152" s="14"/>
      <c r="U152" s="14"/>
      <c r="V152" s="14"/>
      <c r="W152" s="14"/>
      <c r="X152" s="14"/>
      <c r="Y152" s="14"/>
      <c r="Z152" s="14"/>
      <c r="AA152" s="14"/>
      <c r="AB152" s="14"/>
    </row>
    <row r="153" spans="1:28" hidden="1" x14ac:dyDescent="0.3">
      <c r="A153" s="66"/>
      <c r="B153" s="82" t="s">
        <v>186</v>
      </c>
      <c r="D153" s="90">
        <f>IF(4&gt;D74,0,-1/((0.184*ABS(SUM(D80:D84))^3-0.525*(SUM(D80:D84))^2+1.038*ABS(SUM(D80:D84))+1.001)))</f>
        <v>0</v>
      </c>
      <c r="E153" s="82"/>
      <c r="F153" s="76"/>
      <c r="G153" s="14"/>
      <c r="H153" s="14"/>
      <c r="I153" s="14"/>
      <c r="J153" s="14"/>
      <c r="K153" s="14"/>
      <c r="L153" s="14"/>
      <c r="M153" s="14"/>
      <c r="N153" s="14"/>
      <c r="O153" s="14"/>
      <c r="P153" s="14"/>
      <c r="Q153" s="14"/>
      <c r="R153" s="14"/>
      <c r="S153" s="14"/>
      <c r="T153" s="14"/>
      <c r="U153" s="14"/>
      <c r="V153" s="14"/>
      <c r="W153" s="14"/>
      <c r="X153" s="14"/>
      <c r="Y153" s="14"/>
      <c r="Z153" s="14"/>
      <c r="AA153" s="14"/>
      <c r="AB153" s="14"/>
    </row>
    <row r="154" spans="1:28" hidden="1" x14ac:dyDescent="0.3">
      <c r="A154" s="66"/>
      <c r="B154" s="82" t="s">
        <v>187</v>
      </c>
      <c r="D154" s="90">
        <f>IF(4&gt;D74,0,-1/((0.184*ABS(SUM(D80:D85))^3-0.525*(SUM(D80:D85))^2+1.038*ABS(SUM(D80:D85))+1.001)))</f>
        <v>0</v>
      </c>
      <c r="E154" s="82"/>
      <c r="F154" s="76"/>
      <c r="G154" s="14"/>
      <c r="H154" s="14"/>
      <c r="I154" s="14"/>
      <c r="J154" s="14"/>
      <c r="K154" s="14"/>
      <c r="L154" s="14"/>
      <c r="M154" s="14"/>
      <c r="N154" s="14"/>
      <c r="O154" s="14"/>
      <c r="P154" s="14"/>
      <c r="Q154" s="14"/>
      <c r="R154" s="14"/>
      <c r="S154" s="14"/>
      <c r="T154" s="14"/>
      <c r="U154" s="14"/>
      <c r="V154" s="14"/>
      <c r="W154" s="14"/>
      <c r="X154" s="14"/>
      <c r="Y154" s="14"/>
      <c r="Z154" s="14"/>
      <c r="AA154" s="14"/>
      <c r="AB154" s="14"/>
    </row>
    <row r="155" spans="1:28" hidden="1" x14ac:dyDescent="0.3">
      <c r="A155" s="66"/>
      <c r="B155" s="82" t="s">
        <v>188</v>
      </c>
      <c r="D155" s="90">
        <f>IF(4&gt;D74,0,-1/((0.184*ABS(SUM(D80:D86))^3-0.525*(SUM(D80:D86))^2+1.038*ABS(SUM(D80:D86))+1.001)))</f>
        <v>0</v>
      </c>
      <c r="E155" s="82"/>
      <c r="F155" s="76"/>
      <c r="G155" s="14"/>
      <c r="H155" s="14"/>
      <c r="I155" s="14"/>
      <c r="J155" s="14"/>
      <c r="K155" s="14"/>
      <c r="L155" s="14"/>
      <c r="M155" s="14"/>
      <c r="N155" s="14"/>
      <c r="O155" s="14"/>
      <c r="P155" s="14"/>
      <c r="Q155" s="14"/>
      <c r="R155" s="14"/>
      <c r="S155" s="14"/>
      <c r="T155" s="14"/>
      <c r="U155" s="14"/>
      <c r="V155" s="14"/>
      <c r="W155" s="14"/>
      <c r="X155" s="14"/>
      <c r="Y155" s="14"/>
      <c r="Z155" s="14"/>
      <c r="AA155" s="14"/>
      <c r="AB155" s="14"/>
    </row>
    <row r="156" spans="1:28" hidden="1" x14ac:dyDescent="0.3">
      <c r="A156" s="66"/>
      <c r="B156" s="82" t="s">
        <v>189</v>
      </c>
      <c r="D156" s="90">
        <f>IF(5&gt;D74,0,-1/((0.184*ABS(SUM(D80:D87))^3-0.525*(SUM(D80:D87))^2+1.038*ABS(SUM(D80:D87))+1.001)))</f>
        <v>0</v>
      </c>
      <c r="E156" s="82"/>
      <c r="F156" s="76"/>
      <c r="G156" s="14"/>
      <c r="H156" s="14"/>
      <c r="I156" s="14"/>
      <c r="J156" s="14"/>
      <c r="K156" s="14"/>
      <c r="L156" s="14"/>
      <c r="M156" s="14"/>
      <c r="N156" s="14"/>
      <c r="O156" s="14"/>
      <c r="P156" s="14"/>
      <c r="Q156" s="14"/>
      <c r="R156" s="14"/>
      <c r="S156" s="14"/>
      <c r="T156" s="14"/>
      <c r="U156" s="14"/>
      <c r="V156" s="14"/>
      <c r="W156" s="14"/>
      <c r="X156" s="14"/>
      <c r="Y156" s="14"/>
      <c r="Z156" s="14"/>
      <c r="AA156" s="14"/>
      <c r="AB156" s="14"/>
    </row>
    <row r="157" spans="1:28" hidden="1" x14ac:dyDescent="0.3">
      <c r="A157" s="66"/>
      <c r="B157" s="82" t="s">
        <v>190</v>
      </c>
      <c r="D157" s="90">
        <f>IF(6&gt;D74,0,-1/((0.184*ABS(SUM(D80:D88))^3-0.525*(SUM(D80:D88))^2+1.038*ABS(SUM(D80:D88))+1.001)))</f>
        <v>0</v>
      </c>
      <c r="E157" s="82"/>
      <c r="F157" s="76"/>
      <c r="G157" s="14"/>
      <c r="H157" s="14"/>
      <c r="I157" s="14"/>
      <c r="J157" s="14"/>
      <c r="K157" s="14"/>
      <c r="L157" s="14"/>
      <c r="M157" s="14"/>
      <c r="N157" s="14"/>
      <c r="O157" s="14"/>
      <c r="P157" s="14"/>
      <c r="Q157" s="14"/>
      <c r="R157" s="14"/>
      <c r="S157" s="14"/>
      <c r="T157" s="14"/>
      <c r="U157" s="14"/>
      <c r="V157" s="14"/>
      <c r="W157" s="14"/>
      <c r="X157" s="14"/>
      <c r="Y157" s="14"/>
      <c r="Z157" s="14"/>
      <c r="AA157" s="14"/>
      <c r="AB157" s="14"/>
    </row>
    <row r="158" spans="1:28" hidden="1" x14ac:dyDescent="0.3">
      <c r="A158" s="66"/>
      <c r="B158" s="82" t="s">
        <v>191</v>
      </c>
      <c r="D158" s="90">
        <f>IF(7&gt;D74,0,-1/((0.184*ABS(SUM(D80:D89))^3-0.525*(SUM(D80:D89))^2+1.038*ABS(SUM(D80:D89))+1.001)))</f>
        <v>0</v>
      </c>
      <c r="E158" s="82"/>
      <c r="F158" s="76"/>
      <c r="G158" s="14"/>
      <c r="H158" s="14"/>
      <c r="I158" s="14"/>
      <c r="J158" s="14"/>
      <c r="K158" s="14"/>
      <c r="L158" s="14"/>
      <c r="M158" s="14"/>
      <c r="N158" s="14"/>
      <c r="O158" s="14"/>
      <c r="P158" s="14"/>
      <c r="Q158" s="14"/>
      <c r="R158" s="14"/>
      <c r="S158" s="14"/>
      <c r="T158" s="14"/>
      <c r="U158" s="14"/>
      <c r="V158" s="14"/>
      <c r="W158" s="14"/>
      <c r="X158" s="14"/>
      <c r="Y158" s="14"/>
      <c r="Z158" s="14"/>
      <c r="AA158" s="14"/>
      <c r="AB158" s="14"/>
    </row>
    <row r="159" spans="1:28" hidden="1" x14ac:dyDescent="0.3">
      <c r="A159" s="66"/>
      <c r="B159" s="82" t="s">
        <v>192</v>
      </c>
      <c r="D159" s="90">
        <f>IF(8&gt;D74,0,-1/((0.184*ABS(SUM(D80:D90))^3-0.525*(SUM(D80:D90))^2+1.038*ABS(SUM(D80:D90))+1.001)))</f>
        <v>0</v>
      </c>
      <c r="E159" s="82"/>
      <c r="F159" s="76"/>
      <c r="G159" s="14"/>
      <c r="H159" s="14"/>
      <c r="I159" s="14"/>
      <c r="J159" s="14"/>
      <c r="K159" s="14"/>
      <c r="L159" s="14"/>
      <c r="M159" s="14"/>
      <c r="N159" s="14"/>
      <c r="O159" s="14"/>
      <c r="P159" s="14"/>
      <c r="Q159" s="14"/>
      <c r="R159" s="14"/>
      <c r="S159" s="14"/>
      <c r="T159" s="14"/>
      <c r="U159" s="14"/>
      <c r="V159" s="14"/>
      <c r="W159" s="14"/>
      <c r="X159" s="14"/>
      <c r="Y159" s="14"/>
      <c r="Z159" s="14"/>
      <c r="AA159" s="14"/>
      <c r="AB159" s="14"/>
    </row>
    <row r="160" spans="1:28" hidden="1" x14ac:dyDescent="0.3">
      <c r="A160" s="66"/>
      <c r="B160" s="82" t="s">
        <v>193</v>
      </c>
      <c r="D160" s="90">
        <f>IF(5&gt;D74,0,-1/((0.184*ABS(SUM(D79:D83))^3-0.525*(SUM(D79:D83))^2+1.038*ABS(SUM(D79:D83))+1.001)))</f>
        <v>0</v>
      </c>
      <c r="E160" s="82"/>
      <c r="F160" s="76"/>
      <c r="G160" s="14"/>
      <c r="H160" s="14"/>
      <c r="I160" s="14"/>
      <c r="J160" s="14"/>
      <c r="K160" s="14"/>
      <c r="L160" s="14"/>
      <c r="M160" s="14"/>
      <c r="N160" s="14"/>
      <c r="O160" s="14"/>
      <c r="P160" s="14"/>
      <c r="Q160" s="14"/>
      <c r="R160" s="14"/>
      <c r="S160" s="14"/>
      <c r="T160" s="14"/>
      <c r="U160" s="14"/>
      <c r="V160" s="14"/>
      <c r="W160" s="14"/>
      <c r="X160" s="14"/>
      <c r="Y160" s="14"/>
      <c r="Z160" s="14"/>
      <c r="AA160" s="14"/>
      <c r="AB160" s="14"/>
    </row>
    <row r="161" spans="1:28" hidden="1" x14ac:dyDescent="0.3">
      <c r="A161" s="66"/>
      <c r="B161" s="82" t="s">
        <v>194</v>
      </c>
      <c r="D161" s="90">
        <f>IF(5&gt;D74,0,-1/((0.184*ABS(SUM(D79:D84))^3-0.525*(SUM(D79:D84))^2+1.038*ABS(SUM(D79:D84))+1.001)))</f>
        <v>0</v>
      </c>
      <c r="E161" s="82"/>
      <c r="F161" s="76"/>
      <c r="G161" s="14"/>
      <c r="H161" s="14"/>
      <c r="I161" s="14"/>
      <c r="J161" s="14"/>
      <c r="K161" s="14"/>
      <c r="L161" s="14"/>
      <c r="M161" s="14"/>
      <c r="N161" s="14"/>
      <c r="O161" s="14"/>
      <c r="P161" s="14"/>
      <c r="Q161" s="14"/>
      <c r="R161" s="14"/>
      <c r="S161" s="14"/>
      <c r="T161" s="14"/>
      <c r="U161" s="14"/>
      <c r="V161" s="14"/>
      <c r="W161" s="14"/>
      <c r="X161" s="14"/>
      <c r="Y161" s="14"/>
      <c r="Z161" s="14"/>
      <c r="AA161" s="14"/>
      <c r="AB161" s="14"/>
    </row>
    <row r="162" spans="1:28" hidden="1" x14ac:dyDescent="0.3">
      <c r="A162" s="66"/>
      <c r="B162" s="82" t="s">
        <v>195</v>
      </c>
      <c r="D162" s="90">
        <f>IF(5&gt;D74,0,-1/((0.184*ABS(SUM(D79:D85))^3-0.525*(SUM(D79:D85))^2+1.038*ABS(SUM(D79:D85))+1.001)))</f>
        <v>0</v>
      </c>
      <c r="E162" s="82"/>
      <c r="F162" s="76"/>
      <c r="G162" s="14"/>
      <c r="H162" s="14"/>
      <c r="I162" s="14"/>
      <c r="J162" s="14"/>
      <c r="K162" s="14"/>
      <c r="L162" s="14"/>
      <c r="M162" s="14"/>
      <c r="N162" s="14"/>
      <c r="O162" s="14"/>
      <c r="P162" s="14"/>
      <c r="Q162" s="14"/>
      <c r="R162" s="14"/>
      <c r="S162" s="14"/>
      <c r="T162" s="14"/>
      <c r="U162" s="14"/>
      <c r="V162" s="14"/>
      <c r="W162" s="14"/>
      <c r="X162" s="14"/>
      <c r="Y162" s="14"/>
      <c r="Z162" s="14"/>
      <c r="AA162" s="14"/>
      <c r="AB162" s="14"/>
    </row>
    <row r="163" spans="1:28" hidden="1" x14ac:dyDescent="0.3">
      <c r="A163" s="66"/>
      <c r="B163" s="82" t="s">
        <v>196</v>
      </c>
      <c r="D163" s="93">
        <f>IF(5&gt;D74,0,-1/((0.184*ABS(SUM(D79:D86))^3-0.525*(SUM(D79:D86))^2+1.038*ABS(SUM(D79:D86))+1.001)))</f>
        <v>0</v>
      </c>
      <c r="E163" s="82"/>
      <c r="F163" s="76"/>
      <c r="G163" s="14"/>
      <c r="H163" s="14"/>
      <c r="I163" s="14"/>
      <c r="J163" s="14"/>
      <c r="K163" s="14"/>
      <c r="L163" s="14"/>
      <c r="M163" s="14"/>
      <c r="N163" s="14"/>
      <c r="O163" s="14"/>
      <c r="P163" s="14"/>
      <c r="Q163" s="14"/>
      <c r="R163" s="14"/>
      <c r="S163" s="14"/>
      <c r="T163" s="14"/>
      <c r="U163" s="14"/>
      <c r="V163" s="14"/>
      <c r="W163" s="14"/>
      <c r="X163" s="14"/>
      <c r="Y163" s="14"/>
      <c r="Z163" s="14"/>
      <c r="AA163" s="14"/>
      <c r="AB163" s="14"/>
    </row>
    <row r="164" spans="1:28" hidden="1" x14ac:dyDescent="0.3">
      <c r="A164" s="66"/>
      <c r="B164" s="82" t="s">
        <v>197</v>
      </c>
      <c r="D164" s="93">
        <f>IF(5&gt;D74,0,-1/((0.184*ABS(SUM(D79:D87))^3-0.525*(SUM(D79:D87))^2+1.038*ABS(SUM(D79:D87))+1.001)))</f>
        <v>0</v>
      </c>
      <c r="E164" s="82"/>
      <c r="F164" s="76"/>
      <c r="G164" s="14"/>
      <c r="H164" s="14"/>
      <c r="I164" s="14"/>
      <c r="J164" s="14"/>
      <c r="K164" s="14"/>
      <c r="L164" s="14"/>
      <c r="M164" s="14"/>
      <c r="N164" s="14"/>
      <c r="O164" s="14"/>
      <c r="P164" s="14"/>
      <c r="Q164" s="14"/>
      <c r="R164" s="14"/>
      <c r="S164" s="14"/>
      <c r="T164" s="14"/>
      <c r="U164" s="14"/>
      <c r="V164" s="14"/>
      <c r="W164" s="14"/>
      <c r="X164" s="14"/>
      <c r="Y164" s="14"/>
      <c r="Z164" s="14"/>
      <c r="AA164" s="14"/>
      <c r="AB164" s="14"/>
    </row>
    <row r="165" spans="1:28" hidden="1" x14ac:dyDescent="0.3">
      <c r="A165" s="66"/>
      <c r="B165" s="82" t="s">
        <v>198</v>
      </c>
      <c r="D165" s="93">
        <f>IF(6&gt;D74,0,-1/((0.184*ABS(SUM(D79:D88))^3-0.525*(SUM(D79:D88))^2+1.038*ABS(SUM(D79:D88))+1.001)))</f>
        <v>0</v>
      </c>
      <c r="E165" s="82"/>
      <c r="F165" s="76"/>
      <c r="G165" s="14"/>
      <c r="H165" s="14"/>
      <c r="I165" s="14"/>
      <c r="J165" s="14"/>
      <c r="K165" s="14"/>
      <c r="L165" s="14"/>
      <c r="M165" s="14"/>
      <c r="N165" s="14"/>
      <c r="O165" s="14"/>
      <c r="P165" s="14"/>
      <c r="Q165" s="14"/>
      <c r="R165" s="14"/>
      <c r="S165" s="14"/>
      <c r="T165" s="14"/>
      <c r="U165" s="14"/>
      <c r="V165" s="14"/>
      <c r="W165" s="14"/>
      <c r="X165" s="14"/>
      <c r="Y165" s="14"/>
      <c r="Z165" s="14"/>
      <c r="AA165" s="14"/>
      <c r="AB165" s="14"/>
    </row>
    <row r="166" spans="1:28" hidden="1" x14ac:dyDescent="0.3">
      <c r="A166" s="66"/>
      <c r="B166" s="82" t="s">
        <v>199</v>
      </c>
      <c r="D166" s="93">
        <f>IF(7&gt;D74,0,-1/((0.184*ABS(SUM(D79:D89))^3-0.525*(SUM(D79:D89))^2+1.038*ABS(SUM(D79:D89))+1.001)))</f>
        <v>0</v>
      </c>
      <c r="E166" s="82"/>
      <c r="F166" s="76"/>
      <c r="G166" s="14"/>
      <c r="H166" s="14"/>
      <c r="I166" s="14"/>
      <c r="J166" s="14"/>
      <c r="K166" s="14"/>
      <c r="L166" s="14"/>
      <c r="M166" s="14"/>
      <c r="N166" s="14"/>
      <c r="O166" s="14"/>
      <c r="P166" s="14"/>
      <c r="Q166" s="14"/>
      <c r="R166" s="14"/>
      <c r="S166" s="14"/>
      <c r="T166" s="14"/>
      <c r="U166" s="14"/>
      <c r="V166" s="14"/>
      <c r="W166" s="14"/>
      <c r="X166" s="14"/>
      <c r="Y166" s="14"/>
      <c r="Z166" s="14"/>
      <c r="AA166" s="14"/>
      <c r="AB166" s="14"/>
    </row>
    <row r="167" spans="1:28" hidden="1" x14ac:dyDescent="0.3">
      <c r="A167" s="66"/>
      <c r="B167" s="82" t="s">
        <v>200</v>
      </c>
      <c r="D167" s="93">
        <f>IF(8&gt;D74,0,-1/((0.184*ABS(SUM(D79:D90))^3-0.525*(SUM(D79:D90))^2+1.038*ABS(SUM(D79:D90))+1.001)))</f>
        <v>0</v>
      </c>
      <c r="E167" s="82"/>
      <c r="F167" s="76"/>
      <c r="G167" s="14"/>
      <c r="H167" s="14"/>
      <c r="I167" s="14"/>
      <c r="J167" s="14"/>
      <c r="K167" s="14"/>
      <c r="L167" s="14"/>
      <c r="M167" s="14"/>
      <c r="N167" s="14"/>
      <c r="O167" s="14"/>
      <c r="P167" s="14"/>
      <c r="Q167" s="14"/>
      <c r="R167" s="14"/>
      <c r="S167" s="14"/>
      <c r="T167" s="14"/>
      <c r="U167" s="14"/>
      <c r="V167" s="14"/>
      <c r="W167" s="14"/>
      <c r="X167" s="14"/>
      <c r="Y167" s="14"/>
      <c r="Z167" s="14"/>
      <c r="AA167" s="14"/>
      <c r="AB167" s="14"/>
    </row>
    <row r="168" spans="1:28" hidden="1" x14ac:dyDescent="0.3">
      <c r="A168" s="66"/>
      <c r="B168" s="82" t="s">
        <v>201</v>
      </c>
      <c r="D168" s="93">
        <f>IF(6&gt;D74,0,-1/((0.184*ABS(SUM(D78:D83))^3-0.525*(SUM(D78:D83))^2+1.038*ABS(SUM(D78:D83))+1.001)))</f>
        <v>0</v>
      </c>
      <c r="E168" s="82"/>
      <c r="F168" s="76"/>
      <c r="G168" s="14"/>
      <c r="H168" s="14"/>
      <c r="I168" s="14"/>
      <c r="J168" s="14"/>
      <c r="K168" s="14"/>
      <c r="L168" s="14"/>
      <c r="M168" s="14"/>
      <c r="N168" s="14"/>
      <c r="O168" s="14"/>
      <c r="P168" s="14"/>
      <c r="Q168" s="14"/>
      <c r="R168" s="14"/>
      <c r="S168" s="14"/>
      <c r="T168" s="14"/>
      <c r="U168" s="14"/>
      <c r="V168" s="14"/>
      <c r="W168" s="14"/>
      <c r="X168" s="14"/>
      <c r="Y168" s="14"/>
      <c r="Z168" s="14"/>
      <c r="AA168" s="14"/>
      <c r="AB168" s="14"/>
    </row>
    <row r="169" spans="1:28" hidden="1" x14ac:dyDescent="0.3">
      <c r="A169" s="66"/>
      <c r="B169" s="82" t="s">
        <v>202</v>
      </c>
      <c r="D169" s="93">
        <f>IF(6&gt;D74,0,-1/((0.184*ABS(SUM(D78:D84))^3-0.525*(SUM(D78:D84))^2+1.038*ABS(SUM(D78:D84))+1.001)))</f>
        <v>0</v>
      </c>
      <c r="E169" s="82"/>
      <c r="F169" s="76"/>
      <c r="G169" s="14"/>
      <c r="H169" s="14"/>
      <c r="I169" s="14"/>
      <c r="J169" s="14"/>
      <c r="K169" s="14"/>
      <c r="L169" s="14"/>
      <c r="M169" s="14"/>
      <c r="N169" s="14"/>
      <c r="O169" s="14"/>
      <c r="P169" s="14"/>
      <c r="Q169" s="14"/>
      <c r="R169" s="14"/>
      <c r="S169" s="14"/>
      <c r="T169" s="14"/>
      <c r="U169" s="14"/>
      <c r="V169" s="14"/>
      <c r="W169" s="14"/>
      <c r="X169" s="14"/>
      <c r="Y169" s="14"/>
      <c r="Z169" s="14"/>
      <c r="AA169" s="14"/>
      <c r="AB169" s="14"/>
    </row>
    <row r="170" spans="1:28" hidden="1" x14ac:dyDescent="0.3">
      <c r="A170" s="66"/>
      <c r="B170" s="82" t="s">
        <v>203</v>
      </c>
      <c r="D170" s="93">
        <f>IF(6&gt;D74,0,-1/((0.184*ABS(SUM(D78:D85))^3-0.525*(SUM(D78:D85))^2+1.038*ABS(SUM(D78:D85))+1.001)))</f>
        <v>0</v>
      </c>
      <c r="E170" s="82"/>
      <c r="F170" s="76"/>
      <c r="G170" s="14"/>
      <c r="H170" s="14"/>
      <c r="I170" s="14"/>
      <c r="J170" s="14"/>
      <c r="K170" s="14"/>
      <c r="L170" s="14"/>
      <c r="M170" s="14"/>
      <c r="N170" s="14"/>
      <c r="O170" s="14"/>
      <c r="P170" s="14"/>
      <c r="Q170" s="14"/>
      <c r="R170" s="14"/>
      <c r="S170" s="14"/>
      <c r="T170" s="14"/>
      <c r="U170" s="14"/>
      <c r="V170" s="14"/>
      <c r="W170" s="14"/>
      <c r="X170" s="14"/>
      <c r="Y170" s="14"/>
      <c r="Z170" s="14"/>
      <c r="AA170" s="14"/>
      <c r="AB170" s="14"/>
    </row>
    <row r="171" spans="1:28" hidden="1" x14ac:dyDescent="0.3">
      <c r="A171" s="66"/>
      <c r="B171" s="82" t="s">
        <v>204</v>
      </c>
      <c r="D171" s="93">
        <f>IF(6&gt;D74,0,-1/((0.184*ABS(SUM(D78:D86))^3-0.525*(SUM(D78:D86))^2+1.038*ABS(SUM(D78:D86))+1.001)))</f>
        <v>0</v>
      </c>
      <c r="E171" s="82"/>
      <c r="F171" s="76"/>
      <c r="G171" s="14"/>
      <c r="H171" s="14"/>
      <c r="I171" s="14"/>
      <c r="J171" s="14"/>
      <c r="K171" s="14"/>
      <c r="L171" s="14"/>
      <c r="M171" s="14"/>
      <c r="N171" s="14"/>
      <c r="O171" s="14"/>
      <c r="P171" s="14"/>
      <c r="Q171" s="14"/>
      <c r="R171" s="14"/>
      <c r="S171" s="14"/>
      <c r="T171" s="14"/>
      <c r="U171" s="14"/>
      <c r="V171" s="14"/>
      <c r="W171" s="14"/>
      <c r="X171" s="14"/>
      <c r="Y171" s="14"/>
      <c r="Z171" s="14"/>
      <c r="AA171" s="14"/>
      <c r="AB171" s="14"/>
    </row>
    <row r="172" spans="1:28" hidden="1" x14ac:dyDescent="0.3">
      <c r="A172" s="66"/>
      <c r="B172" s="82" t="s">
        <v>205</v>
      </c>
      <c r="D172" s="93">
        <f>IF(6&gt;D74,0,-1/((0.184*ABS(SUM(D78:D87))^3-0.525*(SUM(D78:D87))^2+1.038*ABS(SUM(D78:D87))+1.001)))</f>
        <v>0</v>
      </c>
      <c r="E172" s="82"/>
      <c r="F172" s="76"/>
      <c r="G172" s="14"/>
      <c r="H172" s="14"/>
      <c r="I172" s="14"/>
      <c r="J172" s="14"/>
      <c r="K172" s="14"/>
      <c r="L172" s="14"/>
      <c r="M172" s="14"/>
      <c r="N172" s="14"/>
      <c r="O172" s="14"/>
      <c r="P172" s="14"/>
      <c r="Q172" s="14"/>
      <c r="R172" s="14"/>
      <c r="S172" s="14"/>
      <c r="T172" s="14"/>
      <c r="U172" s="14"/>
      <c r="V172" s="14"/>
      <c r="W172" s="14"/>
      <c r="X172" s="14"/>
      <c r="Y172" s="14"/>
      <c r="Z172" s="14"/>
      <c r="AA172" s="14"/>
      <c r="AB172" s="14"/>
    </row>
    <row r="173" spans="1:28" hidden="1" x14ac:dyDescent="0.3">
      <c r="A173" s="66"/>
      <c r="B173" s="82" t="s">
        <v>206</v>
      </c>
      <c r="D173" s="93">
        <f>IF(6&gt;D74,0,-1/((0.184*ABS(SUM(D78:D88))^3-0.525*(SUM(D78:D88))^2+1.038*ABS(SUM(D78:D88))+1.001)))</f>
        <v>0</v>
      </c>
      <c r="E173" s="82"/>
      <c r="F173" s="76"/>
      <c r="G173" s="14"/>
      <c r="H173" s="14"/>
      <c r="I173" s="14"/>
      <c r="J173" s="14"/>
      <c r="K173" s="14"/>
      <c r="L173" s="14"/>
      <c r="M173" s="14"/>
      <c r="N173" s="14"/>
      <c r="O173" s="14"/>
      <c r="P173" s="14"/>
      <c r="Q173" s="14"/>
      <c r="R173" s="14"/>
      <c r="S173" s="14"/>
      <c r="T173" s="14"/>
      <c r="U173" s="14"/>
      <c r="V173" s="14"/>
      <c r="W173" s="14"/>
      <c r="X173" s="14"/>
      <c r="Y173" s="14"/>
      <c r="Z173" s="14"/>
      <c r="AA173" s="14"/>
      <c r="AB173" s="14"/>
    </row>
    <row r="174" spans="1:28" hidden="1" x14ac:dyDescent="0.3">
      <c r="A174" s="66"/>
      <c r="B174" s="82" t="s">
        <v>207</v>
      </c>
      <c r="D174" s="93">
        <f>IF(7&gt;D74,0,-1/((0.184*ABS(SUM(D78:D89))^3-0.525*(SUM(D78:D89))^2+1.038*ABS(SUM(D78:D89))+1.001)))</f>
        <v>0</v>
      </c>
      <c r="E174" s="82"/>
      <c r="F174" s="76"/>
      <c r="G174" s="14"/>
      <c r="H174" s="14"/>
      <c r="I174" s="14"/>
      <c r="J174" s="14"/>
      <c r="K174" s="14"/>
      <c r="L174" s="14"/>
      <c r="M174" s="14"/>
      <c r="N174" s="14"/>
      <c r="O174" s="14"/>
      <c r="P174" s="14"/>
      <c r="Q174" s="14"/>
      <c r="R174" s="14"/>
      <c r="S174" s="14"/>
      <c r="T174" s="14"/>
      <c r="U174" s="14"/>
      <c r="V174" s="14"/>
      <c r="W174" s="14"/>
      <c r="X174" s="14"/>
      <c r="Y174" s="14"/>
      <c r="Z174" s="14"/>
      <c r="AA174" s="14"/>
      <c r="AB174" s="14"/>
    </row>
    <row r="175" spans="1:28" hidden="1" x14ac:dyDescent="0.3">
      <c r="A175" s="66"/>
      <c r="B175" s="82" t="s">
        <v>208</v>
      </c>
      <c r="D175" s="93">
        <f>IF(8&gt;D74,0,-1/((0.184*ABS(SUM(D78:D90))^3-0.525*(SUM(D78:D90))^2+1.038*ABS(SUM(D78:D90))+1.001)))</f>
        <v>0</v>
      </c>
      <c r="E175" s="82"/>
      <c r="F175" s="76"/>
      <c r="G175" s="14"/>
      <c r="H175" s="14"/>
      <c r="I175" s="14"/>
      <c r="J175" s="14"/>
      <c r="K175" s="14"/>
      <c r="L175" s="14"/>
      <c r="M175" s="14"/>
      <c r="N175" s="14"/>
      <c r="O175" s="14"/>
      <c r="P175" s="14"/>
      <c r="Q175" s="14"/>
      <c r="R175" s="14"/>
      <c r="S175" s="14"/>
      <c r="T175" s="14"/>
      <c r="U175" s="14"/>
      <c r="V175" s="14"/>
      <c r="W175" s="14"/>
      <c r="X175" s="14"/>
      <c r="Y175" s="14"/>
      <c r="Z175" s="14"/>
      <c r="AA175" s="14"/>
      <c r="AB175" s="14"/>
    </row>
    <row r="176" spans="1:28" hidden="1" x14ac:dyDescent="0.3">
      <c r="A176" s="66"/>
      <c r="B176" s="82" t="s">
        <v>209</v>
      </c>
      <c r="D176" s="93">
        <f>IF(7&gt;D74,0,-1/((0.184*ABS(SUM(D77:D83))^3-0.525*(SUM(D77:D83))^2+1.038*ABS(SUM(D77:D83))+1.001)))</f>
        <v>0</v>
      </c>
      <c r="E176" s="82"/>
      <c r="F176" s="76"/>
      <c r="G176" s="14"/>
      <c r="H176" s="14"/>
      <c r="I176" s="14"/>
      <c r="J176" s="14"/>
      <c r="K176" s="14"/>
      <c r="L176" s="14"/>
      <c r="M176" s="14"/>
      <c r="N176" s="14"/>
      <c r="O176" s="14"/>
      <c r="P176" s="14"/>
      <c r="Q176" s="14"/>
      <c r="R176" s="14"/>
      <c r="S176" s="14"/>
      <c r="T176" s="14"/>
      <c r="U176" s="14"/>
      <c r="V176" s="14"/>
      <c r="W176" s="14"/>
      <c r="X176" s="14"/>
      <c r="Y176" s="14"/>
      <c r="Z176" s="14"/>
      <c r="AA176" s="14"/>
      <c r="AB176" s="14"/>
    </row>
    <row r="177" spans="1:28" hidden="1" x14ac:dyDescent="0.3">
      <c r="A177" s="66"/>
      <c r="B177" s="82" t="s">
        <v>210</v>
      </c>
      <c r="D177" s="93">
        <f>IF(7&gt;D74,0,-1/((0.184*ABS(SUM(D77:D84))^3-0.525*(SUM(D77:D84))^2+1.038*ABS(SUM(D77:D84))+1.001)))</f>
        <v>0</v>
      </c>
      <c r="E177" s="82"/>
      <c r="F177" s="76"/>
      <c r="G177" s="14"/>
      <c r="H177" s="14"/>
      <c r="I177" s="14"/>
      <c r="J177" s="14"/>
      <c r="K177" s="14"/>
      <c r="L177" s="14"/>
      <c r="M177" s="14"/>
      <c r="N177" s="14"/>
      <c r="O177" s="14"/>
      <c r="P177" s="14"/>
      <c r="Q177" s="14"/>
      <c r="R177" s="14"/>
      <c r="S177" s="14"/>
      <c r="T177" s="14"/>
      <c r="U177" s="14"/>
      <c r="V177" s="14"/>
      <c r="W177" s="14"/>
      <c r="X177" s="14"/>
      <c r="Y177" s="14"/>
      <c r="Z177" s="14"/>
      <c r="AA177" s="14"/>
      <c r="AB177" s="14"/>
    </row>
    <row r="178" spans="1:28" hidden="1" x14ac:dyDescent="0.3">
      <c r="A178" s="66"/>
      <c r="B178" s="82" t="s">
        <v>211</v>
      </c>
      <c r="D178" s="93">
        <f>IF(7&gt;D74,0,-1/((0.184*ABS(SUM(D77:D85))^3-0.525*(SUM(D77:D85))^2+1.038*ABS(SUM(D77:D85))+1.001)))</f>
        <v>0</v>
      </c>
      <c r="E178" s="82"/>
      <c r="F178" s="76"/>
      <c r="G178" s="14"/>
      <c r="H178" s="14"/>
      <c r="I178" s="14"/>
      <c r="J178" s="14"/>
      <c r="K178" s="14"/>
      <c r="L178" s="14"/>
      <c r="M178" s="14"/>
      <c r="N178" s="14"/>
      <c r="O178" s="14"/>
      <c r="P178" s="14"/>
      <c r="Q178" s="14"/>
      <c r="R178" s="14"/>
      <c r="S178" s="14"/>
      <c r="T178" s="14"/>
      <c r="U178" s="14"/>
      <c r="V178" s="14"/>
      <c r="W178" s="14"/>
      <c r="X178" s="14"/>
      <c r="Y178" s="14"/>
      <c r="Z178" s="14"/>
      <c r="AA178" s="14"/>
      <c r="AB178" s="14"/>
    </row>
    <row r="179" spans="1:28" hidden="1" x14ac:dyDescent="0.3">
      <c r="A179" s="66"/>
      <c r="B179" s="82" t="s">
        <v>212</v>
      </c>
      <c r="D179" s="93">
        <f>IF(7&gt;D74,0,-1/((0.184*ABS(SUM(D77:D86))^3-0.525*(SUM(D77:D86))^2+1.038*ABS(SUM(D77:D86))+1.001)))</f>
        <v>0</v>
      </c>
      <c r="E179" s="82"/>
      <c r="F179" s="76"/>
      <c r="G179" s="14"/>
      <c r="H179" s="14"/>
      <c r="I179" s="14"/>
      <c r="J179" s="14"/>
      <c r="K179" s="14"/>
      <c r="L179" s="14"/>
      <c r="M179" s="14"/>
      <c r="N179" s="14"/>
      <c r="O179" s="14"/>
      <c r="P179" s="14"/>
      <c r="Q179" s="14"/>
      <c r="R179" s="14"/>
      <c r="S179" s="14"/>
      <c r="T179" s="14"/>
      <c r="U179" s="14"/>
      <c r="V179" s="14"/>
      <c r="W179" s="14"/>
      <c r="X179" s="14"/>
      <c r="Y179" s="14"/>
      <c r="Z179" s="14"/>
      <c r="AA179" s="14"/>
      <c r="AB179" s="14"/>
    </row>
    <row r="180" spans="1:28" hidden="1" x14ac:dyDescent="0.3">
      <c r="A180" s="66"/>
      <c r="B180" s="82" t="s">
        <v>213</v>
      </c>
      <c r="D180" s="93">
        <f>IF(7&gt;D74,0,-1/((0.184*ABS(SUM(D77:D87))^3-0.525*(SUM(D77:D87))^2+1.038*ABS(SUM(D77:D87))+1.001)))</f>
        <v>0</v>
      </c>
      <c r="E180" s="82"/>
      <c r="F180" s="76"/>
      <c r="G180" s="14"/>
      <c r="H180" s="14"/>
      <c r="I180" s="14"/>
      <c r="J180" s="14"/>
      <c r="K180" s="14"/>
      <c r="L180" s="14"/>
      <c r="M180" s="14"/>
      <c r="N180" s="14"/>
      <c r="O180" s="14"/>
      <c r="P180" s="14"/>
      <c r="Q180" s="14"/>
      <c r="R180" s="14"/>
      <c r="S180" s="14"/>
      <c r="T180" s="14"/>
      <c r="U180" s="14"/>
      <c r="V180" s="14"/>
      <c r="W180" s="14"/>
      <c r="X180" s="14"/>
      <c r="Y180" s="14"/>
      <c r="Z180" s="14"/>
      <c r="AA180" s="14"/>
      <c r="AB180" s="14"/>
    </row>
    <row r="181" spans="1:28" hidden="1" x14ac:dyDescent="0.3">
      <c r="A181" s="66"/>
      <c r="B181" s="82" t="s">
        <v>214</v>
      </c>
      <c r="D181" s="93">
        <f>IF(7&gt;D74,0,-1/((0.184*ABS(SUM(D77:D88))^3-0.525*(SUM(D77:D88))^2+1.038*ABS(SUM(D77:D88))+1.001)))</f>
        <v>0</v>
      </c>
      <c r="E181" s="82"/>
      <c r="F181" s="76"/>
      <c r="G181" s="14"/>
      <c r="H181" s="14"/>
      <c r="I181" s="14"/>
      <c r="J181" s="14"/>
      <c r="K181" s="14"/>
      <c r="L181" s="14"/>
      <c r="M181" s="14"/>
      <c r="N181" s="14"/>
      <c r="O181" s="14"/>
      <c r="P181" s="14"/>
      <c r="Q181" s="14"/>
      <c r="R181" s="14"/>
      <c r="S181" s="14"/>
      <c r="T181" s="14"/>
      <c r="U181" s="14"/>
      <c r="V181" s="14"/>
      <c r="W181" s="14"/>
      <c r="X181" s="14"/>
      <c r="Y181" s="14"/>
      <c r="Z181" s="14"/>
      <c r="AA181" s="14"/>
      <c r="AB181" s="14"/>
    </row>
    <row r="182" spans="1:28" hidden="1" x14ac:dyDescent="0.3">
      <c r="A182" s="66"/>
      <c r="B182" s="82" t="s">
        <v>215</v>
      </c>
      <c r="D182" s="93">
        <f>IF(7&gt;D74,0,-1/((0.184*ABS(SUM(D77:D89))^3-0.525*(SUM(D77:D89))^2+1.038*ABS(SUM(D77:D89))+1.001)))</f>
        <v>0</v>
      </c>
      <c r="E182" s="82"/>
      <c r="F182" s="76"/>
      <c r="G182" s="14"/>
      <c r="H182" s="14"/>
      <c r="I182" s="14"/>
      <c r="J182" s="14"/>
      <c r="K182" s="14"/>
      <c r="L182" s="14"/>
      <c r="M182" s="14"/>
      <c r="N182" s="14"/>
      <c r="O182" s="14"/>
      <c r="P182" s="14"/>
      <c r="Q182" s="14"/>
      <c r="R182" s="14"/>
      <c r="S182" s="14"/>
      <c r="T182" s="14"/>
      <c r="U182" s="14"/>
      <c r="V182" s="14"/>
      <c r="W182" s="14"/>
      <c r="X182" s="14"/>
      <c r="Y182" s="14"/>
      <c r="Z182" s="14"/>
      <c r="AA182" s="14"/>
      <c r="AB182" s="14"/>
    </row>
    <row r="183" spans="1:28" hidden="1" x14ac:dyDescent="0.3">
      <c r="A183" s="66"/>
      <c r="B183" s="82" t="s">
        <v>216</v>
      </c>
      <c r="D183" s="93">
        <f>IF(8&gt;D74,0,-1/((0.184*ABS(SUM(D77:D90))^3-0.525*(SUM(D77:D90))^2+1.038*ABS(SUM(D77:D90))+1.001)))</f>
        <v>0</v>
      </c>
      <c r="E183" s="82"/>
      <c r="F183" s="76"/>
      <c r="G183" s="14"/>
      <c r="H183" s="14"/>
      <c r="I183" s="14"/>
      <c r="J183" s="14"/>
      <c r="K183" s="14"/>
      <c r="L183" s="14"/>
      <c r="M183" s="14"/>
      <c r="N183" s="14"/>
      <c r="O183" s="14"/>
      <c r="P183" s="14"/>
      <c r="Q183" s="14"/>
      <c r="R183" s="14"/>
      <c r="S183" s="14"/>
      <c r="T183" s="14"/>
      <c r="U183" s="14"/>
      <c r="V183" s="14"/>
      <c r="W183" s="14"/>
      <c r="X183" s="14"/>
      <c r="Y183" s="14"/>
      <c r="Z183" s="14"/>
      <c r="AA183" s="14"/>
      <c r="AB183" s="14"/>
    </row>
    <row r="184" spans="1:28" hidden="1" x14ac:dyDescent="0.3">
      <c r="A184" s="66"/>
      <c r="B184" s="82" t="s">
        <v>217</v>
      </c>
      <c r="D184" s="93">
        <f>IF(8&gt;D74,0,-1/((0.184*ABS(SUM(D76:D84))^3-0.525*(SUM(D76:D84))^2+1.038*ABS(SUM(D76:D84))+1.001)))</f>
        <v>0</v>
      </c>
      <c r="E184" s="82"/>
      <c r="F184" s="76"/>
      <c r="G184" s="14"/>
      <c r="H184" s="14"/>
      <c r="I184" s="14"/>
      <c r="J184" s="14"/>
      <c r="K184" s="14"/>
      <c r="L184" s="14"/>
      <c r="M184" s="14"/>
      <c r="N184" s="14"/>
      <c r="O184" s="14"/>
      <c r="P184" s="14"/>
      <c r="Q184" s="14"/>
      <c r="R184" s="14"/>
      <c r="S184" s="14"/>
      <c r="T184" s="14"/>
      <c r="U184" s="14"/>
      <c r="V184" s="14"/>
      <c r="W184" s="14"/>
      <c r="X184" s="14"/>
      <c r="Y184" s="14"/>
      <c r="Z184" s="14"/>
      <c r="AA184" s="14"/>
      <c r="AB184" s="14"/>
    </row>
    <row r="185" spans="1:28" hidden="1" x14ac:dyDescent="0.3">
      <c r="A185" s="66"/>
      <c r="B185" s="82" t="s">
        <v>218</v>
      </c>
      <c r="D185" s="93">
        <f>IF(8&gt;D74,0,-1/((0.184*ABS(SUM(D76:D85))^3-0.525*(SUM(D76:D85))^2+1.038*ABS(SUM(D76:D85))+1.001)))</f>
        <v>0</v>
      </c>
      <c r="E185" s="82"/>
      <c r="F185" s="76"/>
      <c r="G185" s="14"/>
      <c r="H185" s="14"/>
      <c r="I185" s="14"/>
      <c r="J185" s="14"/>
      <c r="K185" s="14"/>
      <c r="L185" s="14"/>
      <c r="M185" s="14"/>
      <c r="N185" s="14"/>
      <c r="O185" s="14"/>
      <c r="P185" s="14"/>
      <c r="Q185" s="14"/>
      <c r="R185" s="14"/>
      <c r="S185" s="14"/>
      <c r="T185" s="14"/>
      <c r="U185" s="14"/>
      <c r="V185" s="14"/>
      <c r="W185" s="14"/>
      <c r="X185" s="14"/>
      <c r="Y185" s="14"/>
      <c r="Z185" s="14"/>
      <c r="AA185" s="14"/>
      <c r="AB185" s="14"/>
    </row>
    <row r="186" spans="1:28" hidden="1" x14ac:dyDescent="0.3">
      <c r="A186" s="66"/>
      <c r="B186" s="82" t="s">
        <v>219</v>
      </c>
      <c r="D186" s="93">
        <f>IF(8&gt;D74,0,-1/((0.184*ABS(SUM(D76:D86))^3-0.525*(SUM(D76:D86))^2+1.038*ABS(SUM(D76:D86))+1.001)))</f>
        <v>0</v>
      </c>
      <c r="E186" s="82"/>
      <c r="F186" s="76"/>
      <c r="G186" s="14"/>
      <c r="H186" s="14"/>
      <c r="I186" s="14"/>
      <c r="J186" s="14"/>
      <c r="K186" s="14"/>
      <c r="L186" s="14"/>
      <c r="M186" s="14"/>
      <c r="N186" s="14"/>
      <c r="O186" s="14"/>
      <c r="P186" s="14"/>
      <c r="Q186" s="14"/>
      <c r="R186" s="14"/>
      <c r="S186" s="14"/>
      <c r="T186" s="14"/>
      <c r="U186" s="14"/>
      <c r="V186" s="14"/>
      <c r="W186" s="14"/>
      <c r="X186" s="14"/>
      <c r="Y186" s="14"/>
      <c r="Z186" s="14"/>
      <c r="AA186" s="14"/>
      <c r="AB186" s="14"/>
    </row>
    <row r="187" spans="1:28" hidden="1" x14ac:dyDescent="0.3">
      <c r="A187" s="66"/>
      <c r="B187" s="82" t="s">
        <v>220</v>
      </c>
      <c r="D187" s="93">
        <f>IF(8&gt;D74,0,-1/((0.184*ABS(SUM(D76:D87))^3-0.525*(SUM(D76:D87))^2+1.038*ABS(SUM(D76:D87))+1.001)))</f>
        <v>0</v>
      </c>
      <c r="E187" s="82"/>
      <c r="F187" s="76"/>
      <c r="G187" s="14"/>
      <c r="H187" s="14"/>
      <c r="I187" s="14"/>
      <c r="J187" s="14"/>
      <c r="K187" s="14"/>
      <c r="L187" s="14"/>
      <c r="M187" s="14"/>
      <c r="N187" s="14"/>
      <c r="O187" s="14"/>
      <c r="P187" s="14"/>
      <c r="Q187" s="14"/>
      <c r="R187" s="14"/>
      <c r="S187" s="14"/>
      <c r="T187" s="14"/>
      <c r="U187" s="14"/>
      <c r="V187" s="14"/>
      <c r="W187" s="14"/>
      <c r="X187" s="14"/>
      <c r="Y187" s="14"/>
      <c r="Z187" s="14"/>
      <c r="AA187" s="14"/>
      <c r="AB187" s="14"/>
    </row>
    <row r="188" spans="1:28" hidden="1" x14ac:dyDescent="0.3">
      <c r="A188" s="66"/>
      <c r="B188" s="82" t="s">
        <v>221</v>
      </c>
      <c r="D188" s="93">
        <f>IF(8&gt;D74,0,-1/((0.184*ABS(SUM(D76:D88))^3-0.525*(SUM(D76:D88))^2+1.038*ABS(SUM(D76:D88))+1.001)))</f>
        <v>0</v>
      </c>
      <c r="E188" s="82"/>
      <c r="F188" s="76"/>
      <c r="G188" s="14"/>
      <c r="H188" s="14"/>
      <c r="I188" s="14"/>
      <c r="J188" s="14"/>
      <c r="K188" s="14"/>
      <c r="L188" s="14"/>
      <c r="M188" s="14"/>
      <c r="N188" s="14"/>
      <c r="O188" s="14"/>
      <c r="P188" s="14"/>
      <c r="Q188" s="14"/>
      <c r="R188" s="14"/>
      <c r="S188" s="14"/>
      <c r="T188" s="14"/>
      <c r="U188" s="14"/>
      <c r="V188" s="14"/>
      <c r="W188" s="14"/>
      <c r="X188" s="14"/>
      <c r="Y188" s="14"/>
      <c r="Z188" s="14"/>
      <c r="AA188" s="14"/>
      <c r="AB188" s="14"/>
    </row>
    <row r="189" spans="1:28" hidden="1" x14ac:dyDescent="0.3">
      <c r="A189" s="66"/>
      <c r="B189" s="82" t="s">
        <v>222</v>
      </c>
      <c r="D189" s="93">
        <f>IF(8&gt;D74,0,-1/((0.184*ABS(SUM(D76:D89))^3-0.525*(SUM(D76:D89))^2+1.038*ABS(SUM(D76:D89))+1.001)))</f>
        <v>0</v>
      </c>
      <c r="E189" s="82"/>
      <c r="F189" s="76"/>
      <c r="G189" s="14"/>
      <c r="H189" s="14"/>
      <c r="I189" s="14"/>
      <c r="J189" s="14"/>
      <c r="K189" s="14"/>
      <c r="L189" s="14"/>
      <c r="M189" s="14"/>
      <c r="N189" s="14"/>
      <c r="O189" s="14"/>
      <c r="P189" s="14"/>
      <c r="Q189" s="14"/>
      <c r="R189" s="14"/>
      <c r="S189" s="14"/>
      <c r="T189" s="14"/>
      <c r="U189" s="14"/>
      <c r="V189" s="14"/>
      <c r="W189" s="14"/>
      <c r="X189" s="14"/>
      <c r="Y189" s="14"/>
      <c r="Z189" s="14"/>
      <c r="AA189" s="14"/>
      <c r="AB189" s="14"/>
    </row>
    <row r="190" spans="1:28" hidden="1" x14ac:dyDescent="0.3">
      <c r="A190" s="66"/>
      <c r="B190" s="82" t="s">
        <v>223</v>
      </c>
      <c r="D190" s="93">
        <f>IF(8&gt;D74,0,-1/((0.184*ABS(SUM(D76:D90))^3-0.525*(SUM(D76:D90))^2+1.038*ABS(SUM(D76:D90))+1.001)))</f>
        <v>0</v>
      </c>
      <c r="E190" s="82"/>
      <c r="F190" s="76"/>
      <c r="G190" s="14"/>
      <c r="H190" s="14"/>
      <c r="I190" s="14"/>
      <c r="J190" s="14"/>
      <c r="K190" s="14"/>
      <c r="L190" s="14"/>
      <c r="M190" s="14"/>
      <c r="N190" s="14"/>
      <c r="O190" s="14"/>
      <c r="P190" s="14"/>
      <c r="Q190" s="14"/>
      <c r="R190" s="14"/>
      <c r="S190" s="14"/>
      <c r="T190" s="14"/>
      <c r="U190" s="14"/>
      <c r="V190" s="14"/>
      <c r="W190" s="14"/>
      <c r="X190" s="14"/>
      <c r="Y190" s="14"/>
      <c r="Z190" s="14"/>
      <c r="AA190" s="14"/>
      <c r="AB190" s="14"/>
    </row>
    <row r="191" spans="1:28" hidden="1" x14ac:dyDescent="0.3">
      <c r="A191" s="66"/>
      <c r="B191" s="94"/>
      <c r="D191" s="95"/>
      <c r="E191" s="96"/>
      <c r="F191" s="76"/>
      <c r="G191" s="14"/>
      <c r="H191" s="14"/>
      <c r="I191" s="14"/>
      <c r="J191" s="14"/>
      <c r="K191" s="14"/>
      <c r="L191" s="14"/>
      <c r="M191" s="14"/>
      <c r="N191" s="14"/>
      <c r="O191" s="14"/>
      <c r="P191" s="14"/>
      <c r="Q191" s="14"/>
      <c r="R191" s="14"/>
      <c r="S191" s="14"/>
      <c r="T191" s="14"/>
      <c r="U191" s="14"/>
      <c r="V191" s="14"/>
      <c r="W191" s="14"/>
      <c r="X191" s="14"/>
      <c r="Y191" s="14"/>
      <c r="Z191" s="14"/>
      <c r="AA191" s="14"/>
      <c r="AB191" s="14"/>
    </row>
    <row r="192" spans="1:28" hidden="1" x14ac:dyDescent="0.3">
      <c r="A192" s="66"/>
      <c r="B192" s="94" t="s">
        <v>224</v>
      </c>
      <c r="D192" s="95">
        <f>D195</f>
        <v>25.821427122306822</v>
      </c>
      <c r="E192" s="80" t="s">
        <v>225</v>
      </c>
      <c r="F192" s="76"/>
      <c r="G192" s="14"/>
      <c r="H192" s="14"/>
      <c r="I192" s="14"/>
      <c r="J192" s="14"/>
      <c r="K192" s="14"/>
      <c r="L192" s="14"/>
      <c r="M192" s="14"/>
      <c r="N192" s="14"/>
      <c r="O192" s="14"/>
      <c r="P192" s="14"/>
      <c r="Q192" s="14"/>
      <c r="R192" s="14"/>
      <c r="S192" s="14"/>
      <c r="T192" s="14"/>
      <c r="U192" s="14"/>
      <c r="V192" s="14"/>
      <c r="W192" s="14"/>
      <c r="X192" s="14"/>
      <c r="Y192" s="14"/>
      <c r="Z192" s="14"/>
      <c r="AA192" s="14"/>
      <c r="AB192" s="14"/>
    </row>
    <row r="193" spans="1:28" hidden="1" x14ac:dyDescent="0.3">
      <c r="A193" s="66"/>
      <c r="B193" s="94" t="s">
        <v>226</v>
      </c>
      <c r="D193" s="95">
        <f>D97</f>
        <v>25.821296087985846</v>
      </c>
      <c r="E193" s="80" t="s">
        <v>225</v>
      </c>
      <c r="F193" s="76"/>
      <c r="G193" s="14"/>
      <c r="H193" s="14"/>
      <c r="I193" s="14"/>
      <c r="J193" s="14"/>
      <c r="K193" s="14"/>
      <c r="L193" s="14"/>
      <c r="M193" s="14"/>
      <c r="N193" s="14"/>
      <c r="O193" s="14"/>
      <c r="P193" s="14"/>
      <c r="Q193" s="14"/>
      <c r="R193" s="14"/>
      <c r="S193" s="14"/>
      <c r="T193" s="14"/>
      <c r="U193" s="14"/>
      <c r="V193" s="14"/>
      <c r="W193" s="14"/>
      <c r="X193" s="14"/>
      <c r="Y193" s="14"/>
      <c r="Z193" s="14"/>
      <c r="AA193" s="14"/>
      <c r="AB193" s="14"/>
    </row>
    <row r="194" spans="1:28" hidden="1" x14ac:dyDescent="0.3">
      <c r="A194" s="66"/>
      <c r="B194" s="67"/>
      <c r="C194" s="68"/>
      <c r="D194" s="200"/>
      <c r="E194" s="32"/>
      <c r="F194" s="76"/>
      <c r="G194" s="14"/>
      <c r="H194" s="14"/>
      <c r="I194" s="14"/>
      <c r="J194" s="14"/>
      <c r="K194" s="14"/>
      <c r="L194" s="14"/>
      <c r="M194" s="14"/>
      <c r="N194" s="14"/>
      <c r="O194" s="14"/>
      <c r="P194" s="14"/>
      <c r="Q194" s="14"/>
      <c r="R194" s="14"/>
      <c r="S194" s="14"/>
      <c r="T194" s="14"/>
      <c r="U194" s="14"/>
      <c r="V194" s="14"/>
      <c r="W194" s="14"/>
      <c r="X194" s="14"/>
      <c r="Y194" s="14"/>
      <c r="Z194" s="14"/>
      <c r="AA194" s="14"/>
      <c r="AB194" s="14"/>
    </row>
    <row r="195" spans="1:28" ht="18" x14ac:dyDescent="0.35">
      <c r="A195" s="66"/>
      <c r="B195" s="97" t="s">
        <v>227</v>
      </c>
      <c r="C195" s="68" t="s">
        <v>228</v>
      </c>
      <c r="D195" s="98">
        <f>D94</f>
        <v>25.821427122306822</v>
      </c>
      <c r="E195" s="99" t="s">
        <v>229</v>
      </c>
      <c r="F195" s="100" t="str">
        <f>IF(D195="Error","Too many turns or outer diameter too small!","")</f>
        <v/>
      </c>
      <c r="G195" s="14"/>
      <c r="H195" s="14"/>
      <c r="I195" s="14"/>
      <c r="J195" s="14"/>
      <c r="K195" s="14"/>
      <c r="L195" s="14"/>
      <c r="M195" s="14"/>
      <c r="N195" s="14"/>
      <c r="O195" s="14"/>
      <c r="P195" s="14"/>
      <c r="Q195" s="14"/>
      <c r="R195" s="14"/>
      <c r="S195" s="14"/>
      <c r="T195" s="14"/>
      <c r="U195" s="14"/>
      <c r="V195" s="14"/>
      <c r="W195" s="14"/>
      <c r="X195" s="14"/>
      <c r="Y195" s="14"/>
      <c r="Z195" s="14"/>
      <c r="AA195" s="14"/>
      <c r="AB195" s="14"/>
    </row>
    <row r="196" spans="1:28" ht="15.6" hidden="1" x14ac:dyDescent="0.3">
      <c r="A196" s="66"/>
      <c r="B196" s="97" t="s">
        <v>230</v>
      </c>
      <c r="C196" s="68"/>
      <c r="D196" s="101">
        <f>IF(D20="LDC0851",SQRT(2)/(2*PI()*SQRT(D195*0.000001*(D22+D52)*0.000000000001)),1/(2*PI()*SQRT(D195*0.000001*(D22+D52)*0.000000000001)))</f>
        <v>1796359.350994193</v>
      </c>
      <c r="E196" s="99" t="s">
        <v>231</v>
      </c>
      <c r="F196" s="102"/>
      <c r="G196" s="14"/>
      <c r="H196" s="14"/>
      <c r="I196" s="14"/>
      <c r="J196" s="14"/>
      <c r="K196" s="14"/>
      <c r="L196" s="14"/>
      <c r="M196" s="14"/>
      <c r="N196" s="14"/>
      <c r="O196" s="14"/>
      <c r="P196" s="14"/>
      <c r="Q196" s="14"/>
      <c r="R196" s="14"/>
      <c r="S196" s="14"/>
      <c r="T196" s="14"/>
      <c r="U196" s="14"/>
      <c r="V196" s="14"/>
      <c r="W196" s="14"/>
      <c r="X196" s="14"/>
      <c r="Y196" s="14"/>
      <c r="Z196" s="14"/>
      <c r="AA196" s="14"/>
      <c r="AB196" s="14"/>
    </row>
    <row r="197" spans="1:28" ht="18" x14ac:dyDescent="0.35">
      <c r="A197" s="66"/>
      <c r="B197" s="97" t="s">
        <v>232</v>
      </c>
      <c r="C197" s="68" t="s">
        <v>233</v>
      </c>
      <c r="D197" s="98">
        <f>IF(D196&gt;300000,D196/1000000,D196/1000)</f>
        <v>1.7963593509941931</v>
      </c>
      <c r="E197" s="103" t="str">
        <f>IF(D196&gt;300000,"MHz","kHz")</f>
        <v>MHz</v>
      </c>
      <c r="F197" s="102" t="str">
        <f>IF(ISERROR(D197),"",IF(D197&gt;(D207*1000),"Sensor Frequency is too high, reduce C",""))</f>
        <v/>
      </c>
      <c r="G197" s="14"/>
      <c r="H197" s="14"/>
      <c r="I197" s="14"/>
      <c r="J197" s="14"/>
      <c r="K197" s="14"/>
      <c r="L197" s="14"/>
      <c r="M197" s="14"/>
      <c r="N197" s="14"/>
      <c r="O197" s="14"/>
      <c r="P197" s="14"/>
      <c r="Q197" s="14"/>
      <c r="R197" s="14"/>
      <c r="S197" s="14"/>
      <c r="T197" s="14"/>
      <c r="U197" s="14"/>
      <c r="V197" s="14"/>
      <c r="W197" s="14"/>
      <c r="X197" s="14"/>
      <c r="Y197" s="14"/>
      <c r="Z197" s="14"/>
      <c r="AA197" s="14"/>
      <c r="AB197" s="14"/>
    </row>
    <row r="198" spans="1:28" hidden="1" x14ac:dyDescent="0.3">
      <c r="A198" s="66"/>
      <c r="B198" s="104" t="s">
        <v>234</v>
      </c>
      <c r="C198" s="105" t="s">
        <v>235</v>
      </c>
      <c r="D198" s="106">
        <f>D24*(D31-1)*2*D27+PI()*D24*(D27+D57)/2</f>
        <v>1109.7676048805945</v>
      </c>
      <c r="E198" s="107" t="s">
        <v>19</v>
      </c>
      <c r="F198" s="65"/>
      <c r="G198" s="14"/>
      <c r="H198" s="14"/>
      <c r="I198" s="14"/>
      <c r="J198" s="14"/>
      <c r="K198" s="14"/>
      <c r="L198" s="14"/>
      <c r="M198" s="14"/>
      <c r="N198" s="14"/>
      <c r="O198" s="14"/>
      <c r="P198" s="14"/>
      <c r="Q198" s="14"/>
      <c r="R198" s="14"/>
      <c r="S198" s="14"/>
      <c r="T198" s="14"/>
      <c r="U198" s="14"/>
      <c r="V198" s="14"/>
      <c r="W198" s="14"/>
      <c r="X198" s="14"/>
      <c r="Y198" s="14"/>
      <c r="Z198" s="14"/>
      <c r="AA198" s="14"/>
      <c r="AB198" s="14"/>
    </row>
    <row r="199" spans="1:28" hidden="1" x14ac:dyDescent="0.3">
      <c r="A199" s="66"/>
      <c r="B199" s="108" t="s">
        <v>236</v>
      </c>
      <c r="C199" s="109" t="s">
        <v>237</v>
      </c>
      <c r="D199" s="110">
        <f>D53*D198*0.001*D23/(D38*0.001*D48*0.001)</f>
        <v>4.3321356437310108</v>
      </c>
      <c r="E199" s="111" t="s">
        <v>238</v>
      </c>
      <c r="F199" s="65"/>
      <c r="G199" s="14"/>
      <c r="H199" s="14"/>
      <c r="I199" s="14"/>
      <c r="J199" s="14"/>
      <c r="K199" s="14"/>
      <c r="L199" s="14"/>
      <c r="M199" s="14"/>
      <c r="N199" s="14"/>
      <c r="O199" s="14"/>
      <c r="P199" s="14"/>
      <c r="Q199" s="14"/>
      <c r="R199" s="14"/>
      <c r="S199" s="14"/>
      <c r="T199" s="14"/>
      <c r="U199" s="14"/>
      <c r="V199" s="14"/>
      <c r="W199" s="14"/>
      <c r="X199" s="14"/>
      <c r="Y199" s="14"/>
      <c r="Z199" s="14"/>
      <c r="AA199" s="14"/>
      <c r="AB199" s="14"/>
    </row>
    <row r="200" spans="1:28" hidden="1" x14ac:dyDescent="0.3">
      <c r="A200" s="66"/>
      <c r="B200" s="108" t="s">
        <v>239</v>
      </c>
      <c r="C200" s="109" t="s">
        <v>240</v>
      </c>
      <c r="D200" s="112">
        <f>SQRT(D49/(4*PI()*PI()*0.0000001*D51*D196))*1000</f>
        <v>4.8671884634710359E-2</v>
      </c>
      <c r="E200" s="113" t="s">
        <v>19</v>
      </c>
      <c r="F200" s="65"/>
      <c r="G200" s="14"/>
      <c r="H200" s="14"/>
      <c r="I200" s="14"/>
      <c r="J200" s="14"/>
      <c r="K200" s="14"/>
      <c r="L200" s="14"/>
      <c r="M200" s="14"/>
      <c r="N200" s="14"/>
      <c r="O200" s="14"/>
      <c r="P200" s="14"/>
      <c r="Q200" s="14"/>
      <c r="R200" s="14"/>
      <c r="S200" s="14"/>
      <c r="T200" s="14"/>
      <c r="U200" s="14"/>
      <c r="V200" s="14"/>
      <c r="W200" s="14"/>
      <c r="X200" s="14"/>
      <c r="Y200" s="14"/>
      <c r="Z200" s="14"/>
      <c r="AA200" s="14"/>
      <c r="AB200" s="14"/>
    </row>
    <row r="201" spans="1:28" hidden="1" x14ac:dyDescent="0.3">
      <c r="A201" s="66"/>
      <c r="B201" s="114" t="s">
        <v>241</v>
      </c>
      <c r="C201" s="109" t="s">
        <v>242</v>
      </c>
      <c r="D201" s="115">
        <f>D199*D48/(D200*(1-EXP(-D48/D200)))</f>
        <v>6.0583648886091446</v>
      </c>
      <c r="E201" s="116" t="s">
        <v>238</v>
      </c>
      <c r="F201" s="65"/>
      <c r="G201" s="14"/>
      <c r="H201" s="14"/>
      <c r="I201" s="14"/>
      <c r="J201" s="14"/>
      <c r="K201" s="14"/>
      <c r="L201" s="14"/>
      <c r="M201" s="14"/>
      <c r="N201" s="14"/>
      <c r="O201" s="14"/>
      <c r="P201" s="14"/>
      <c r="Q201" s="14"/>
      <c r="R201" s="14"/>
      <c r="S201" s="14"/>
      <c r="T201" s="14"/>
      <c r="U201" s="14"/>
      <c r="V201" s="14"/>
      <c r="W201" s="14"/>
      <c r="X201" s="14"/>
      <c r="Y201" s="14"/>
      <c r="Z201" s="14"/>
      <c r="AA201" s="14"/>
      <c r="AB201" s="14"/>
    </row>
    <row r="202" spans="1:28" hidden="1" x14ac:dyDescent="0.3">
      <c r="A202" s="66"/>
      <c r="B202" s="117" t="s">
        <v>243</v>
      </c>
      <c r="C202" s="118" t="s">
        <v>244</v>
      </c>
      <c r="D202" s="119">
        <f>(1/D201)*(D195*0.000001/(D22*0.000000000001))</f>
        <v>14207.03858608006</v>
      </c>
      <c r="E202" s="120" t="s">
        <v>238</v>
      </c>
      <c r="F202" s="65"/>
      <c r="G202" s="14"/>
      <c r="H202" s="14"/>
      <c r="I202" s="14"/>
      <c r="J202" s="14"/>
      <c r="K202" s="14"/>
      <c r="L202" s="14"/>
      <c r="M202" s="14"/>
      <c r="N202" s="14"/>
      <c r="O202" s="14"/>
      <c r="P202" s="14"/>
      <c r="Q202" s="14"/>
      <c r="R202" s="14"/>
      <c r="S202" s="14"/>
      <c r="T202" s="14"/>
      <c r="U202" s="14"/>
      <c r="V202" s="14"/>
      <c r="W202" s="14"/>
      <c r="X202" s="14"/>
      <c r="Y202" s="14"/>
      <c r="Z202" s="14"/>
      <c r="AA202" s="14"/>
      <c r="AB202" s="14"/>
    </row>
    <row r="203" spans="1:28" ht="16.2" x14ac:dyDescent="0.35">
      <c r="A203" s="66"/>
      <c r="B203" s="121" t="s">
        <v>245</v>
      </c>
      <c r="C203" s="118" t="s">
        <v>246</v>
      </c>
      <c r="D203" s="122">
        <f>D202/1000</f>
        <v>14.20703858608006</v>
      </c>
      <c r="E203" s="123" t="s">
        <v>247</v>
      </c>
      <c r="F203" s="65"/>
      <c r="G203" s="14"/>
      <c r="H203" s="14"/>
      <c r="I203" s="14"/>
      <c r="J203" s="14"/>
      <c r="K203" s="14"/>
      <c r="L203" s="14"/>
      <c r="M203" s="14"/>
      <c r="N203" s="14"/>
      <c r="O203" s="14"/>
      <c r="P203" s="14"/>
      <c r="Q203" s="14"/>
      <c r="R203" s="14"/>
      <c r="S203" s="14"/>
      <c r="T203" s="14"/>
      <c r="U203" s="14"/>
      <c r="V203" s="14"/>
      <c r="W203" s="14"/>
      <c r="X203" s="14"/>
      <c r="Y203" s="14"/>
      <c r="Z203" s="14"/>
      <c r="AA203" s="14"/>
      <c r="AB203" s="14"/>
    </row>
    <row r="204" spans="1:28" ht="15.6" x14ac:dyDescent="0.3">
      <c r="A204" s="66"/>
      <c r="B204" s="97" t="s">
        <v>248</v>
      </c>
      <c r="C204" s="68" t="s">
        <v>249</v>
      </c>
      <c r="D204" s="122">
        <f>(1/D201)*SQRT(D195*0.000001/((D22+D52)*0.000000000001))</f>
        <v>48.105851037195663</v>
      </c>
      <c r="E204" s="32"/>
      <c r="F204" s="65"/>
      <c r="G204" s="14"/>
      <c r="H204" s="14"/>
      <c r="I204" s="14"/>
      <c r="J204" s="14"/>
      <c r="K204" s="14"/>
      <c r="L204" s="14"/>
      <c r="M204" s="14"/>
      <c r="N204" s="14"/>
      <c r="O204" s="14"/>
      <c r="P204" s="14"/>
      <c r="Q204" s="14"/>
      <c r="R204" s="14"/>
      <c r="S204" s="14"/>
      <c r="T204" s="14"/>
      <c r="U204" s="14"/>
      <c r="V204" s="14"/>
      <c r="W204" s="14"/>
      <c r="X204" s="14"/>
      <c r="Y204" s="14"/>
      <c r="Z204" s="14"/>
      <c r="AA204" s="14"/>
      <c r="AB204" s="14"/>
    </row>
    <row r="205" spans="1:28" ht="15.6" hidden="1" x14ac:dyDescent="0.3">
      <c r="A205" s="66"/>
      <c r="B205" s="97"/>
      <c r="C205" s="68"/>
      <c r="D205" s="122"/>
      <c r="E205" s="32"/>
      <c r="F205" s="65"/>
      <c r="G205" s="14"/>
      <c r="H205" s="14"/>
      <c r="I205" s="14"/>
      <c r="J205" s="14"/>
      <c r="K205" s="14"/>
      <c r="L205" s="14"/>
      <c r="M205" s="14"/>
      <c r="N205" s="14"/>
      <c r="O205" s="14"/>
      <c r="P205" s="14"/>
      <c r="Q205" s="14"/>
      <c r="R205" s="14"/>
      <c r="S205" s="14"/>
      <c r="T205" s="14"/>
      <c r="U205" s="14"/>
      <c r="V205" s="14"/>
      <c r="W205" s="14"/>
      <c r="X205" s="14"/>
      <c r="Y205" s="14"/>
      <c r="Z205" s="14"/>
      <c r="AA205" s="14"/>
      <c r="AB205" s="14"/>
    </row>
    <row r="206" spans="1:28" ht="15.6" hidden="1" x14ac:dyDescent="0.3">
      <c r="A206" s="66"/>
      <c r="C206" s="68"/>
      <c r="D206" s="122"/>
      <c r="E206" s="32"/>
      <c r="F206" s="65"/>
      <c r="G206" s="14"/>
      <c r="H206" s="14"/>
      <c r="I206" s="14"/>
      <c r="J206" s="14"/>
      <c r="K206" s="14"/>
      <c r="L206" s="14"/>
      <c r="M206" s="14"/>
      <c r="N206" s="14"/>
      <c r="O206" s="14"/>
      <c r="P206" s="14"/>
      <c r="Q206" s="14"/>
      <c r="R206" s="14"/>
      <c r="S206" s="14"/>
      <c r="T206" s="14"/>
      <c r="U206" s="14"/>
      <c r="V206" s="14"/>
      <c r="W206" s="14"/>
      <c r="X206" s="14"/>
      <c r="Y206" s="14"/>
      <c r="Z206" s="14"/>
      <c r="AA206" s="14"/>
      <c r="AB206" s="14"/>
    </row>
    <row r="207" spans="1:28" x14ac:dyDescent="0.3">
      <c r="A207" s="66"/>
      <c r="B207" s="117" t="s">
        <v>250</v>
      </c>
      <c r="C207" s="68" t="s">
        <v>251</v>
      </c>
      <c r="D207" s="75">
        <f>1/(2*PI()*SQRT(D195*0.000001*D52*0.000000000001))/1000000</f>
        <v>15.660297754535998</v>
      </c>
      <c r="E207" s="32" t="s">
        <v>252</v>
      </c>
      <c r="F207" s="65" t="s">
        <v>253</v>
      </c>
      <c r="G207" s="14"/>
      <c r="H207" s="14"/>
      <c r="I207" s="14"/>
      <c r="J207" s="14"/>
      <c r="K207" s="14"/>
      <c r="L207" s="14"/>
      <c r="M207" s="14"/>
      <c r="N207" s="14"/>
      <c r="O207" s="14"/>
      <c r="P207" s="14"/>
      <c r="Q207" s="14"/>
      <c r="R207" s="14"/>
      <c r="S207" s="14"/>
      <c r="T207" s="14"/>
      <c r="U207" s="14"/>
      <c r="V207" s="14"/>
      <c r="W207" s="14"/>
      <c r="X207" s="14"/>
      <c r="Y207" s="14"/>
      <c r="Z207" s="14"/>
      <c r="AA207" s="14"/>
      <c r="AB207" s="14"/>
    </row>
    <row r="208" spans="1:28" x14ac:dyDescent="0.3">
      <c r="A208" s="66"/>
      <c r="B208" s="97" t="s">
        <v>299</v>
      </c>
      <c r="C208" s="68"/>
      <c r="D208" s="176" t="s">
        <v>302</v>
      </c>
      <c r="E208" s="32"/>
      <c r="F208" s="65" t="s">
        <v>311</v>
      </c>
      <c r="G208" s="14"/>
      <c r="H208" s="14"/>
      <c r="I208" s="14"/>
      <c r="J208" s="14"/>
      <c r="K208" s="14"/>
      <c r="L208" s="14"/>
      <c r="M208" s="14"/>
      <c r="N208" s="14"/>
      <c r="O208" s="14"/>
      <c r="P208" s="14"/>
      <c r="Q208" s="14"/>
      <c r="R208" s="14"/>
      <c r="S208" s="14"/>
      <c r="T208" s="14"/>
      <c r="U208" s="14"/>
      <c r="V208" s="14"/>
      <c r="W208" s="14"/>
      <c r="X208" s="14"/>
      <c r="Y208" s="14"/>
      <c r="Z208" s="14"/>
      <c r="AA208" s="14"/>
      <c r="AB208" s="14"/>
    </row>
    <row r="209" spans="1:28" hidden="1" x14ac:dyDescent="0.3">
      <c r="A209" s="66"/>
      <c r="B209" s="97"/>
      <c r="C209" s="68"/>
      <c r="D209" s="179" t="s">
        <v>309</v>
      </c>
      <c r="E209" s="32"/>
      <c r="F209" s="65"/>
      <c r="G209" s="14"/>
      <c r="H209" s="14"/>
      <c r="I209" s="14"/>
      <c r="J209" s="14"/>
      <c r="K209" s="14"/>
      <c r="L209" s="14"/>
      <c r="M209" s="14"/>
      <c r="N209" s="14"/>
      <c r="O209" s="14"/>
      <c r="P209" s="14"/>
      <c r="Q209" s="14"/>
      <c r="R209" s="14"/>
      <c r="S209" s="14"/>
      <c r="T209" s="14"/>
      <c r="U209" s="14"/>
      <c r="V209" s="14"/>
      <c r="W209" s="14"/>
      <c r="X209" s="14"/>
      <c r="Y209" s="14"/>
      <c r="Z209" s="14"/>
      <c r="AA209" s="14"/>
      <c r="AB209" s="14"/>
    </row>
    <row r="210" spans="1:28" hidden="1" x14ac:dyDescent="0.3">
      <c r="A210" s="66"/>
      <c r="B210" s="97"/>
      <c r="C210" s="68"/>
      <c r="D210" s="145" t="s">
        <v>306</v>
      </c>
      <c r="E210" s="32"/>
      <c r="F210" s="65"/>
      <c r="G210" s="14"/>
      <c r="H210" s="14"/>
      <c r="I210" s="14"/>
      <c r="J210" s="14"/>
      <c r="K210" s="14"/>
      <c r="L210" s="14"/>
      <c r="M210" s="14"/>
      <c r="N210" s="14"/>
      <c r="O210" s="14"/>
      <c r="P210" s="14"/>
      <c r="Q210" s="14"/>
      <c r="R210" s="14"/>
      <c r="S210" s="14"/>
      <c r="T210" s="14"/>
      <c r="U210" s="14"/>
      <c r="V210" s="14"/>
      <c r="W210" s="14"/>
      <c r="X210" s="14"/>
      <c r="Y210" s="14"/>
      <c r="Z210" s="14"/>
      <c r="AA210" s="14"/>
      <c r="AB210" s="14"/>
    </row>
    <row r="211" spans="1:28" hidden="1" x14ac:dyDescent="0.3">
      <c r="A211" s="66"/>
      <c r="B211" s="97"/>
      <c r="C211" s="68"/>
      <c r="D211" s="145" t="s">
        <v>304</v>
      </c>
      <c r="E211" s="32"/>
      <c r="F211" s="65"/>
      <c r="G211" s="14"/>
      <c r="H211" s="14"/>
      <c r="I211" s="14"/>
      <c r="J211" s="14"/>
      <c r="K211" s="14"/>
      <c r="L211" s="14"/>
      <c r="M211" s="14"/>
      <c r="N211" s="14"/>
      <c r="O211" s="14"/>
      <c r="P211" s="14"/>
      <c r="Q211" s="14"/>
      <c r="R211" s="14"/>
      <c r="S211" s="14"/>
      <c r="T211" s="14"/>
      <c r="U211" s="14"/>
      <c r="V211" s="14"/>
      <c r="W211" s="14"/>
      <c r="X211" s="14"/>
      <c r="Y211" s="14"/>
      <c r="Z211" s="14"/>
      <c r="AA211" s="14"/>
      <c r="AB211" s="14"/>
    </row>
    <row r="212" spans="1:28" hidden="1" x14ac:dyDescent="0.3">
      <c r="A212" s="66"/>
      <c r="B212" s="97"/>
      <c r="C212" s="68"/>
      <c r="D212" s="145" t="s">
        <v>303</v>
      </c>
      <c r="E212" s="32"/>
      <c r="F212" s="65"/>
      <c r="G212" s="14"/>
      <c r="H212" s="14"/>
      <c r="I212" s="14"/>
      <c r="J212" s="14"/>
      <c r="K212" s="14"/>
      <c r="L212" s="14"/>
      <c r="M212" s="14"/>
      <c r="N212" s="14"/>
      <c r="O212" s="14"/>
      <c r="P212" s="14"/>
      <c r="Q212" s="14"/>
      <c r="R212" s="14"/>
      <c r="S212" s="14"/>
      <c r="T212" s="14"/>
      <c r="U212" s="14"/>
      <c r="V212" s="14"/>
      <c r="W212" s="14"/>
      <c r="X212" s="14"/>
      <c r="Y212" s="14"/>
      <c r="Z212" s="14"/>
      <c r="AA212" s="14"/>
      <c r="AB212" s="14"/>
    </row>
    <row r="213" spans="1:28" hidden="1" x14ac:dyDescent="0.3">
      <c r="A213" s="66"/>
      <c r="B213" s="97"/>
      <c r="C213" s="68"/>
      <c r="D213" s="145" t="s">
        <v>348</v>
      </c>
      <c r="E213" s="32"/>
      <c r="F213" s="65"/>
      <c r="G213" s="14"/>
      <c r="H213" s="14"/>
      <c r="I213" s="14"/>
      <c r="J213" s="14"/>
      <c r="K213" s="14"/>
      <c r="L213" s="14"/>
      <c r="M213" s="14"/>
      <c r="N213" s="14"/>
      <c r="O213" s="14"/>
      <c r="P213" s="14"/>
      <c r="Q213" s="14"/>
      <c r="R213" s="14"/>
      <c r="S213" s="14"/>
      <c r="T213" s="14"/>
      <c r="U213" s="14"/>
      <c r="V213" s="14"/>
      <c r="W213" s="14"/>
      <c r="X213" s="14"/>
      <c r="Y213" s="14"/>
      <c r="Z213" s="14"/>
      <c r="AA213" s="14"/>
      <c r="AB213" s="14"/>
    </row>
    <row r="214" spans="1:28" hidden="1" x14ac:dyDescent="0.3">
      <c r="A214" s="66"/>
      <c r="B214" s="97"/>
      <c r="C214" s="68"/>
      <c r="D214" s="145" t="s">
        <v>307</v>
      </c>
      <c r="E214" s="32"/>
      <c r="F214" s="65"/>
      <c r="G214" s="14"/>
      <c r="H214" s="14"/>
      <c r="I214" s="14"/>
      <c r="J214" s="14"/>
      <c r="K214" s="14"/>
      <c r="L214" s="14"/>
      <c r="M214" s="14"/>
      <c r="N214" s="14"/>
      <c r="O214" s="14"/>
      <c r="P214" s="14"/>
      <c r="Q214" s="14"/>
      <c r="R214" s="14"/>
      <c r="S214" s="14"/>
      <c r="T214" s="14"/>
      <c r="U214" s="14"/>
      <c r="V214" s="14"/>
      <c r="W214" s="14"/>
      <c r="X214" s="14"/>
      <c r="Y214" s="14"/>
      <c r="Z214" s="14"/>
      <c r="AA214" s="14"/>
      <c r="AB214" s="14"/>
    </row>
    <row r="215" spans="1:28" hidden="1" x14ac:dyDescent="0.3">
      <c r="A215" s="66"/>
      <c r="B215" s="97"/>
      <c r="C215" s="68"/>
      <c r="D215" s="145" t="s">
        <v>310</v>
      </c>
      <c r="E215" s="32"/>
      <c r="F215" s="65"/>
      <c r="G215" s="14"/>
      <c r="H215" s="14"/>
      <c r="I215" s="14"/>
      <c r="J215" s="14"/>
      <c r="K215" s="14"/>
      <c r="L215" s="14"/>
      <c r="M215" s="14"/>
      <c r="N215" s="14"/>
      <c r="O215" s="14"/>
      <c r="P215" s="14"/>
      <c r="Q215" s="14"/>
      <c r="R215" s="14"/>
      <c r="S215" s="14"/>
      <c r="T215" s="14"/>
      <c r="U215" s="14"/>
      <c r="V215" s="14"/>
      <c r="W215" s="14"/>
      <c r="X215" s="14"/>
      <c r="Y215" s="14"/>
      <c r="Z215" s="14"/>
      <c r="AA215" s="14"/>
      <c r="AB215" s="14"/>
    </row>
    <row r="216" spans="1:28" hidden="1" x14ac:dyDescent="0.3">
      <c r="A216" s="66"/>
      <c r="B216" s="97"/>
      <c r="C216" s="68"/>
      <c r="D216" s="145" t="s">
        <v>302</v>
      </c>
      <c r="E216" s="32"/>
      <c r="F216" s="65"/>
      <c r="G216" s="14"/>
      <c r="H216" s="14"/>
      <c r="I216" s="14"/>
      <c r="J216" s="14"/>
      <c r="K216" s="14"/>
      <c r="L216" s="14"/>
      <c r="M216" s="14"/>
      <c r="N216" s="14"/>
      <c r="O216" s="14"/>
      <c r="P216" s="14"/>
      <c r="Q216" s="14"/>
      <c r="R216" s="14"/>
      <c r="S216" s="14"/>
      <c r="T216" s="14"/>
      <c r="U216" s="14"/>
      <c r="V216" s="14"/>
      <c r="W216" s="14"/>
      <c r="X216" s="14"/>
      <c r="Y216" s="14"/>
      <c r="Z216" s="14"/>
      <c r="AA216" s="14"/>
      <c r="AB216" s="14"/>
    </row>
    <row r="217" spans="1:28" hidden="1" x14ac:dyDescent="0.3">
      <c r="A217" s="66"/>
      <c r="B217" s="97"/>
      <c r="C217" s="68"/>
      <c r="D217" s="145" t="s">
        <v>301</v>
      </c>
      <c r="E217" s="32"/>
      <c r="F217" s="65"/>
      <c r="G217" s="14"/>
      <c r="H217" s="14"/>
      <c r="I217" s="14"/>
      <c r="J217" s="14"/>
      <c r="K217" s="14"/>
      <c r="L217" s="14"/>
      <c r="M217" s="14"/>
      <c r="N217" s="14"/>
      <c r="O217" s="14"/>
      <c r="P217" s="14"/>
      <c r="Q217" s="14"/>
      <c r="R217" s="14"/>
      <c r="S217" s="14"/>
      <c r="T217" s="14"/>
      <c r="U217" s="14"/>
      <c r="V217" s="14"/>
      <c r="W217" s="14"/>
      <c r="X217" s="14"/>
      <c r="Y217" s="14"/>
      <c r="Z217" s="14"/>
      <c r="AA217" s="14"/>
      <c r="AB217" s="14"/>
    </row>
    <row r="218" spans="1:28" hidden="1" x14ac:dyDescent="0.3">
      <c r="A218" s="66"/>
      <c r="B218" s="97"/>
      <c r="C218" s="68"/>
      <c r="D218" s="145" t="s">
        <v>305</v>
      </c>
      <c r="E218" s="32"/>
      <c r="F218" s="65"/>
      <c r="G218" s="14"/>
      <c r="H218" s="14"/>
      <c r="I218" s="14"/>
      <c r="J218" s="14"/>
      <c r="K218" s="14"/>
      <c r="L218" s="14"/>
      <c r="M218" s="14"/>
      <c r="N218" s="14"/>
      <c r="O218" s="14"/>
      <c r="P218" s="14"/>
      <c r="Q218" s="14"/>
      <c r="R218" s="14"/>
      <c r="S218" s="14"/>
      <c r="T218" s="14"/>
      <c r="U218" s="14"/>
      <c r="V218" s="14"/>
      <c r="W218" s="14"/>
      <c r="X218" s="14"/>
      <c r="Y218" s="14"/>
      <c r="Z218" s="14"/>
      <c r="AA218" s="14"/>
      <c r="AB218" s="14"/>
    </row>
    <row r="219" spans="1:28" hidden="1" x14ac:dyDescent="0.3">
      <c r="A219" s="66"/>
      <c r="B219" s="97"/>
      <c r="C219" s="68"/>
      <c r="D219" s="145" t="s">
        <v>308</v>
      </c>
      <c r="E219" s="32"/>
      <c r="F219" s="65"/>
      <c r="G219" s="14"/>
      <c r="H219" s="14"/>
      <c r="I219" s="14"/>
      <c r="J219" s="14"/>
      <c r="K219" s="14"/>
      <c r="L219" s="14"/>
      <c r="M219" s="14"/>
      <c r="N219" s="14"/>
      <c r="O219" s="14"/>
      <c r="P219" s="14"/>
      <c r="Q219" s="14"/>
      <c r="R219" s="14"/>
      <c r="S219" s="14"/>
      <c r="T219" s="14"/>
      <c r="U219" s="14"/>
      <c r="V219" s="14"/>
      <c r="W219" s="14"/>
      <c r="X219" s="14"/>
      <c r="Y219" s="14"/>
      <c r="Z219" s="14"/>
      <c r="AA219" s="14"/>
      <c r="AB219" s="14"/>
    </row>
    <row r="220" spans="1:28" x14ac:dyDescent="0.3">
      <c r="A220" s="66"/>
      <c r="B220" s="117" t="s">
        <v>340</v>
      </c>
      <c r="C220" s="68"/>
      <c r="D220" s="214" t="s">
        <v>355</v>
      </c>
      <c r="E220" s="32"/>
      <c r="F220" s="65" t="s">
        <v>339</v>
      </c>
      <c r="G220" s="14"/>
      <c r="H220" s="14"/>
      <c r="I220" s="14"/>
      <c r="J220" s="14"/>
      <c r="K220" s="14"/>
      <c r="L220" s="14"/>
      <c r="M220" s="14"/>
      <c r="N220" s="14"/>
      <c r="O220" s="14"/>
      <c r="P220" s="14"/>
      <c r="Q220" s="14"/>
      <c r="R220" s="14"/>
      <c r="S220" s="14"/>
      <c r="T220" s="14"/>
      <c r="U220" s="14"/>
      <c r="V220" s="14"/>
      <c r="W220" s="14"/>
      <c r="X220" s="14"/>
      <c r="Y220" s="14"/>
      <c r="Z220" s="14"/>
      <c r="AA220" s="14"/>
      <c r="AB220" s="14"/>
    </row>
    <row r="221" spans="1:28" x14ac:dyDescent="0.3">
      <c r="A221" s="66"/>
      <c r="B221" s="97" t="s">
        <v>300</v>
      </c>
      <c r="C221" s="68"/>
      <c r="D221" s="176">
        <v>2</v>
      </c>
      <c r="E221" s="32" t="s">
        <v>19</v>
      </c>
      <c r="F221" s="65"/>
      <c r="G221" s="14"/>
      <c r="H221" s="14"/>
      <c r="I221" s="14"/>
      <c r="J221" s="14"/>
      <c r="K221" s="14"/>
      <c r="L221" s="14"/>
      <c r="M221" s="14"/>
      <c r="N221" s="14"/>
      <c r="O221" s="14"/>
      <c r="P221" s="14"/>
      <c r="Q221" s="14"/>
      <c r="R221" s="14"/>
      <c r="S221" s="14"/>
      <c r="T221" s="14"/>
      <c r="U221" s="14"/>
      <c r="V221" s="14"/>
      <c r="W221" s="14"/>
      <c r="X221" s="14"/>
      <c r="Y221" s="14"/>
      <c r="Z221" s="14"/>
      <c r="AA221" s="14"/>
      <c r="AB221" s="14"/>
    </row>
    <row r="222" spans="1:28" ht="15.6" x14ac:dyDescent="0.3">
      <c r="A222" s="66"/>
      <c r="B222" s="124" t="s">
        <v>254</v>
      </c>
      <c r="C222" s="125" t="s">
        <v>255</v>
      </c>
      <c r="D222" s="199">
        <v>53</v>
      </c>
      <c r="E222" s="126" t="s">
        <v>19</v>
      </c>
      <c r="F222" s="33"/>
      <c r="G222" s="14"/>
      <c r="H222" s="14"/>
      <c r="I222" s="14"/>
      <c r="J222" s="14"/>
      <c r="K222" s="14"/>
      <c r="L222" s="14"/>
      <c r="M222" s="14"/>
      <c r="N222" s="14"/>
      <c r="O222" s="14"/>
      <c r="P222" s="14"/>
      <c r="Q222" s="14"/>
      <c r="R222" s="14"/>
      <c r="S222" s="14"/>
      <c r="T222" s="14"/>
      <c r="U222" s="14"/>
      <c r="V222" s="14"/>
      <c r="W222" s="14"/>
      <c r="X222" s="14"/>
      <c r="Y222" s="14"/>
      <c r="Z222" s="14"/>
      <c r="AA222" s="14"/>
      <c r="AB222" s="14"/>
    </row>
    <row r="223" spans="1:28" ht="15.6" hidden="1" x14ac:dyDescent="0.3">
      <c r="A223" s="66"/>
      <c r="B223" s="124"/>
      <c r="C223" s="127" t="str">
        <f>E222</f>
        <v>mm</v>
      </c>
      <c r="D223" s="46" t="str">
        <f>C223</f>
        <v>mm</v>
      </c>
      <c r="E223" s="128"/>
      <c r="F223" s="33"/>
      <c r="G223" s="14"/>
      <c r="H223" s="14"/>
      <c r="I223" s="14"/>
      <c r="J223" s="14"/>
      <c r="K223" s="14"/>
      <c r="L223" s="14"/>
      <c r="M223" s="14"/>
      <c r="N223" s="14"/>
      <c r="O223" s="14"/>
      <c r="P223" s="14"/>
      <c r="Q223" s="14"/>
      <c r="R223" s="14"/>
      <c r="S223" s="14"/>
      <c r="T223" s="14"/>
      <c r="U223" s="14"/>
      <c r="V223" s="14"/>
      <c r="W223" s="14"/>
      <c r="X223" s="14"/>
      <c r="Y223" s="14"/>
      <c r="Z223" s="14"/>
      <c r="AA223" s="14"/>
      <c r="AB223" s="14"/>
    </row>
    <row r="224" spans="1:28" hidden="1" x14ac:dyDescent="0.3">
      <c r="A224" s="66"/>
      <c r="B224" s="129" t="s">
        <v>256</v>
      </c>
      <c r="C224" s="125"/>
      <c r="D224" s="130">
        <f>IF(D223="mm",D222,D222*0.0254)</f>
        <v>53</v>
      </c>
      <c r="E224" s="128" t="s">
        <v>19</v>
      </c>
      <c r="F224" s="33"/>
      <c r="G224" s="14"/>
      <c r="H224" s="14"/>
      <c r="I224" s="14"/>
      <c r="J224" s="14"/>
      <c r="K224" s="14"/>
      <c r="L224" s="14"/>
      <c r="M224" s="14"/>
      <c r="N224" s="14"/>
      <c r="O224" s="14"/>
      <c r="P224" s="14"/>
      <c r="Q224" s="14"/>
      <c r="R224" s="14"/>
      <c r="S224" s="14"/>
      <c r="T224" s="14"/>
      <c r="U224" s="14"/>
      <c r="V224" s="14"/>
      <c r="W224" s="14"/>
      <c r="X224" s="14"/>
      <c r="Y224" s="14"/>
      <c r="Z224" s="14"/>
      <c r="AA224" s="14"/>
      <c r="AB224" s="14"/>
    </row>
    <row r="225" spans="1:28" hidden="1" x14ac:dyDescent="0.3">
      <c r="A225" s="66"/>
      <c r="B225" s="29" t="s">
        <v>257</v>
      </c>
      <c r="C225" s="30"/>
      <c r="D225" s="131">
        <f>D224/D27</f>
        <v>1.5588235294117647</v>
      </c>
      <c r="E225" s="132"/>
      <c r="F225" s="33"/>
      <c r="G225" s="14"/>
      <c r="H225" s="14"/>
      <c r="I225" s="14"/>
      <c r="J225" s="14"/>
      <c r="K225" s="14"/>
      <c r="L225" s="14"/>
      <c r="M225" s="14"/>
      <c r="N225" s="14"/>
      <c r="O225" s="14"/>
      <c r="P225" s="14"/>
      <c r="Q225" s="14"/>
      <c r="R225" s="14"/>
      <c r="S225" s="14"/>
      <c r="T225" s="14"/>
      <c r="U225" s="14"/>
      <c r="V225" s="14"/>
      <c r="W225" s="14"/>
      <c r="X225" s="14"/>
      <c r="Y225" s="14"/>
      <c r="Z225" s="14"/>
      <c r="AA225" s="14"/>
      <c r="AB225" s="14"/>
    </row>
    <row r="226" spans="1:28" hidden="1" x14ac:dyDescent="0.3">
      <c r="A226" s="66"/>
      <c r="B226" s="29" t="s">
        <v>258</v>
      </c>
      <c r="C226" s="30"/>
      <c r="D226" s="133">
        <f xml:space="preserve"> 12.413*D225^4 - 11.107*D225^3 - 1.1159*D225^2 + 3.6107*D225+ 0.0669</f>
        <v>34.205668754115727</v>
      </c>
      <c r="E226" s="132"/>
      <c r="F226" s="33"/>
      <c r="G226" s="14"/>
      <c r="H226" s="14"/>
      <c r="I226" s="14"/>
      <c r="J226" s="14"/>
      <c r="K226" s="14"/>
      <c r="L226" s="14"/>
      <c r="M226" s="14"/>
      <c r="N226" s="14"/>
      <c r="O226" s="14"/>
      <c r="P226" s="14"/>
      <c r="Q226" s="14"/>
      <c r="R226" s="14"/>
      <c r="S226" s="14"/>
      <c r="T226" s="14"/>
      <c r="U226" s="14"/>
      <c r="V226" s="14"/>
      <c r="W226" s="14"/>
      <c r="X226" s="14"/>
      <c r="Y226" s="14"/>
      <c r="Z226" s="14"/>
      <c r="AA226" s="14"/>
      <c r="AB226" s="14"/>
    </row>
    <row r="227" spans="1:28" hidden="1" x14ac:dyDescent="0.3">
      <c r="A227" s="66"/>
      <c r="B227" s="29" t="s">
        <v>259</v>
      </c>
      <c r="C227" s="30"/>
      <c r="D227" s="131">
        <f>MIN(D226,1)</f>
        <v>1</v>
      </c>
      <c r="E227" s="132"/>
      <c r="F227" s="33"/>
      <c r="G227" s="14"/>
      <c r="H227" s="14"/>
      <c r="I227" s="14"/>
      <c r="J227" s="14"/>
      <c r="K227" s="14"/>
      <c r="L227" s="14"/>
      <c r="M227" s="14"/>
      <c r="N227" s="14"/>
      <c r="O227" s="14"/>
      <c r="P227" s="14"/>
      <c r="Q227" s="14"/>
      <c r="R227" s="14"/>
      <c r="S227" s="14"/>
      <c r="T227" s="14"/>
      <c r="U227" s="14"/>
      <c r="V227" s="14"/>
      <c r="W227" s="14"/>
      <c r="X227" s="14"/>
      <c r="Y227" s="14"/>
      <c r="Z227" s="14"/>
      <c r="AA227" s="14"/>
      <c r="AB227" s="14"/>
    </row>
    <row r="228" spans="1:28" hidden="1" x14ac:dyDescent="0.3">
      <c r="A228" s="66"/>
      <c r="B228" s="134" t="s">
        <v>260</v>
      </c>
      <c r="C228" s="135"/>
      <c r="D228" s="136">
        <v>1</v>
      </c>
      <c r="E228" s="137"/>
      <c r="F228" s="33"/>
      <c r="G228" s="14"/>
      <c r="H228" s="14"/>
      <c r="I228" s="14"/>
      <c r="J228" s="14"/>
      <c r="K228" s="14"/>
      <c r="L228" s="14"/>
      <c r="M228" s="14"/>
      <c r="N228" s="14"/>
      <c r="O228" s="14"/>
      <c r="P228" s="14"/>
      <c r="Q228" s="14"/>
      <c r="R228" s="14"/>
      <c r="S228" s="14"/>
      <c r="T228" s="14"/>
      <c r="U228" s="14"/>
      <c r="V228" s="14"/>
      <c r="W228" s="14"/>
      <c r="X228" s="14"/>
      <c r="Y228" s="14"/>
      <c r="Z228" s="14"/>
      <c r="AA228" s="14"/>
      <c r="AB228" s="14"/>
    </row>
    <row r="229" spans="1:28" hidden="1" x14ac:dyDescent="0.3">
      <c r="A229" s="66"/>
      <c r="B229" s="134"/>
      <c r="C229" s="135"/>
      <c r="D229" s="138"/>
      <c r="E229" s="99"/>
      <c r="F229" s="139"/>
      <c r="G229" s="14"/>
      <c r="H229" s="14"/>
      <c r="I229" s="14"/>
      <c r="J229" s="14"/>
      <c r="K229" s="14"/>
      <c r="L229" s="14"/>
      <c r="M229" s="14"/>
      <c r="N229" s="14"/>
      <c r="O229" s="14"/>
      <c r="P229" s="14"/>
      <c r="Q229" s="14"/>
      <c r="R229" s="14"/>
      <c r="S229" s="14"/>
      <c r="T229" s="14"/>
      <c r="U229" s="14"/>
      <c r="V229" s="14"/>
      <c r="W229" s="14"/>
      <c r="X229" s="14"/>
      <c r="Y229" s="14"/>
      <c r="Z229" s="14"/>
      <c r="AA229" s="14"/>
      <c r="AB229" s="14"/>
    </row>
    <row r="230" spans="1:28" hidden="1" x14ac:dyDescent="0.3">
      <c r="A230" s="66"/>
      <c r="B230" s="134" t="s">
        <v>261</v>
      </c>
      <c r="C230" s="135"/>
      <c r="D230" s="140">
        <f>IF(EXACT(D208,D215), D195,D193)</f>
        <v>25.821296087985846</v>
      </c>
      <c r="E230" s="99" t="s">
        <v>229</v>
      </c>
      <c r="F230" s="141"/>
      <c r="G230" s="14"/>
      <c r="H230" s="14"/>
      <c r="I230" s="14"/>
      <c r="J230" s="14"/>
      <c r="K230" s="14"/>
      <c r="L230" s="14"/>
      <c r="M230" s="14"/>
      <c r="N230" s="14"/>
      <c r="O230" s="14"/>
      <c r="P230" s="14"/>
      <c r="Q230" s="14"/>
      <c r="R230" s="14"/>
      <c r="S230" s="14"/>
      <c r="T230" s="14"/>
      <c r="U230" s="14"/>
      <c r="V230" s="14"/>
      <c r="W230" s="14"/>
      <c r="X230" s="14"/>
      <c r="Y230" s="14"/>
      <c r="Z230" s="14"/>
      <c r="AA230" s="14"/>
      <c r="AB230" s="14"/>
    </row>
    <row r="231" spans="1:28" hidden="1" x14ac:dyDescent="0.3">
      <c r="A231" s="66"/>
      <c r="B231" s="134" t="s">
        <v>262</v>
      </c>
      <c r="C231" s="135" t="s">
        <v>263</v>
      </c>
      <c r="D231" s="140">
        <f>SQRT(D49/(4*PI()*PI()*0.1*D51*D241))*1000</f>
        <v>4.8671822886579043E-2</v>
      </c>
      <c r="E231" s="142" t="s">
        <v>19</v>
      </c>
      <c r="F231" s="33"/>
      <c r="G231" s="14"/>
      <c r="H231" s="14"/>
      <c r="I231" s="14"/>
      <c r="J231" s="14"/>
      <c r="K231" s="14"/>
      <c r="L231" s="14"/>
      <c r="M231" s="14"/>
      <c r="N231" s="14"/>
      <c r="O231" s="14"/>
      <c r="P231" s="14"/>
      <c r="Q231" s="14"/>
      <c r="R231" s="14"/>
      <c r="S231" s="14"/>
      <c r="T231" s="14"/>
      <c r="U231" s="14"/>
      <c r="V231" s="14"/>
      <c r="W231" s="14"/>
      <c r="X231" s="14"/>
      <c r="Y231" s="14"/>
      <c r="Z231" s="14"/>
      <c r="AA231" s="14"/>
      <c r="AB231" s="14"/>
    </row>
    <row r="232" spans="1:28" hidden="1" x14ac:dyDescent="0.3">
      <c r="A232" s="66"/>
      <c r="B232" s="134" t="s">
        <v>264</v>
      </c>
      <c r="C232" s="135" t="s">
        <v>242</v>
      </c>
      <c r="D232" s="143">
        <f>D199*D48/(D231*(1-EXP(-D48/D231)))</f>
        <v>6.0583673056061551</v>
      </c>
      <c r="E232" s="144" t="s">
        <v>238</v>
      </c>
      <c r="F232" s="33"/>
      <c r="G232" s="14"/>
      <c r="H232" s="14"/>
      <c r="I232" s="14"/>
      <c r="J232" s="14"/>
      <c r="K232" s="14"/>
      <c r="L232" s="14"/>
      <c r="M232" s="14"/>
      <c r="N232" s="14"/>
      <c r="O232" s="14"/>
      <c r="P232" s="14"/>
      <c r="Q232" s="14"/>
      <c r="R232" s="14"/>
      <c r="S232" s="14"/>
      <c r="T232" s="14"/>
      <c r="U232" s="14"/>
      <c r="V232" s="14"/>
      <c r="W232" s="14"/>
      <c r="X232" s="14"/>
      <c r="Y232" s="14"/>
      <c r="Z232" s="14"/>
      <c r="AA232" s="14"/>
      <c r="AB232" s="14"/>
    </row>
    <row r="233" spans="1:28" hidden="1" x14ac:dyDescent="0.3">
      <c r="A233" s="66"/>
      <c r="B233" s="134" t="s">
        <v>265</v>
      </c>
      <c r="C233" s="135" t="s">
        <v>244</v>
      </c>
      <c r="D233" s="145">
        <f>(1/D232)*(D240*0.000001/(D22*0.000000000001))</f>
        <v>14206.960822647117</v>
      </c>
      <c r="E233" s="120" t="s">
        <v>238</v>
      </c>
      <c r="F233" s="33"/>
      <c r="G233" s="14"/>
      <c r="H233" s="14"/>
      <c r="I233" s="14"/>
      <c r="J233" s="14"/>
      <c r="K233" s="14"/>
      <c r="L233" s="14"/>
      <c r="M233" s="14"/>
      <c r="N233" s="14"/>
      <c r="O233" s="14"/>
      <c r="P233" s="14"/>
      <c r="Q233" s="14"/>
      <c r="R233" s="14"/>
      <c r="S233" s="14"/>
      <c r="T233" s="14"/>
      <c r="U233" s="14"/>
      <c r="V233" s="14"/>
      <c r="W233" s="14"/>
      <c r="X233" s="14"/>
      <c r="Y233" s="14"/>
      <c r="Z233" s="14"/>
      <c r="AA233" s="14"/>
      <c r="AB233" s="14"/>
    </row>
    <row r="234" spans="1:28" hidden="1" x14ac:dyDescent="0.3">
      <c r="A234" s="66"/>
      <c r="B234" s="134" t="s">
        <v>266</v>
      </c>
      <c r="C234" s="135"/>
      <c r="D234" s="145">
        <f>INDEX(G281:G286,MATCH(D20,B281:B286,0))</f>
        <v>1E-3</v>
      </c>
      <c r="E234" s="120" t="s">
        <v>252</v>
      </c>
      <c r="F234" s="33"/>
      <c r="G234" s="14"/>
      <c r="H234" s="14"/>
      <c r="I234" s="14"/>
      <c r="J234" s="14"/>
      <c r="K234" s="14"/>
      <c r="L234" s="14"/>
      <c r="M234" s="14"/>
      <c r="N234" s="14"/>
      <c r="O234" s="14"/>
      <c r="P234" s="14"/>
      <c r="Q234" s="14"/>
      <c r="R234" s="14"/>
      <c r="S234" s="14"/>
      <c r="T234" s="14"/>
      <c r="U234" s="14"/>
      <c r="V234" s="14"/>
      <c r="W234" s="14"/>
      <c r="X234" s="14"/>
      <c r="Y234" s="14"/>
      <c r="Z234" s="14"/>
      <c r="AA234" s="14"/>
      <c r="AB234" s="14"/>
    </row>
    <row r="235" spans="1:28" hidden="1" x14ac:dyDescent="0.3">
      <c r="A235" s="66"/>
      <c r="B235" s="134" t="s">
        <v>267</v>
      </c>
      <c r="C235" s="135"/>
      <c r="D235" s="145">
        <f>INDEX(H281:H286,MATCH(D20,B281:B286,0))</f>
        <v>10</v>
      </c>
      <c r="E235" s="120" t="s">
        <v>252</v>
      </c>
      <c r="F235" s="33"/>
      <c r="G235" s="14"/>
      <c r="H235" s="14"/>
      <c r="I235" s="14"/>
      <c r="J235" s="14"/>
      <c r="K235" s="14"/>
      <c r="L235" s="14"/>
      <c r="M235" s="14"/>
      <c r="N235" s="14"/>
      <c r="O235" s="14"/>
      <c r="P235" s="14"/>
      <c r="Q235" s="14"/>
      <c r="R235" s="14"/>
      <c r="S235" s="14"/>
      <c r="T235" s="14"/>
      <c r="U235" s="14"/>
      <c r="V235" s="14"/>
      <c r="W235" s="14"/>
      <c r="X235" s="14"/>
      <c r="Y235" s="14"/>
      <c r="Z235" s="14"/>
      <c r="AA235" s="14"/>
      <c r="AB235" s="14"/>
    </row>
    <row r="236" spans="1:28" hidden="1" x14ac:dyDescent="0.3">
      <c r="A236" s="66"/>
      <c r="B236" s="134" t="s">
        <v>268</v>
      </c>
      <c r="C236" s="135"/>
      <c r="D236" s="145">
        <f>INDEX(C281:C286,MATCH(D20,B281:B286,0))</f>
        <v>0.25</v>
      </c>
      <c r="E236" s="120" t="s">
        <v>247</v>
      </c>
      <c r="F236" s="33"/>
      <c r="G236" s="14"/>
      <c r="H236" s="14"/>
      <c r="I236" s="14"/>
      <c r="J236" s="14"/>
      <c r="K236" s="14"/>
      <c r="L236" s="14"/>
      <c r="M236" s="14"/>
      <c r="N236" s="14"/>
      <c r="O236" s="14"/>
      <c r="P236" s="14"/>
      <c r="Q236" s="14"/>
      <c r="R236" s="14"/>
      <c r="S236" s="14"/>
      <c r="T236" s="14"/>
      <c r="U236" s="14"/>
      <c r="V236" s="14"/>
      <c r="W236" s="14"/>
      <c r="X236" s="14"/>
      <c r="Y236" s="14"/>
      <c r="Z236" s="14"/>
      <c r="AA236" s="14"/>
      <c r="AB236" s="14"/>
    </row>
    <row r="237" spans="1:28" hidden="1" x14ac:dyDescent="0.3">
      <c r="A237" s="66"/>
      <c r="B237" s="134" t="s">
        <v>269</v>
      </c>
      <c r="C237" s="135"/>
      <c r="D237" s="145">
        <f>INDEX(D281:D286,MATCH(D20,B281:B286,0))</f>
        <v>500</v>
      </c>
      <c r="E237" s="120" t="s">
        <v>247</v>
      </c>
      <c r="F237" s="33"/>
      <c r="G237" s="14"/>
      <c r="H237" s="14"/>
      <c r="I237" s="14"/>
      <c r="J237" s="14"/>
      <c r="K237" s="14"/>
      <c r="L237" s="14"/>
      <c r="M237" s="14"/>
      <c r="N237" s="14"/>
      <c r="O237" s="14"/>
      <c r="P237" s="14"/>
      <c r="Q237" s="14"/>
      <c r="R237" s="14"/>
      <c r="S237" s="14"/>
      <c r="T237" s="14"/>
      <c r="U237" s="14"/>
      <c r="V237" s="14"/>
      <c r="W237" s="14"/>
      <c r="X237" s="14"/>
      <c r="Y237" s="14"/>
      <c r="Z237" s="14"/>
      <c r="AA237" s="14"/>
      <c r="AB237" s="14"/>
    </row>
    <row r="238" spans="1:28" hidden="1" x14ac:dyDescent="0.3">
      <c r="A238" s="66"/>
      <c r="B238" s="134" t="s">
        <v>270</v>
      </c>
      <c r="C238" s="135"/>
      <c r="D238" s="145">
        <f>INDEX(E281:E286,MATCH(D20,B281:B286,0))</f>
        <v>2.5</v>
      </c>
      <c r="E238" s="120"/>
      <c r="F238" s="33"/>
      <c r="G238" s="14"/>
      <c r="H238" s="14"/>
      <c r="I238" s="14"/>
      <c r="J238" s="14"/>
      <c r="K238" s="14"/>
      <c r="L238" s="14"/>
      <c r="M238" s="14"/>
      <c r="N238" s="14"/>
      <c r="O238" s="14"/>
      <c r="P238" s="14"/>
      <c r="Q238" s="14"/>
      <c r="R238" s="14"/>
      <c r="S238" s="14"/>
      <c r="T238" s="14"/>
      <c r="U238" s="14"/>
      <c r="V238" s="14"/>
      <c r="W238" s="14"/>
      <c r="X238" s="14"/>
      <c r="Y238" s="14"/>
      <c r="Z238" s="14"/>
      <c r="AA238" s="14"/>
      <c r="AB238" s="14"/>
    </row>
    <row r="239" spans="1:28" hidden="1" x14ac:dyDescent="0.3">
      <c r="A239" s="66"/>
      <c r="B239" s="134" t="s">
        <v>271</v>
      </c>
      <c r="C239" s="135"/>
      <c r="D239" s="145">
        <f>INDEX(F281:F286,MATCH(D20,B281:B286,0))</f>
        <v>1000</v>
      </c>
      <c r="E239" s="120"/>
      <c r="F239" s="33"/>
      <c r="G239" s="14"/>
      <c r="H239" s="14"/>
      <c r="I239" s="14"/>
      <c r="J239" s="14"/>
      <c r="K239" s="14"/>
      <c r="L239" s="14"/>
      <c r="M239" s="14"/>
      <c r="N239" s="14"/>
      <c r="O239" s="14"/>
      <c r="P239" s="14"/>
      <c r="Q239" s="14"/>
      <c r="R239" s="14"/>
      <c r="S239" s="14"/>
      <c r="T239" s="14"/>
      <c r="U239" s="14"/>
      <c r="V239" s="14"/>
      <c r="W239" s="14"/>
      <c r="X239" s="14"/>
      <c r="Y239" s="14"/>
      <c r="Z239" s="14"/>
      <c r="AA239" s="14"/>
      <c r="AB239" s="14"/>
    </row>
    <row r="240" spans="1:28" ht="18" x14ac:dyDescent="0.35">
      <c r="A240" s="66"/>
      <c r="B240" s="146" t="s">
        <v>272</v>
      </c>
      <c r="C240" s="147" t="s">
        <v>273</v>
      </c>
      <c r="D240" s="148">
        <f>D230</f>
        <v>25.821296087985846</v>
      </c>
      <c r="E240" s="99" t="s">
        <v>229</v>
      </c>
      <c r="F240" s="33"/>
      <c r="G240" s="14"/>
      <c r="H240" s="14"/>
      <c r="I240" s="14"/>
      <c r="J240" s="14"/>
      <c r="K240" s="14"/>
      <c r="L240" s="14"/>
      <c r="M240" s="14"/>
      <c r="N240" s="14"/>
      <c r="O240" s="14"/>
      <c r="P240" s="14"/>
      <c r="Q240" s="14"/>
      <c r="R240" s="14"/>
      <c r="S240" s="14"/>
      <c r="T240" s="14"/>
      <c r="U240" s="14"/>
      <c r="V240" s="14"/>
      <c r="W240" s="14"/>
      <c r="X240" s="14"/>
      <c r="Y240" s="14"/>
      <c r="Z240" s="14"/>
      <c r="AA240" s="14"/>
      <c r="AB240" s="14"/>
    </row>
    <row r="241" spans="1:28" ht="18" x14ac:dyDescent="0.35">
      <c r="A241" s="66"/>
      <c r="B241" s="146" t="s">
        <v>274</v>
      </c>
      <c r="C241" s="68" t="s">
        <v>275</v>
      </c>
      <c r="D241" s="148">
        <f>IF(D20="LDC0851",1000/(PI()*SQRT(2*D22*D240)),1000/(2*PI()*SQRT((D22+D52)*D240)))</f>
        <v>1.7963639089456678</v>
      </c>
      <c r="E241" s="149" t="s">
        <v>252</v>
      </c>
      <c r="F241" s="150" t="str">
        <f>IF(ISERROR(D241),"",IF(D241&lt;D234,"Fsensor is too low",IF(D241&gt;D235,"Fsensor is too high - increase L or C","")))</f>
        <v/>
      </c>
      <c r="G241" s="14"/>
      <c r="H241" s="14"/>
      <c r="I241" s="14"/>
      <c r="J241" s="14"/>
      <c r="K241" s="14"/>
      <c r="L241" s="14"/>
      <c r="M241" s="14"/>
      <c r="N241" s="14"/>
      <c r="O241" s="14"/>
      <c r="P241" s="14"/>
      <c r="Q241" s="14"/>
      <c r="R241" s="14"/>
      <c r="S241" s="14"/>
      <c r="T241" s="14"/>
      <c r="U241" s="14"/>
      <c r="V241" s="14"/>
      <c r="W241" s="14"/>
      <c r="X241" s="14"/>
      <c r="Y241" s="14"/>
      <c r="Z241" s="14"/>
      <c r="AA241" s="14"/>
      <c r="AB241" s="14"/>
    </row>
    <row r="242" spans="1:28" ht="18.600000000000001" x14ac:dyDescent="0.4">
      <c r="A242" s="66"/>
      <c r="B242" s="151" t="s">
        <v>276</v>
      </c>
      <c r="C242" s="147" t="s">
        <v>277</v>
      </c>
      <c r="D242" s="152">
        <f>D233/1000</f>
        <v>14.206960822647117</v>
      </c>
      <c r="E242" s="153" t="s">
        <v>247</v>
      </c>
      <c r="F242" s="150" t="str">
        <f>IF(ISERROR(D242),"",IF(D242&lt;D236,"Sensor Rp is too low - try a lower C or higher L",IF(D242&gt;D237,"Sensor Rp too high","")))</f>
        <v/>
      </c>
      <c r="G242" s="14"/>
      <c r="H242" s="14"/>
      <c r="I242" s="14"/>
      <c r="J242" s="14"/>
      <c r="K242" s="14"/>
      <c r="L242" s="14"/>
      <c r="M242" s="14"/>
      <c r="N242" s="14"/>
      <c r="O242" s="14"/>
      <c r="P242" s="14"/>
      <c r="Q242" s="14"/>
      <c r="R242" s="14"/>
      <c r="S242" s="14"/>
      <c r="T242" s="14"/>
      <c r="U242" s="14"/>
      <c r="V242" s="14"/>
      <c r="W242" s="14"/>
      <c r="X242" s="14"/>
      <c r="Y242" s="14"/>
      <c r="Z242" s="14"/>
      <c r="AA242" s="14"/>
      <c r="AB242" s="14"/>
    </row>
    <row r="243" spans="1:28" ht="18" x14ac:dyDescent="0.35">
      <c r="B243" s="146" t="s">
        <v>278</v>
      </c>
      <c r="C243" s="147" t="s">
        <v>279</v>
      </c>
      <c r="D243" s="154">
        <f>(D242)*SQRT(D22/D240)</f>
        <v>48.42535256940949</v>
      </c>
      <c r="E243" s="137"/>
      <c r="F243" s="150" t="str">
        <f>IF(ISERROR(D243),"",IF(D243&lt;D238,"Sensor Q is too low",IF(D243&gt;D239,"Sensor Q too high","")))</f>
        <v/>
      </c>
      <c r="G243" s="14"/>
      <c r="H243" s="14"/>
      <c r="I243" s="14"/>
      <c r="J243" s="14"/>
      <c r="K243" s="14"/>
      <c r="L243" s="14"/>
      <c r="M243" s="14"/>
      <c r="N243" s="14"/>
      <c r="O243" s="14"/>
      <c r="P243" s="14"/>
      <c r="Q243" s="14"/>
      <c r="R243" s="14"/>
      <c r="S243" s="14"/>
      <c r="T243" s="14"/>
      <c r="U243" s="14"/>
      <c r="V243" s="14"/>
      <c r="W243" s="14"/>
      <c r="X243" s="14"/>
      <c r="Y243" s="14"/>
      <c r="Z243" s="14"/>
      <c r="AA243" s="14"/>
      <c r="AB243" s="14"/>
    </row>
    <row r="244" spans="1:28" ht="18" hidden="1" x14ac:dyDescent="0.35">
      <c r="B244" s="155" t="s">
        <v>280</v>
      </c>
      <c r="C244" s="147" t="s">
        <v>281</v>
      </c>
      <c r="D244" s="156">
        <f>0.001*ROUND((100*D22/D243),-2)</f>
        <v>0.6</v>
      </c>
      <c r="E244" s="157" t="s">
        <v>282</v>
      </c>
      <c r="F244" s="150"/>
      <c r="G244" s="14"/>
      <c r="H244" s="14"/>
      <c r="I244" s="14"/>
      <c r="J244" s="14"/>
      <c r="K244" s="14"/>
      <c r="L244" s="14"/>
      <c r="M244" s="14"/>
      <c r="N244" s="14"/>
      <c r="O244" s="14"/>
      <c r="P244" s="14"/>
      <c r="Q244" s="14"/>
      <c r="R244" s="14"/>
      <c r="S244" s="14"/>
      <c r="T244" s="14"/>
      <c r="U244" s="14"/>
      <c r="V244" s="14"/>
      <c r="W244" s="14"/>
      <c r="X244" s="14"/>
      <c r="Y244" s="14"/>
      <c r="Z244" s="14"/>
      <c r="AA244" s="14"/>
      <c r="AB244" s="14"/>
    </row>
    <row r="245" spans="1:28" ht="18" hidden="1" x14ac:dyDescent="0.35">
      <c r="B245" s="155" t="s">
        <v>283</v>
      </c>
      <c r="C245" s="147" t="s">
        <v>284</v>
      </c>
      <c r="D245" s="156">
        <f>0.001*ROUND((1250*D22/D243),-1)</f>
        <v>7.74</v>
      </c>
      <c r="E245" s="157" t="s">
        <v>282</v>
      </c>
      <c r="F245" s="150"/>
      <c r="G245" s="14"/>
      <c r="H245" s="14"/>
      <c r="I245" s="14"/>
      <c r="J245" s="14"/>
      <c r="K245" s="14"/>
      <c r="L245" s="14"/>
      <c r="M245" s="14"/>
      <c r="N245" s="14"/>
      <c r="O245" s="14"/>
      <c r="P245" s="14"/>
      <c r="Q245" s="14"/>
      <c r="R245" s="14"/>
      <c r="S245" s="14"/>
      <c r="T245" s="14"/>
      <c r="U245" s="14"/>
      <c r="V245" s="14"/>
      <c r="W245" s="14"/>
      <c r="X245" s="14"/>
      <c r="Y245" s="14"/>
      <c r="Z245" s="14"/>
      <c r="AA245" s="14"/>
      <c r="AB245" s="14"/>
    </row>
    <row r="246" spans="1:28" ht="18" x14ac:dyDescent="0.35">
      <c r="B246" s="158" t="str">
        <f>IF(D20=B286,B288,"")</f>
        <v/>
      </c>
      <c r="C246" s="134" t="str">
        <f>IF(D20=B286,C288,"")</f>
        <v/>
      </c>
      <c r="D246" s="159" t="str">
        <f>IF(D20=B286,TEXT(D244,"##0.0#")&amp;"&lt; C &lt;"&amp;TEXT(D245,"###.0"),"")</f>
        <v/>
      </c>
      <c r="E246" s="160" t="str">
        <f>IF(D20=B286,"nF","")</f>
        <v/>
      </c>
      <c r="F246" s="161"/>
      <c r="G246" s="14"/>
      <c r="H246" s="14"/>
      <c r="I246" s="14"/>
      <c r="J246" s="14"/>
      <c r="K246" s="14"/>
      <c r="L246" s="14"/>
      <c r="M246" s="14"/>
      <c r="N246" s="14"/>
      <c r="O246" s="14"/>
      <c r="P246" s="14"/>
      <c r="Q246" s="14"/>
      <c r="R246" s="14"/>
      <c r="S246" s="14"/>
      <c r="T246" s="14"/>
      <c r="U246" s="14"/>
      <c r="V246" s="14"/>
      <c r="W246" s="14"/>
      <c r="X246" s="14"/>
      <c r="Y246" s="14"/>
      <c r="Z246" s="14"/>
      <c r="AA246" s="14"/>
      <c r="AB246" s="14"/>
    </row>
    <row r="247" spans="1:28" x14ac:dyDescent="0.3">
      <c r="A247" s="14"/>
      <c r="B247" s="14"/>
      <c r="C247" s="14"/>
      <c r="D247" s="162"/>
      <c r="E247" s="162"/>
      <c r="F247" s="163"/>
      <c r="G247" s="14"/>
      <c r="H247" s="14"/>
      <c r="I247" s="14"/>
      <c r="J247" s="14"/>
      <c r="K247" s="14"/>
      <c r="L247" s="14"/>
      <c r="M247" s="14"/>
      <c r="N247" s="14"/>
      <c r="O247" s="14"/>
      <c r="P247" s="14"/>
      <c r="Q247" s="14"/>
      <c r="R247" s="14"/>
      <c r="S247" s="14"/>
      <c r="T247" s="14"/>
      <c r="U247" s="14"/>
      <c r="V247" s="14"/>
      <c r="W247" s="14"/>
      <c r="X247" s="14"/>
      <c r="Y247" s="14"/>
      <c r="Z247" s="14"/>
      <c r="AA247" s="14"/>
      <c r="AB247" s="14"/>
    </row>
    <row r="248" spans="1:28" ht="13.95" customHeight="1" x14ac:dyDescent="0.3">
      <c r="A248" s="14"/>
      <c r="B248" s="121" t="s">
        <v>352</v>
      </c>
      <c r="C248" s="67"/>
      <c r="D248" s="196" t="s">
        <v>353</v>
      </c>
      <c r="E248" s="220" t="s">
        <v>354</v>
      </c>
      <c r="F248" s="211"/>
      <c r="G248" s="14"/>
      <c r="H248" s="14"/>
      <c r="I248" s="14"/>
      <c r="J248" s="14"/>
      <c r="K248" s="14"/>
      <c r="L248" s="14"/>
      <c r="M248" s="14"/>
      <c r="N248" s="14"/>
      <c r="O248" s="14"/>
      <c r="P248" s="14"/>
      <c r="Q248" s="14"/>
      <c r="R248" s="14"/>
      <c r="S248" s="14"/>
      <c r="T248" s="14"/>
      <c r="U248" s="14"/>
      <c r="V248" s="14"/>
      <c r="W248" s="14"/>
      <c r="X248" s="14"/>
      <c r="Y248" s="14"/>
      <c r="Z248" s="14"/>
      <c r="AA248" s="14"/>
      <c r="AB248" s="14"/>
    </row>
    <row r="249" spans="1:28" ht="15.6" x14ac:dyDescent="0.3">
      <c r="A249" s="14"/>
      <c r="B249" s="215" t="s">
        <v>315</v>
      </c>
      <c r="C249" s="145"/>
      <c r="D249" s="175"/>
      <c r="E249" s="145"/>
      <c r="F249" s="211"/>
      <c r="G249" s="14"/>
      <c r="H249" s="14"/>
      <c r="I249" s="14"/>
      <c r="J249" s="14"/>
      <c r="K249" s="14"/>
      <c r="L249" s="14"/>
      <c r="M249" s="14"/>
      <c r="N249" s="14"/>
      <c r="O249" s="14"/>
      <c r="P249" s="14"/>
      <c r="Q249" s="14"/>
      <c r="R249" s="14"/>
      <c r="S249" s="14"/>
      <c r="T249" s="14"/>
      <c r="U249" s="14"/>
      <c r="V249" s="14"/>
      <c r="W249" s="14"/>
      <c r="X249" s="14"/>
      <c r="Y249" s="14"/>
      <c r="Z249" s="14"/>
      <c r="AA249" s="14"/>
      <c r="AB249" s="14"/>
    </row>
    <row r="250" spans="1:28" hidden="1" x14ac:dyDescent="0.3">
      <c r="A250" s="14"/>
      <c r="B250" s="201" t="s">
        <v>331</v>
      </c>
      <c r="C250" s="201"/>
      <c r="D250" s="202">
        <f>D23</f>
        <v>2</v>
      </c>
      <c r="E250" s="67"/>
      <c r="F250" s="211"/>
      <c r="G250" s="14"/>
      <c r="H250" s="14"/>
      <c r="I250" s="14"/>
      <c r="J250" s="14"/>
      <c r="K250" s="14"/>
      <c r="L250" s="14"/>
      <c r="M250" s="14"/>
      <c r="N250" s="14"/>
      <c r="O250" s="14"/>
      <c r="P250" s="14"/>
      <c r="Q250" s="14"/>
      <c r="R250" s="14"/>
      <c r="S250" s="14"/>
      <c r="T250" s="14"/>
      <c r="U250" s="14"/>
      <c r="V250" s="14"/>
      <c r="W250" s="14"/>
      <c r="X250" s="14"/>
      <c r="Y250" s="14"/>
      <c r="Z250" s="14"/>
      <c r="AA250" s="14"/>
      <c r="AB250" s="14"/>
    </row>
    <row r="251" spans="1:28" hidden="1" x14ac:dyDescent="0.3">
      <c r="A251" s="14"/>
      <c r="B251" s="201" t="s">
        <v>323</v>
      </c>
      <c r="C251" s="201"/>
      <c r="D251" s="203">
        <f>D63</f>
        <v>0.30479999999999996</v>
      </c>
      <c r="E251" s="67"/>
      <c r="F251" s="211"/>
      <c r="G251" s="14"/>
      <c r="H251" s="14"/>
      <c r="I251" s="14"/>
      <c r="J251" s="14"/>
      <c r="K251" s="14"/>
      <c r="L251" s="14"/>
      <c r="M251" s="14"/>
      <c r="N251" s="14"/>
      <c r="O251" s="14"/>
      <c r="P251" s="14"/>
      <c r="Q251" s="14"/>
      <c r="R251" s="14"/>
      <c r="S251" s="14"/>
      <c r="T251" s="14"/>
      <c r="U251" s="14"/>
      <c r="V251" s="14"/>
      <c r="W251" s="14"/>
      <c r="X251" s="14"/>
      <c r="Y251" s="14"/>
      <c r="Z251" s="14"/>
      <c r="AA251" s="14"/>
      <c r="AB251" s="14"/>
    </row>
    <row r="252" spans="1:28" hidden="1" x14ac:dyDescent="0.3">
      <c r="A252" s="14"/>
      <c r="B252" s="201" t="s">
        <v>324</v>
      </c>
      <c r="C252" s="201"/>
      <c r="D252" s="203">
        <f t="shared" ref="D252:D257" si="3">D64</f>
        <v>0.20319999999999999</v>
      </c>
      <c r="E252" s="67"/>
      <c r="F252" s="211"/>
      <c r="G252" s="14"/>
      <c r="H252" s="14"/>
      <c r="I252" s="14"/>
      <c r="J252" s="14"/>
      <c r="K252" s="14"/>
      <c r="L252" s="14"/>
      <c r="M252" s="14"/>
      <c r="N252" s="14"/>
      <c r="O252" s="14"/>
      <c r="P252" s="14"/>
      <c r="Q252" s="14"/>
      <c r="R252" s="14"/>
      <c r="S252" s="14"/>
      <c r="T252" s="14"/>
      <c r="U252" s="14"/>
      <c r="V252" s="14"/>
      <c r="W252" s="14"/>
      <c r="X252" s="14"/>
      <c r="Y252" s="14"/>
      <c r="Z252" s="14"/>
      <c r="AA252" s="14"/>
      <c r="AB252" s="14"/>
    </row>
    <row r="253" spans="1:28" hidden="1" x14ac:dyDescent="0.3">
      <c r="A253" s="14"/>
      <c r="B253" s="201" t="s">
        <v>325</v>
      </c>
      <c r="C253" s="201"/>
      <c r="D253" s="203">
        <f t="shared" si="3"/>
        <v>0.20319999999999999</v>
      </c>
      <c r="E253" s="67"/>
      <c r="F253" s="211"/>
      <c r="G253" s="14"/>
      <c r="H253" s="14"/>
      <c r="I253" s="14"/>
      <c r="J253" s="14"/>
      <c r="K253" s="14"/>
      <c r="L253" s="14"/>
      <c r="M253" s="14"/>
      <c r="N253" s="14"/>
      <c r="O253" s="14"/>
      <c r="P253" s="14"/>
      <c r="Q253" s="14"/>
      <c r="R253" s="14"/>
      <c r="S253" s="14"/>
      <c r="T253" s="14"/>
      <c r="U253" s="14"/>
      <c r="V253" s="14"/>
      <c r="W253" s="14"/>
      <c r="X253" s="14"/>
      <c r="Y253" s="14"/>
      <c r="Z253" s="14"/>
      <c r="AA253" s="14"/>
      <c r="AB253" s="14"/>
    </row>
    <row r="254" spans="1:28" hidden="1" x14ac:dyDescent="0.3">
      <c r="A254" s="14"/>
      <c r="B254" s="201" t="s">
        <v>326</v>
      </c>
      <c r="C254" s="201"/>
      <c r="D254" s="203">
        <f t="shared" si="3"/>
        <v>0.20319999999999999</v>
      </c>
      <c r="E254" s="67"/>
      <c r="F254" s="211"/>
      <c r="G254" s="14"/>
      <c r="H254" s="14"/>
      <c r="I254" s="14"/>
      <c r="J254" s="14"/>
      <c r="K254" s="14"/>
      <c r="L254" s="14"/>
      <c r="M254" s="14"/>
      <c r="N254" s="14"/>
      <c r="O254" s="14"/>
      <c r="P254" s="14"/>
      <c r="Q254" s="14"/>
      <c r="R254" s="14"/>
      <c r="S254" s="14"/>
      <c r="T254" s="14"/>
      <c r="U254" s="14"/>
      <c r="V254" s="14"/>
      <c r="W254" s="14"/>
      <c r="X254" s="14"/>
      <c r="Y254" s="14"/>
      <c r="Z254" s="14"/>
      <c r="AA254" s="14"/>
      <c r="AB254" s="14"/>
    </row>
    <row r="255" spans="1:28" hidden="1" x14ac:dyDescent="0.3">
      <c r="A255" s="14"/>
      <c r="B255" s="201" t="s">
        <v>327</v>
      </c>
      <c r="C255" s="201"/>
      <c r="D255" s="203">
        <f t="shared" si="3"/>
        <v>0.20319999999999999</v>
      </c>
      <c r="E255" s="67"/>
      <c r="F255" s="211"/>
      <c r="G255" s="14"/>
      <c r="H255" s="14"/>
      <c r="I255" s="14"/>
      <c r="J255" s="14"/>
      <c r="K255" s="14"/>
      <c r="L255" s="14"/>
      <c r="M255" s="14"/>
      <c r="N255" s="14"/>
      <c r="O255" s="14"/>
      <c r="P255" s="14"/>
      <c r="Q255" s="14"/>
      <c r="R255" s="14"/>
      <c r="S255" s="14"/>
      <c r="T255" s="14"/>
      <c r="U255" s="14"/>
      <c r="V255" s="14"/>
      <c r="W255" s="14"/>
      <c r="X255" s="14"/>
      <c r="Y255" s="14"/>
      <c r="Z255" s="14"/>
      <c r="AA255" s="14"/>
      <c r="AB255" s="14"/>
    </row>
    <row r="256" spans="1:28" hidden="1" x14ac:dyDescent="0.3">
      <c r="A256" s="14"/>
      <c r="B256" s="201" t="s">
        <v>328</v>
      </c>
      <c r="C256" s="201"/>
      <c r="D256" s="203">
        <f t="shared" si="3"/>
        <v>0.20319999999999999</v>
      </c>
      <c r="E256" s="67"/>
      <c r="F256" s="211"/>
      <c r="G256" s="14"/>
      <c r="H256" s="14"/>
      <c r="I256" s="14"/>
      <c r="J256" s="14"/>
      <c r="K256" s="14"/>
      <c r="L256" s="14"/>
      <c r="M256" s="14"/>
      <c r="N256" s="14"/>
      <c r="O256" s="14"/>
      <c r="P256" s="14"/>
      <c r="Q256" s="14"/>
      <c r="R256" s="14"/>
      <c r="S256" s="14"/>
      <c r="T256" s="14"/>
      <c r="U256" s="14"/>
      <c r="V256" s="14"/>
      <c r="W256" s="14"/>
      <c r="X256" s="14"/>
      <c r="Y256" s="14"/>
      <c r="Z256" s="14"/>
      <c r="AA256" s="14"/>
      <c r="AB256" s="14"/>
    </row>
    <row r="257" spans="1:28" hidden="1" x14ac:dyDescent="0.3">
      <c r="A257" s="14"/>
      <c r="B257" s="201" t="s">
        <v>329</v>
      </c>
      <c r="C257" s="201"/>
      <c r="D257" s="203">
        <f t="shared" si="3"/>
        <v>2.2351999999999999</v>
      </c>
      <c r="E257" s="67"/>
      <c r="F257" s="211"/>
      <c r="G257" s="14"/>
      <c r="H257" s="14"/>
      <c r="I257" s="14"/>
      <c r="J257" s="14"/>
      <c r="K257" s="14"/>
      <c r="L257" s="14"/>
      <c r="M257" s="14"/>
      <c r="N257" s="14"/>
      <c r="O257" s="14"/>
      <c r="P257" s="14"/>
      <c r="Q257" s="14"/>
      <c r="R257" s="14"/>
      <c r="S257" s="14"/>
      <c r="T257" s="14"/>
      <c r="U257" s="14"/>
      <c r="V257" s="14"/>
      <c r="W257" s="14"/>
      <c r="X257" s="14"/>
      <c r="Y257" s="14"/>
      <c r="Z257" s="14"/>
      <c r="AA257" s="14"/>
      <c r="AB257" s="14"/>
    </row>
    <row r="258" spans="1:28" hidden="1" x14ac:dyDescent="0.3">
      <c r="A258" s="14"/>
      <c r="B258" s="201" t="s">
        <v>316</v>
      </c>
      <c r="C258" s="201"/>
      <c r="D258" s="204">
        <f>D24</f>
        <v>12</v>
      </c>
      <c r="E258" s="67"/>
      <c r="F258" s="211"/>
      <c r="G258" s="14"/>
      <c r="H258" s="14"/>
      <c r="I258" s="14"/>
      <c r="J258" s="14"/>
      <c r="K258" s="14"/>
      <c r="L258" s="14"/>
      <c r="M258" s="14"/>
      <c r="N258" s="14"/>
      <c r="O258" s="14"/>
      <c r="P258" s="14"/>
      <c r="Q258" s="14"/>
      <c r="R258" s="14"/>
      <c r="S258" s="14"/>
      <c r="T258" s="14"/>
      <c r="U258" s="14"/>
      <c r="V258" s="14"/>
      <c r="W258" s="14"/>
      <c r="X258" s="14"/>
      <c r="Y258" s="14"/>
      <c r="Z258" s="14"/>
      <c r="AA258" s="14"/>
      <c r="AB258" s="14"/>
    </row>
    <row r="259" spans="1:28" hidden="1" x14ac:dyDescent="0.3">
      <c r="A259" s="14"/>
      <c r="B259" s="201" t="s">
        <v>317</v>
      </c>
      <c r="C259" s="201"/>
      <c r="D259" s="205">
        <f>D27</f>
        <v>34</v>
      </c>
      <c r="E259" s="67"/>
      <c r="F259" s="211"/>
      <c r="G259" s="14"/>
      <c r="H259" s="14"/>
      <c r="I259" s="14"/>
      <c r="J259" s="14"/>
      <c r="K259" s="14"/>
      <c r="L259" s="14"/>
      <c r="M259" s="14"/>
      <c r="N259" s="14"/>
      <c r="O259" s="14"/>
      <c r="P259" s="14"/>
      <c r="Q259" s="14"/>
      <c r="R259" s="14"/>
      <c r="S259" s="14"/>
      <c r="T259" s="14"/>
      <c r="U259" s="14"/>
      <c r="V259" s="14"/>
      <c r="W259" s="14"/>
      <c r="X259" s="14"/>
      <c r="Y259" s="14"/>
      <c r="Z259" s="14"/>
      <c r="AA259" s="14"/>
      <c r="AB259" s="14"/>
    </row>
    <row r="260" spans="1:28" hidden="1" x14ac:dyDescent="0.3">
      <c r="A260" s="14"/>
      <c r="B260" s="201" t="s">
        <v>318</v>
      </c>
      <c r="C260" s="201"/>
      <c r="D260" s="205">
        <f>D38</f>
        <v>0.25</v>
      </c>
      <c r="E260" s="67"/>
      <c r="F260" s="211"/>
      <c r="G260" s="14"/>
      <c r="H260" s="14"/>
      <c r="I260" s="14"/>
      <c r="J260" s="14"/>
      <c r="K260" s="14"/>
      <c r="L260" s="14"/>
      <c r="M260" s="14"/>
      <c r="N260" s="14"/>
      <c r="O260" s="14"/>
      <c r="P260" s="14"/>
      <c r="Q260" s="14"/>
      <c r="R260" s="14"/>
      <c r="S260" s="14"/>
      <c r="T260" s="14"/>
      <c r="U260" s="14"/>
      <c r="V260" s="14"/>
      <c r="W260" s="14"/>
      <c r="X260" s="14"/>
      <c r="Y260" s="14"/>
      <c r="Z260" s="14"/>
      <c r="AA260" s="14"/>
      <c r="AB260" s="14"/>
    </row>
    <row r="261" spans="1:28" hidden="1" x14ac:dyDescent="0.3">
      <c r="A261" s="14"/>
      <c r="B261" s="201" t="s">
        <v>319</v>
      </c>
      <c r="C261" s="201"/>
      <c r="D261" s="205">
        <f>D35</f>
        <v>0.125</v>
      </c>
      <c r="E261" s="67"/>
      <c r="F261" s="211"/>
      <c r="G261" s="14"/>
      <c r="H261" s="14"/>
      <c r="I261" s="14"/>
      <c r="J261" s="14"/>
      <c r="K261" s="14"/>
      <c r="L261" s="14"/>
      <c r="M261" s="14"/>
      <c r="N261" s="14"/>
      <c r="O261" s="14"/>
      <c r="P261" s="14"/>
      <c r="Q261" s="14"/>
      <c r="R261" s="14"/>
      <c r="S261" s="14"/>
      <c r="T261" s="14"/>
      <c r="U261" s="14"/>
      <c r="V261" s="14"/>
      <c r="W261" s="14"/>
      <c r="X261" s="14"/>
      <c r="Y261" s="14"/>
      <c r="Z261" s="14"/>
      <c r="AA261" s="14"/>
      <c r="AB261" s="14"/>
    </row>
    <row r="262" spans="1:28" hidden="1" x14ac:dyDescent="0.3">
      <c r="A262" s="14"/>
      <c r="B262" s="201" t="s">
        <v>320</v>
      </c>
      <c r="C262" s="201"/>
      <c r="D262" s="206">
        <f>D48</f>
        <v>3.4700000000000002E-2</v>
      </c>
      <c r="E262" s="67"/>
      <c r="F262" s="211"/>
      <c r="G262" s="14"/>
      <c r="H262" s="14"/>
      <c r="I262" s="14"/>
      <c r="J262" s="14"/>
      <c r="K262" s="14"/>
      <c r="L262" s="14"/>
      <c r="M262" s="14"/>
      <c r="N262" s="14"/>
      <c r="O262" s="14"/>
      <c r="P262" s="14"/>
      <c r="Q262" s="14"/>
      <c r="R262" s="14"/>
      <c r="S262" s="14"/>
      <c r="T262" s="14"/>
      <c r="U262" s="14"/>
      <c r="V262" s="14"/>
      <c r="W262" s="14"/>
      <c r="X262" s="14"/>
      <c r="Y262" s="14"/>
      <c r="Z262" s="14"/>
      <c r="AA262" s="14"/>
      <c r="AB262" s="14"/>
    </row>
    <row r="263" spans="1:28" hidden="1" x14ac:dyDescent="0.3">
      <c r="A263" s="14"/>
      <c r="B263" s="201" t="s">
        <v>321</v>
      </c>
      <c r="C263" s="201"/>
      <c r="D263" s="207">
        <f>D53</f>
        <v>1.6932048000000001E-8</v>
      </c>
      <c r="E263" s="67"/>
      <c r="F263" s="211"/>
      <c r="G263" s="14"/>
      <c r="H263" s="14"/>
      <c r="I263" s="14"/>
      <c r="J263" s="14"/>
      <c r="K263" s="14"/>
      <c r="L263" s="14"/>
      <c r="M263" s="14"/>
      <c r="N263" s="14"/>
      <c r="O263" s="14"/>
      <c r="P263" s="14"/>
      <c r="Q263" s="14"/>
      <c r="R263" s="14"/>
      <c r="S263" s="14"/>
      <c r="T263" s="14"/>
      <c r="U263" s="14"/>
      <c r="V263" s="14"/>
      <c r="W263" s="14"/>
      <c r="X263" s="14"/>
      <c r="Y263" s="14"/>
      <c r="Z263" s="14"/>
      <c r="AA263" s="14"/>
      <c r="AB263" s="14"/>
    </row>
    <row r="264" spans="1:28" hidden="1" x14ac:dyDescent="0.3">
      <c r="A264" s="14"/>
      <c r="B264" s="201" t="s">
        <v>299</v>
      </c>
      <c r="C264" s="201"/>
      <c r="D264" s="205" t="str">
        <f>D208</f>
        <v>Aluminum, 1100</v>
      </c>
      <c r="E264" s="67"/>
      <c r="F264" s="211"/>
      <c r="G264" s="14"/>
      <c r="H264" s="14"/>
      <c r="I264" s="14"/>
      <c r="J264" s="14"/>
      <c r="K264" s="14"/>
      <c r="L264" s="14"/>
      <c r="M264" s="14"/>
      <c r="N264" s="14"/>
      <c r="O264" s="14"/>
      <c r="P264" s="14"/>
      <c r="Q264" s="14"/>
      <c r="R264" s="14"/>
      <c r="S264" s="14"/>
      <c r="T264" s="14"/>
      <c r="U264" s="14"/>
      <c r="V264" s="14"/>
      <c r="W264" s="14"/>
      <c r="X264" s="14"/>
      <c r="Y264" s="14"/>
      <c r="Z264" s="14"/>
      <c r="AA264" s="14"/>
      <c r="AB264" s="14"/>
    </row>
    <row r="265" spans="1:28" hidden="1" x14ac:dyDescent="0.3">
      <c r="A265" s="14"/>
      <c r="B265" s="201" t="s">
        <v>300</v>
      </c>
      <c r="C265" s="201"/>
      <c r="D265" s="205">
        <f>D221</f>
        <v>2</v>
      </c>
      <c r="E265" s="67"/>
      <c r="F265" s="211"/>
      <c r="G265" s="14"/>
      <c r="H265" s="14"/>
      <c r="I265" s="14"/>
      <c r="J265" s="14"/>
      <c r="K265" s="14"/>
      <c r="L265" s="14"/>
      <c r="M265" s="14"/>
      <c r="N265" s="14"/>
      <c r="O265" s="14"/>
      <c r="P265" s="14"/>
      <c r="Q265" s="14"/>
      <c r="R265" s="14"/>
      <c r="S265" s="14"/>
      <c r="T265" s="14"/>
      <c r="U265" s="14"/>
      <c r="V265" s="14"/>
      <c r="W265" s="14"/>
      <c r="X265" s="14"/>
      <c r="Y265" s="14"/>
      <c r="Z265" s="14"/>
      <c r="AA265" s="14"/>
      <c r="AB265" s="14"/>
    </row>
    <row r="266" spans="1:28" hidden="1" x14ac:dyDescent="0.3">
      <c r="A266" s="14"/>
      <c r="B266" s="201" t="s">
        <v>254</v>
      </c>
      <c r="C266" s="201"/>
      <c r="D266" s="205">
        <f>D222</f>
        <v>53</v>
      </c>
      <c r="E266" s="67"/>
      <c r="F266" s="211"/>
      <c r="G266" s="14"/>
      <c r="H266" s="14"/>
      <c r="I266" s="14"/>
      <c r="J266" s="14"/>
      <c r="K266" s="14"/>
      <c r="L266" s="14"/>
      <c r="M266" s="14"/>
      <c r="N266" s="14"/>
      <c r="O266" s="14"/>
      <c r="P266" s="14"/>
      <c r="Q266" s="14"/>
      <c r="R266" s="14"/>
      <c r="S266" s="14"/>
      <c r="T266" s="14"/>
      <c r="U266" s="14"/>
      <c r="V266" s="14"/>
      <c r="W266" s="14"/>
      <c r="X266" s="14"/>
      <c r="Y266" s="14"/>
      <c r="Z266" s="14"/>
      <c r="AA266" s="14"/>
      <c r="AB266" s="14"/>
    </row>
    <row r="267" spans="1:28" hidden="1" x14ac:dyDescent="0.3">
      <c r="A267" s="14"/>
      <c r="B267" s="201" t="s">
        <v>322</v>
      </c>
      <c r="C267" s="201"/>
      <c r="D267" s="208">
        <f>D22+D52</f>
        <v>304</v>
      </c>
      <c r="E267" s="67"/>
      <c r="F267" s="211"/>
      <c r="G267" s="14"/>
      <c r="H267" s="14"/>
      <c r="I267" s="14"/>
      <c r="J267" s="14"/>
      <c r="K267" s="14"/>
      <c r="L267" s="14"/>
      <c r="M267" s="14"/>
      <c r="N267" s="14"/>
      <c r="O267" s="14"/>
      <c r="P267" s="14"/>
      <c r="Q267" s="14"/>
      <c r="R267" s="14"/>
      <c r="S267" s="14"/>
      <c r="T267" s="14"/>
      <c r="U267" s="14"/>
      <c r="V267" s="14"/>
      <c r="W267" s="14"/>
      <c r="X267" s="14"/>
      <c r="Y267" s="14"/>
      <c r="Z267" s="14"/>
      <c r="AA267" s="14"/>
      <c r="AB267" s="14"/>
    </row>
    <row r="268" spans="1:28" hidden="1" x14ac:dyDescent="0.3">
      <c r="A268" s="14"/>
      <c r="B268" s="201" t="s">
        <v>330</v>
      </c>
      <c r="C268" s="201"/>
      <c r="D268" s="205">
        <f>IF(ISNUMBER(D241),D241,1)</f>
        <v>1.7963639089456678</v>
      </c>
      <c r="E268" s="67"/>
      <c r="F268" s="211"/>
      <c r="G268" s="14"/>
      <c r="H268" s="14"/>
      <c r="I268" s="14"/>
      <c r="J268" s="14"/>
      <c r="K268" s="14"/>
      <c r="L268" s="14"/>
      <c r="M268" s="14"/>
      <c r="N268" s="14"/>
      <c r="O268" s="14"/>
      <c r="P268" s="14"/>
      <c r="Q268" s="14"/>
      <c r="R268" s="14"/>
      <c r="S268" s="14"/>
      <c r="T268" s="14"/>
      <c r="U268" s="14"/>
      <c r="V268" s="14"/>
      <c r="W268" s="14"/>
      <c r="X268" s="14"/>
      <c r="Y268" s="14"/>
      <c r="Z268" s="14"/>
      <c r="AA268" s="14"/>
      <c r="AB268" s="14"/>
    </row>
    <row r="269" spans="1:28" hidden="1" x14ac:dyDescent="0.3">
      <c r="A269" s="14"/>
      <c r="B269" s="201" t="s">
        <v>350</v>
      </c>
      <c r="C269" s="67"/>
      <c r="D269" s="206">
        <f>D57</f>
        <v>24.875</v>
      </c>
      <c r="E269" s="67"/>
      <c r="F269" s="211"/>
      <c r="G269" s="14"/>
      <c r="H269" s="14"/>
      <c r="I269" s="14"/>
      <c r="J269" s="14"/>
      <c r="K269" s="14"/>
      <c r="L269" s="14"/>
      <c r="M269" s="14"/>
      <c r="N269" s="14"/>
      <c r="O269" s="14"/>
      <c r="P269" s="14"/>
      <c r="Q269" s="14"/>
      <c r="R269" s="14"/>
      <c r="S269" s="14"/>
      <c r="T269" s="14"/>
      <c r="U269" s="14"/>
      <c r="V269" s="14"/>
      <c r="W269" s="14"/>
      <c r="X269" s="14"/>
      <c r="Y269" s="14"/>
      <c r="Z269" s="14"/>
      <c r="AA269" s="14"/>
      <c r="AB269" s="14"/>
    </row>
    <row r="270" spans="1:28" hidden="1" x14ac:dyDescent="0.3">
      <c r="A270" s="14"/>
      <c r="B270" s="201" t="s">
        <v>349</v>
      </c>
      <c r="C270" s="67"/>
      <c r="D270" s="228">
        <f>D30</f>
        <v>17.399999999999999</v>
      </c>
      <c r="E270" s="67"/>
      <c r="F270" s="211"/>
      <c r="G270" s="14"/>
      <c r="H270" s="14"/>
      <c r="I270" s="14"/>
      <c r="J270" s="14"/>
      <c r="K270" s="14"/>
      <c r="L270" s="14"/>
      <c r="M270" s="14"/>
      <c r="N270" s="14"/>
      <c r="O270" s="14"/>
      <c r="P270" s="14"/>
      <c r="Q270" s="14"/>
      <c r="R270" s="14"/>
      <c r="S270" s="14"/>
      <c r="T270" s="14"/>
      <c r="U270" s="14"/>
      <c r="V270" s="14"/>
      <c r="W270" s="14"/>
      <c r="X270" s="14"/>
      <c r="Y270" s="14"/>
      <c r="Z270" s="14"/>
      <c r="AA270" s="14"/>
      <c r="AB270" s="14"/>
    </row>
    <row r="271" spans="1:28" ht="15.6" hidden="1" x14ac:dyDescent="0.3">
      <c r="A271" s="14"/>
      <c r="B271" s="216" t="s">
        <v>336</v>
      </c>
      <c r="C271" s="67"/>
      <c r="D271" s="175" t="b">
        <v>0</v>
      </c>
      <c r="E271" s="67"/>
      <c r="F271" s="211"/>
      <c r="G271" s="14"/>
      <c r="H271" s="14"/>
      <c r="I271" s="14"/>
      <c r="J271" s="14"/>
      <c r="K271" s="14"/>
      <c r="L271" s="14"/>
      <c r="M271" s="14"/>
      <c r="N271" s="14"/>
      <c r="O271" s="14"/>
      <c r="P271" s="14"/>
      <c r="Q271" s="14"/>
      <c r="R271" s="14"/>
      <c r="S271" s="14"/>
      <c r="T271" s="14"/>
      <c r="U271" s="14"/>
      <c r="V271" s="14"/>
      <c r="W271" s="14"/>
      <c r="X271" s="14"/>
      <c r="Y271" s="14"/>
      <c r="Z271" s="14"/>
      <c r="AA271" s="14"/>
      <c r="AB271" s="14"/>
    </row>
    <row r="272" spans="1:28" ht="15.6" hidden="1" x14ac:dyDescent="0.3">
      <c r="A272" s="14"/>
      <c r="B272" s="216" t="s">
        <v>333</v>
      </c>
      <c r="C272" s="67"/>
      <c r="D272" s="175" t="b">
        <v>0</v>
      </c>
      <c r="E272" s="67"/>
      <c r="F272" s="211"/>
      <c r="G272" s="14"/>
      <c r="H272" s="14"/>
      <c r="I272" s="14"/>
      <c r="J272" s="14"/>
      <c r="K272" s="14"/>
      <c r="L272" s="14"/>
      <c r="M272" s="14"/>
      <c r="N272" s="14"/>
      <c r="O272" s="14"/>
      <c r="P272" s="14"/>
      <c r="Q272" s="14"/>
      <c r="R272" s="14"/>
      <c r="S272" s="14"/>
      <c r="T272" s="14"/>
      <c r="U272" s="14"/>
      <c r="V272" s="14"/>
      <c r="W272" s="14"/>
      <c r="X272" s="14"/>
      <c r="Y272" s="14"/>
      <c r="Z272" s="14"/>
      <c r="AA272" s="14"/>
      <c r="AB272" s="14"/>
    </row>
    <row r="273" spans="1:28" ht="15.6" x14ac:dyDescent="0.3">
      <c r="A273" s="14"/>
      <c r="B273" s="217" t="s">
        <v>97</v>
      </c>
      <c r="C273" s="29"/>
      <c r="D273" s="221"/>
      <c r="E273" s="32" t="s">
        <v>225</v>
      </c>
      <c r="F273" s="211"/>
      <c r="G273" s="14"/>
      <c r="H273" s="14"/>
      <c r="I273" s="14"/>
      <c r="J273" s="14"/>
      <c r="K273" s="14"/>
      <c r="L273" s="14"/>
      <c r="M273" s="14"/>
      <c r="N273" s="14"/>
      <c r="O273" s="14"/>
      <c r="P273" s="14"/>
      <c r="Q273" s="14"/>
      <c r="R273" s="14"/>
      <c r="S273" s="14"/>
      <c r="T273" s="14"/>
      <c r="U273" s="14"/>
      <c r="V273" s="14"/>
      <c r="W273" s="14"/>
      <c r="X273" s="14"/>
      <c r="Y273" s="14"/>
      <c r="Z273" s="14"/>
      <c r="AA273" s="14"/>
      <c r="AB273" s="14"/>
    </row>
    <row r="274" spans="1:28" ht="15.6" x14ac:dyDescent="0.3">
      <c r="A274" s="14"/>
      <c r="B274" s="217" t="s">
        <v>244</v>
      </c>
      <c r="C274" s="29"/>
      <c r="D274" s="197"/>
      <c r="E274" s="177" t="s">
        <v>247</v>
      </c>
      <c r="F274" s="211"/>
      <c r="G274" s="14"/>
      <c r="H274" s="14"/>
      <c r="I274" s="14"/>
      <c r="J274" s="14"/>
      <c r="K274" s="14"/>
      <c r="L274" s="14"/>
      <c r="M274" s="14"/>
      <c r="N274" s="14"/>
      <c r="O274" s="14"/>
      <c r="P274" s="14"/>
      <c r="Q274" s="14"/>
      <c r="R274" s="14"/>
      <c r="S274" s="14"/>
      <c r="T274" s="14"/>
      <c r="U274" s="14"/>
      <c r="V274" s="14"/>
      <c r="W274" s="14"/>
      <c r="X274" s="14"/>
      <c r="Y274" s="14"/>
      <c r="Z274" s="14"/>
      <c r="AA274" s="14"/>
      <c r="AB274" s="14"/>
    </row>
    <row r="275" spans="1:28" ht="15.6" x14ac:dyDescent="0.3">
      <c r="A275" s="14"/>
      <c r="B275" s="217" t="s">
        <v>249</v>
      </c>
      <c r="C275" s="29"/>
      <c r="D275" s="198"/>
      <c r="E275" s="218"/>
      <c r="F275" s="211"/>
      <c r="G275" s="14"/>
      <c r="H275" s="14"/>
      <c r="I275" s="14"/>
      <c r="J275" s="14"/>
      <c r="K275" s="14"/>
      <c r="L275" s="14"/>
      <c r="M275" s="14"/>
      <c r="N275" s="14"/>
      <c r="O275" s="14"/>
      <c r="P275" s="14"/>
      <c r="Q275" s="14"/>
      <c r="R275" s="14"/>
      <c r="S275" s="14"/>
      <c r="T275" s="14"/>
      <c r="U275" s="14"/>
      <c r="V275" s="14"/>
      <c r="W275" s="14"/>
      <c r="X275" s="14"/>
      <c r="Y275" s="14"/>
      <c r="Z275" s="14"/>
      <c r="AA275" s="14"/>
      <c r="AB275" s="14"/>
    </row>
    <row r="276" spans="1:28" ht="15.6" x14ac:dyDescent="0.3">
      <c r="A276" s="14"/>
      <c r="B276" s="124" t="s">
        <v>332</v>
      </c>
      <c r="C276" s="29"/>
      <c r="D276" s="221"/>
      <c r="E276" s="219" t="s">
        <v>252</v>
      </c>
      <c r="F276" s="211"/>
      <c r="G276" s="14"/>
      <c r="H276" s="14"/>
      <c r="I276" s="14"/>
      <c r="J276" s="14"/>
      <c r="K276" s="14"/>
      <c r="L276" s="14"/>
      <c r="M276" s="14"/>
      <c r="N276" s="14"/>
      <c r="O276" s="14"/>
      <c r="P276" s="14"/>
      <c r="Q276" s="14"/>
      <c r="R276" s="14"/>
      <c r="S276" s="14"/>
      <c r="T276" s="14"/>
      <c r="U276" s="14"/>
      <c r="V276" s="14"/>
      <c r="W276" s="14"/>
      <c r="X276" s="14"/>
      <c r="Y276" s="14"/>
      <c r="Z276" s="14"/>
      <c r="AA276" s="14"/>
      <c r="AB276" s="14"/>
    </row>
    <row r="277" spans="1:28" ht="15.6" x14ac:dyDescent="0.3">
      <c r="A277" s="14"/>
      <c r="B277" s="26" t="s">
        <v>341</v>
      </c>
      <c r="C277" s="29"/>
      <c r="D277" s="223">
        <v>1E-3</v>
      </c>
      <c r="E277" s="219" t="s">
        <v>19</v>
      </c>
      <c r="F277" s="211"/>
      <c r="G277" s="14"/>
      <c r="H277" s="14"/>
      <c r="I277" s="14"/>
      <c r="J277" s="14"/>
      <c r="K277" s="14"/>
      <c r="L277" s="14"/>
      <c r="M277" s="14"/>
      <c r="N277" s="14"/>
      <c r="O277" s="14"/>
      <c r="P277" s="14"/>
      <c r="Q277" s="14"/>
      <c r="R277" s="14"/>
      <c r="S277" s="14"/>
      <c r="T277" s="14"/>
      <c r="U277" s="14"/>
      <c r="V277" s="14"/>
      <c r="W277" s="14"/>
      <c r="X277" s="14"/>
      <c r="Y277" s="14"/>
      <c r="Z277" s="14"/>
      <c r="AA277" s="14"/>
      <c r="AB277" s="14"/>
    </row>
    <row r="278" spans="1:28" s="3" customFormat="1" ht="15.6" x14ac:dyDescent="0.3">
      <c r="A278" s="162"/>
      <c r="B278" s="26" t="s">
        <v>342</v>
      </c>
      <c r="C278" s="29"/>
      <c r="D278" s="224"/>
      <c r="E278" s="219" t="s">
        <v>252</v>
      </c>
      <c r="F278" s="212"/>
      <c r="G278" s="14"/>
      <c r="H278" s="14"/>
      <c r="I278" s="162"/>
      <c r="J278" s="162"/>
      <c r="K278" s="162"/>
      <c r="L278" s="162"/>
      <c r="M278" s="162"/>
      <c r="N278" s="162"/>
      <c r="O278" s="162"/>
      <c r="P278" s="162"/>
      <c r="Q278" s="162"/>
      <c r="R278" s="162"/>
      <c r="S278" s="162"/>
      <c r="T278" s="162"/>
      <c r="U278" s="162"/>
      <c r="V278" s="162"/>
      <c r="W278" s="162"/>
      <c r="X278" s="162"/>
      <c r="Y278" s="162"/>
      <c r="Z278" s="162"/>
      <c r="AA278" s="162"/>
      <c r="AB278" s="162"/>
    </row>
    <row r="279" spans="1:28" s="3" customFormat="1" ht="15.6" x14ac:dyDescent="0.3">
      <c r="A279" s="162"/>
      <c r="B279" s="26" t="s">
        <v>335</v>
      </c>
      <c r="C279" s="29"/>
      <c r="D279" s="222"/>
      <c r="E279" s="219" t="s">
        <v>334</v>
      </c>
      <c r="F279" s="164"/>
      <c r="G279" s="14"/>
      <c r="H279" s="14"/>
      <c r="I279" s="162"/>
      <c r="J279" s="162"/>
      <c r="K279" s="162"/>
      <c r="L279" s="162"/>
      <c r="M279" s="162"/>
      <c r="N279" s="162"/>
      <c r="O279" s="162"/>
      <c r="P279" s="162"/>
      <c r="Q279" s="162"/>
      <c r="R279" s="162"/>
      <c r="S279" s="162"/>
      <c r="T279" s="162"/>
      <c r="U279" s="162"/>
      <c r="V279" s="162"/>
      <c r="W279" s="162"/>
      <c r="X279" s="162"/>
      <c r="Y279" s="162"/>
      <c r="Z279" s="162"/>
      <c r="AA279" s="162"/>
      <c r="AB279" s="162"/>
    </row>
    <row r="280" spans="1:28" hidden="1" x14ac:dyDescent="0.3">
      <c r="A280" s="14"/>
      <c r="B280" s="167" t="s">
        <v>285</v>
      </c>
      <c r="C280" s="167" t="s">
        <v>286</v>
      </c>
      <c r="D280" s="168" t="s">
        <v>287</v>
      </c>
      <c r="E280" s="168" t="s">
        <v>288</v>
      </c>
      <c r="F280" s="168" t="s">
        <v>289</v>
      </c>
      <c r="G280" s="169" t="s">
        <v>290</v>
      </c>
      <c r="H280" s="170" t="s">
        <v>291</v>
      </c>
      <c r="I280" s="14"/>
      <c r="J280" s="14"/>
      <c r="K280" s="14"/>
      <c r="L280" s="14"/>
      <c r="M280" s="14"/>
      <c r="N280" s="14"/>
      <c r="O280" s="14"/>
      <c r="P280" s="14"/>
      <c r="Q280" s="14"/>
      <c r="R280" s="14"/>
      <c r="S280" s="14"/>
      <c r="T280" s="14"/>
      <c r="U280" s="14"/>
      <c r="V280" s="14"/>
      <c r="W280" s="14"/>
      <c r="X280" s="14"/>
      <c r="Y280" s="14"/>
      <c r="Z280" s="14"/>
      <c r="AA280" s="14"/>
      <c r="AB280" s="14"/>
    </row>
    <row r="281" spans="1:28" hidden="1" x14ac:dyDescent="0.3">
      <c r="A281" s="14"/>
      <c r="B281" s="171" t="s">
        <v>292</v>
      </c>
      <c r="C281" s="171">
        <v>1</v>
      </c>
      <c r="D281" s="172">
        <v>60</v>
      </c>
      <c r="E281" s="172">
        <v>2.5</v>
      </c>
      <c r="F281" s="173">
        <v>100</v>
      </c>
      <c r="G281" s="174">
        <v>0.5</v>
      </c>
      <c r="H281" s="175">
        <v>10</v>
      </c>
      <c r="I281" s="14"/>
      <c r="J281" s="14"/>
      <c r="K281" s="14"/>
      <c r="L281" s="14"/>
      <c r="M281" s="14"/>
      <c r="N281" s="14"/>
      <c r="O281" s="14"/>
      <c r="P281" s="14"/>
      <c r="Q281" s="14"/>
      <c r="R281" s="14"/>
      <c r="S281" s="14"/>
      <c r="T281" s="14"/>
      <c r="U281" s="14"/>
      <c r="V281" s="14"/>
      <c r="W281" s="14"/>
      <c r="X281" s="14"/>
      <c r="Y281" s="14"/>
      <c r="Z281" s="14"/>
      <c r="AA281" s="14"/>
      <c r="AB281" s="14"/>
    </row>
    <row r="282" spans="1:28" hidden="1" x14ac:dyDescent="0.3">
      <c r="A282" s="14"/>
      <c r="B282" s="171" t="s">
        <v>293</v>
      </c>
      <c r="C282" s="171">
        <v>1</v>
      </c>
      <c r="D282" s="172">
        <v>1000</v>
      </c>
      <c r="E282" s="172">
        <v>2.5</v>
      </c>
      <c r="F282" s="173">
        <v>1000</v>
      </c>
      <c r="G282" s="174">
        <v>5.0000000000000001E-3</v>
      </c>
      <c r="H282" s="175">
        <v>5</v>
      </c>
      <c r="I282" s="14"/>
      <c r="J282" s="14"/>
      <c r="K282" s="14"/>
      <c r="L282" s="14"/>
      <c r="M282" s="14"/>
      <c r="N282" s="14"/>
      <c r="O282" s="14"/>
      <c r="P282" s="14"/>
      <c r="Q282" s="14"/>
      <c r="R282" s="14"/>
      <c r="S282" s="14"/>
      <c r="T282" s="14"/>
      <c r="U282" s="14"/>
      <c r="V282" s="14"/>
      <c r="W282" s="14"/>
      <c r="X282" s="14"/>
      <c r="Y282" s="14"/>
      <c r="Z282" s="14"/>
      <c r="AA282" s="14"/>
      <c r="AB282" s="14"/>
    </row>
    <row r="283" spans="1:28" hidden="1" x14ac:dyDescent="0.3">
      <c r="A283" s="14"/>
      <c r="B283" s="171" t="s">
        <v>2</v>
      </c>
      <c r="C283" s="171">
        <v>0.25</v>
      </c>
      <c r="D283" s="172">
        <v>500</v>
      </c>
      <c r="E283" s="172">
        <v>2.5</v>
      </c>
      <c r="F283" s="173">
        <v>1000</v>
      </c>
      <c r="G283" s="174">
        <v>1E-3</v>
      </c>
      <c r="H283" s="175">
        <v>10</v>
      </c>
      <c r="I283" s="14"/>
      <c r="J283" s="14"/>
      <c r="K283" s="14"/>
      <c r="L283" s="14"/>
      <c r="M283" s="14"/>
      <c r="N283" s="14"/>
      <c r="O283" s="14"/>
      <c r="P283" s="14"/>
      <c r="Q283" s="14"/>
      <c r="R283" s="14"/>
      <c r="S283" s="14"/>
      <c r="T283" s="14"/>
      <c r="U283" s="14"/>
      <c r="V283" s="14"/>
      <c r="W283" s="14"/>
      <c r="X283" s="14"/>
      <c r="Y283" s="14"/>
      <c r="Z283" s="14"/>
      <c r="AA283" s="14"/>
      <c r="AB283" s="14"/>
    </row>
    <row r="284" spans="1:28" hidden="1" x14ac:dyDescent="0.3">
      <c r="A284" s="14"/>
      <c r="B284" s="171" t="s">
        <v>294</v>
      </c>
      <c r="C284" s="171">
        <v>0.25</v>
      </c>
      <c r="D284" s="172">
        <v>500</v>
      </c>
      <c r="E284" s="172">
        <v>2.5</v>
      </c>
      <c r="F284" s="173">
        <v>1000</v>
      </c>
      <c r="G284" s="174">
        <v>1E-3</v>
      </c>
      <c r="H284" s="175">
        <v>10</v>
      </c>
      <c r="I284" s="14"/>
      <c r="J284" s="14"/>
      <c r="K284" s="14"/>
      <c r="L284" s="14"/>
      <c r="M284" s="14"/>
      <c r="N284" s="14"/>
      <c r="O284" s="14"/>
      <c r="P284" s="14"/>
      <c r="Q284" s="14"/>
      <c r="R284" s="14"/>
      <c r="S284" s="14"/>
      <c r="T284" s="14"/>
      <c r="U284" s="14"/>
      <c r="V284" s="14"/>
      <c r="W284" s="14"/>
      <c r="X284" s="14"/>
      <c r="Y284" s="14"/>
      <c r="Z284" s="14"/>
      <c r="AA284" s="14"/>
      <c r="AB284" s="14"/>
    </row>
    <row r="285" spans="1:28" hidden="1" x14ac:dyDescent="0.3">
      <c r="A285" s="14"/>
      <c r="B285" s="171" t="s">
        <v>295</v>
      </c>
      <c r="C285" s="171">
        <v>0.01</v>
      </c>
      <c r="D285" s="172">
        <v>500</v>
      </c>
      <c r="E285" s="172">
        <v>1</v>
      </c>
      <c r="F285" s="173">
        <v>1000</v>
      </c>
      <c r="G285" s="174">
        <v>0.3</v>
      </c>
      <c r="H285" s="175">
        <v>19</v>
      </c>
      <c r="I285" s="14"/>
      <c r="J285" s="14"/>
      <c r="K285" s="14"/>
      <c r="L285" s="14"/>
      <c r="M285" s="14"/>
      <c r="N285" s="14"/>
      <c r="O285" s="14"/>
      <c r="P285" s="14"/>
      <c r="Q285" s="14"/>
      <c r="R285" s="14"/>
      <c r="S285" s="14"/>
      <c r="T285" s="14"/>
      <c r="U285" s="14"/>
      <c r="V285" s="14"/>
      <c r="W285" s="14"/>
      <c r="X285" s="14"/>
      <c r="Y285" s="14"/>
      <c r="Z285" s="14"/>
      <c r="AA285" s="14"/>
      <c r="AB285" s="14"/>
    </row>
    <row r="286" spans="1:28" hidden="1" x14ac:dyDescent="0.3">
      <c r="A286" s="14"/>
      <c r="B286" s="171" t="s">
        <v>296</v>
      </c>
      <c r="C286" s="171">
        <v>0.35</v>
      </c>
      <c r="D286" s="172">
        <v>10</v>
      </c>
      <c r="E286" s="172">
        <v>5</v>
      </c>
      <c r="F286" s="173">
        <v>30</v>
      </c>
      <c r="G286" s="174">
        <v>1</v>
      </c>
      <c r="H286" s="175">
        <v>30</v>
      </c>
      <c r="I286" s="14"/>
      <c r="J286" s="14"/>
      <c r="K286" s="14"/>
      <c r="L286" s="14"/>
      <c r="M286" s="14"/>
      <c r="N286" s="14"/>
      <c r="O286" s="14"/>
      <c r="P286" s="14"/>
      <c r="Q286" s="14"/>
      <c r="R286" s="14"/>
      <c r="S286" s="14"/>
      <c r="T286" s="14"/>
      <c r="U286" s="14"/>
      <c r="V286" s="14"/>
      <c r="W286" s="14"/>
      <c r="X286" s="14"/>
      <c r="Y286" s="14"/>
      <c r="Z286" s="14"/>
      <c r="AA286" s="14"/>
      <c r="AB286" s="14"/>
    </row>
    <row r="287" spans="1:28" hidden="1" x14ac:dyDescent="0.3">
      <c r="A287" s="14"/>
      <c r="B287" s="165"/>
      <c r="C287" s="165"/>
      <c r="D287" s="166"/>
      <c r="E287" s="166"/>
      <c r="F287" s="164"/>
      <c r="G287" s="14"/>
      <c r="H287" s="14"/>
      <c r="I287" s="14"/>
      <c r="J287" s="14"/>
      <c r="K287" s="14"/>
      <c r="L287" s="14"/>
      <c r="M287" s="14"/>
      <c r="N287" s="14"/>
      <c r="O287" s="14"/>
      <c r="P287" s="14"/>
      <c r="Q287" s="14"/>
      <c r="R287" s="14"/>
      <c r="S287" s="14"/>
      <c r="T287" s="14"/>
      <c r="U287" s="14"/>
      <c r="V287" s="14"/>
      <c r="W287" s="14"/>
      <c r="X287" s="14"/>
      <c r="Y287" s="14"/>
      <c r="Z287" s="14"/>
      <c r="AA287" s="14"/>
      <c r="AB287" s="14"/>
    </row>
    <row r="288" spans="1:28" ht="15.6" hidden="1" x14ac:dyDescent="0.35">
      <c r="A288" s="14"/>
      <c r="B288" s="171" t="s">
        <v>297</v>
      </c>
      <c r="C288" s="165" t="s">
        <v>298</v>
      </c>
      <c r="D288" s="166"/>
      <c r="E288" s="166"/>
      <c r="F288" s="164"/>
      <c r="G288" s="14"/>
      <c r="H288" s="14"/>
      <c r="I288" s="14"/>
      <c r="J288" s="14"/>
      <c r="K288" s="14"/>
      <c r="L288" s="14"/>
      <c r="M288" s="14"/>
      <c r="N288" s="14"/>
      <c r="O288" s="14"/>
      <c r="P288" s="14"/>
      <c r="Q288" s="14"/>
      <c r="R288" s="14"/>
      <c r="S288" s="14"/>
      <c r="T288" s="14"/>
      <c r="U288" s="14"/>
      <c r="V288" s="14"/>
      <c r="W288" s="14"/>
      <c r="X288" s="14"/>
      <c r="Y288" s="14"/>
      <c r="Z288" s="14"/>
      <c r="AA288" s="14"/>
      <c r="AB288" s="14"/>
    </row>
    <row r="289" spans="1:28" x14ac:dyDescent="0.3">
      <c r="A289" s="14"/>
      <c r="B289" s="165"/>
      <c r="C289" s="165"/>
      <c r="D289" s="166"/>
      <c r="E289" s="166"/>
      <c r="F289" s="164"/>
      <c r="G289" s="14"/>
      <c r="H289" s="14"/>
      <c r="I289" s="14"/>
      <c r="J289" s="14"/>
      <c r="K289" s="14"/>
      <c r="L289" s="14"/>
      <c r="M289" s="14"/>
      <c r="N289" s="14"/>
      <c r="O289" s="14"/>
      <c r="P289" s="14"/>
      <c r="Q289" s="14"/>
      <c r="R289" s="14"/>
      <c r="S289" s="14"/>
      <c r="T289" s="14"/>
      <c r="U289" s="14"/>
      <c r="V289" s="14"/>
      <c r="W289" s="14"/>
      <c r="X289" s="14"/>
      <c r="Y289" s="14"/>
      <c r="Z289" s="14"/>
      <c r="AA289" s="14"/>
      <c r="AB289" s="14"/>
    </row>
    <row r="290" spans="1:28" x14ac:dyDescent="0.3">
      <c r="A290" s="14"/>
      <c r="B290" s="165"/>
      <c r="C290" s="165"/>
      <c r="D290" s="166"/>
      <c r="E290" s="166"/>
      <c r="F290" s="164"/>
      <c r="G290" s="14"/>
      <c r="H290" s="14"/>
      <c r="I290" s="14"/>
      <c r="J290" s="14"/>
      <c r="K290" s="14"/>
      <c r="L290" s="14"/>
      <c r="M290" s="14"/>
      <c r="N290" s="14"/>
      <c r="O290" s="14"/>
      <c r="P290" s="14"/>
      <c r="Q290" s="14"/>
      <c r="R290" s="14"/>
      <c r="S290" s="14"/>
      <c r="T290" s="14"/>
      <c r="U290" s="14"/>
      <c r="V290" s="14"/>
      <c r="W290" s="14"/>
      <c r="X290" s="14"/>
      <c r="Y290" s="14"/>
      <c r="Z290" s="14"/>
      <c r="AA290" s="14"/>
      <c r="AB290" s="14"/>
    </row>
    <row r="291" spans="1:28" x14ac:dyDescent="0.3">
      <c r="A291" s="14"/>
      <c r="B291" s="14"/>
      <c r="C291" s="14"/>
      <c r="D291" s="162"/>
      <c r="E291" s="162"/>
      <c r="F291" s="163"/>
      <c r="G291" s="14"/>
      <c r="H291" s="14"/>
      <c r="I291" s="14"/>
      <c r="J291" s="14"/>
      <c r="K291" s="14"/>
      <c r="L291" s="14"/>
      <c r="M291" s="14"/>
      <c r="N291" s="14"/>
      <c r="O291" s="14"/>
      <c r="P291" s="14"/>
      <c r="Q291" s="14"/>
      <c r="R291" s="14"/>
      <c r="S291" s="14"/>
      <c r="T291" s="14"/>
      <c r="U291" s="14"/>
      <c r="V291" s="14"/>
      <c r="W291" s="14"/>
      <c r="X291" s="14"/>
      <c r="Y291" s="14"/>
      <c r="Z291" s="14"/>
      <c r="AA291" s="14"/>
      <c r="AB291" s="14"/>
    </row>
    <row r="292" spans="1:28" x14ac:dyDescent="0.3">
      <c r="A292" s="14"/>
      <c r="B292" s="14"/>
      <c r="C292" s="14"/>
      <c r="D292" s="162"/>
      <c r="E292" s="162"/>
      <c r="F292" s="163"/>
      <c r="G292" s="14"/>
      <c r="H292" s="14"/>
      <c r="I292" s="14"/>
      <c r="J292" s="14"/>
      <c r="K292" s="14"/>
      <c r="L292" s="14"/>
      <c r="M292" s="14"/>
      <c r="N292" s="14"/>
      <c r="O292" s="14"/>
      <c r="P292" s="14"/>
      <c r="Q292" s="14"/>
      <c r="R292" s="14"/>
      <c r="S292" s="14"/>
      <c r="T292" s="14"/>
      <c r="U292" s="14"/>
      <c r="V292" s="14"/>
      <c r="W292" s="14"/>
      <c r="X292" s="14"/>
      <c r="Y292" s="14"/>
      <c r="Z292" s="14"/>
      <c r="AA292" s="14"/>
      <c r="AB292" s="14"/>
    </row>
    <row r="293" spans="1:28" ht="15.6" x14ac:dyDescent="0.3">
      <c r="A293" s="14"/>
      <c r="B293" s="180" t="s">
        <v>312</v>
      </c>
      <c r="C293" s="181"/>
      <c r="D293" s="181"/>
      <c r="E293" s="162"/>
      <c r="F293" s="163"/>
      <c r="G293" s="14"/>
      <c r="H293" s="14"/>
      <c r="I293" s="14"/>
      <c r="J293" s="14"/>
      <c r="K293" s="14"/>
      <c r="L293" s="14"/>
      <c r="M293" s="14"/>
      <c r="N293" s="14"/>
      <c r="O293" s="14"/>
      <c r="P293" s="14"/>
      <c r="Q293" s="14"/>
      <c r="R293" s="14"/>
      <c r="S293" s="14"/>
      <c r="T293" s="14"/>
      <c r="U293" s="14"/>
      <c r="V293" s="14"/>
      <c r="W293" s="14"/>
      <c r="X293" s="14"/>
      <c r="Y293" s="14"/>
      <c r="Z293" s="14"/>
      <c r="AA293" s="14"/>
      <c r="AB293" s="14"/>
    </row>
    <row r="294" spans="1:28" x14ac:dyDescent="0.3">
      <c r="A294" s="14"/>
      <c r="B294" s="182" t="str">
        <f>IF(B296="L","fsensor","L")</f>
        <v>L</v>
      </c>
      <c r="C294" s="183">
        <v>8</v>
      </c>
      <c r="D294" s="184" t="str">
        <f>IF(B294="fsensor","MHz","µH")</f>
        <v>µH</v>
      </c>
      <c r="E294" s="162"/>
      <c r="F294" s="163"/>
      <c r="G294" s="14"/>
      <c r="H294" s="14"/>
      <c r="I294" s="14"/>
      <c r="J294" s="14"/>
      <c r="K294" s="14"/>
      <c r="L294" s="14"/>
      <c r="M294" s="14"/>
      <c r="N294" s="14"/>
      <c r="O294" s="14"/>
      <c r="P294" s="14"/>
      <c r="Q294" s="14"/>
      <c r="R294" s="14"/>
      <c r="S294" s="14"/>
      <c r="T294" s="14"/>
      <c r="U294" s="14"/>
      <c r="V294" s="14"/>
      <c r="W294" s="14"/>
      <c r="X294" s="14"/>
      <c r="Y294" s="14"/>
      <c r="Z294" s="14"/>
      <c r="AA294" s="14"/>
      <c r="AB294" s="14"/>
    </row>
    <row r="295" spans="1:28" x14ac:dyDescent="0.3">
      <c r="A295" s="14"/>
      <c r="B295" s="182" t="str">
        <f>IF(B296="C","fsensor","C")</f>
        <v>C</v>
      </c>
      <c r="C295" s="183">
        <v>220</v>
      </c>
      <c r="D295" s="185" t="str">
        <f>IF(B295="fsensor","MHz","pF")</f>
        <v>pF</v>
      </c>
      <c r="E295" s="162"/>
      <c r="F295" s="163"/>
      <c r="G295" s="14"/>
      <c r="H295" s="14"/>
      <c r="I295" s="14"/>
      <c r="J295" s="14"/>
      <c r="K295" s="14"/>
      <c r="L295" s="14"/>
      <c r="M295" s="14"/>
      <c r="N295" s="14"/>
      <c r="O295" s="14"/>
      <c r="P295" s="14"/>
      <c r="Q295" s="14"/>
      <c r="R295" s="14"/>
      <c r="S295" s="14"/>
      <c r="T295" s="14"/>
      <c r="U295" s="14"/>
      <c r="V295" s="14"/>
      <c r="W295" s="14"/>
      <c r="X295" s="14"/>
      <c r="Y295" s="14"/>
      <c r="Z295" s="14"/>
      <c r="AA295" s="14"/>
      <c r="AB295" s="14"/>
    </row>
    <row r="296" spans="1:28" x14ac:dyDescent="0.3">
      <c r="A296" s="14"/>
      <c r="B296" s="186" t="s">
        <v>313</v>
      </c>
      <c r="C296" s="225">
        <f>IF(B296="fsensor",0.000001/(2*PI()*SQRT(C294*0.000001*C295*0.000000000001)),IF(B296="C",1000000000000/((C294*0.000001)*(2*PI()*C295*1000000)^2),1000000/((C295*0.000000000001)*(2*PI()*C294*1000000)^2)))</f>
        <v>3.7937071032908358</v>
      </c>
      <c r="D296" s="182" t="str">
        <f>IF(B296="fsensor","MHz",IF(B296="L","µH","pF"))</f>
        <v>MHz</v>
      </c>
      <c r="E296" s="162"/>
      <c r="F296" s="163"/>
      <c r="G296" s="14"/>
      <c r="H296" s="14"/>
      <c r="I296" s="14"/>
      <c r="J296" s="14"/>
      <c r="K296" s="14"/>
      <c r="L296" s="14"/>
      <c r="M296" s="14"/>
      <c r="N296" s="14"/>
      <c r="O296" s="14"/>
      <c r="P296" s="14"/>
      <c r="Q296" s="14"/>
      <c r="R296" s="14"/>
      <c r="S296" s="14"/>
      <c r="T296" s="14"/>
      <c r="U296" s="14"/>
      <c r="V296" s="14"/>
      <c r="W296" s="14"/>
      <c r="X296" s="14"/>
      <c r="Y296" s="14"/>
      <c r="Z296" s="14"/>
      <c r="AA296" s="14"/>
      <c r="AB296" s="14"/>
    </row>
    <row r="297" spans="1:28" x14ac:dyDescent="0.3">
      <c r="A297" s="14"/>
      <c r="B297" s="187"/>
      <c r="D297" s="2"/>
      <c r="E297" s="162"/>
      <c r="F297" s="163"/>
      <c r="G297" s="14"/>
      <c r="H297" s="14"/>
      <c r="I297" s="14"/>
      <c r="J297" s="14"/>
      <c r="K297" s="14"/>
      <c r="L297" s="14"/>
      <c r="M297" s="14"/>
      <c r="N297" s="14"/>
      <c r="O297" s="14"/>
      <c r="P297" s="14"/>
      <c r="Q297" s="14"/>
      <c r="R297" s="14"/>
      <c r="S297" s="14"/>
      <c r="T297" s="14"/>
      <c r="U297" s="14"/>
      <c r="V297" s="14"/>
      <c r="W297" s="14"/>
      <c r="X297" s="14"/>
      <c r="Y297" s="14"/>
      <c r="Z297" s="14"/>
      <c r="AA297" s="14"/>
      <c r="AB297" s="14"/>
    </row>
    <row r="298" spans="1:28" ht="15.6" x14ac:dyDescent="0.3">
      <c r="A298" s="14"/>
      <c r="B298" s="180" t="s">
        <v>314</v>
      </c>
      <c r="D298" s="2"/>
      <c r="E298" s="162"/>
      <c r="F298" s="163"/>
      <c r="G298" s="14"/>
      <c r="H298" s="14"/>
      <c r="I298" s="14"/>
      <c r="J298" s="14"/>
      <c r="K298" s="14"/>
      <c r="L298" s="14"/>
      <c r="M298" s="14"/>
      <c r="N298" s="14"/>
      <c r="O298" s="14"/>
      <c r="P298" s="14"/>
      <c r="Q298" s="14"/>
      <c r="R298" s="14"/>
      <c r="S298" s="14"/>
      <c r="T298" s="14"/>
      <c r="U298" s="14"/>
      <c r="V298" s="14"/>
      <c r="W298" s="14"/>
      <c r="X298" s="14"/>
      <c r="Y298" s="14"/>
      <c r="Z298" s="14"/>
      <c r="AA298" s="14"/>
      <c r="AB298" s="14"/>
    </row>
    <row r="299" spans="1:28" x14ac:dyDescent="0.3">
      <c r="A299" s="14"/>
      <c r="B299" s="188" t="s">
        <v>97</v>
      </c>
      <c r="C299" s="189">
        <v>8</v>
      </c>
      <c r="D299" s="190" t="s">
        <v>108</v>
      </c>
      <c r="E299" s="162"/>
      <c r="F299" s="163"/>
      <c r="G299" s="14"/>
      <c r="H299" s="14"/>
      <c r="I299" s="14"/>
      <c r="J299" s="14"/>
      <c r="K299" s="14"/>
      <c r="L299" s="14"/>
      <c r="M299" s="14"/>
      <c r="N299" s="14"/>
      <c r="O299" s="14"/>
      <c r="P299" s="14"/>
      <c r="Q299" s="14"/>
      <c r="R299" s="14"/>
      <c r="S299" s="14"/>
      <c r="T299" s="14"/>
      <c r="U299" s="14"/>
      <c r="V299" s="14"/>
      <c r="W299" s="14"/>
      <c r="X299" s="14"/>
      <c r="Y299" s="14"/>
      <c r="Z299" s="14"/>
      <c r="AA299" s="14"/>
      <c r="AB299" s="14"/>
    </row>
    <row r="300" spans="1:28" x14ac:dyDescent="0.3">
      <c r="A300" s="14"/>
      <c r="B300" s="188" t="s">
        <v>8</v>
      </c>
      <c r="C300" s="189">
        <v>220</v>
      </c>
      <c r="D300" s="182" t="s">
        <v>9</v>
      </c>
      <c r="E300" s="162"/>
      <c r="F300" s="163"/>
      <c r="G300" s="14"/>
      <c r="H300" s="14"/>
      <c r="I300" s="14"/>
      <c r="J300" s="14"/>
      <c r="K300" s="14"/>
      <c r="L300" s="14"/>
      <c r="M300" s="14"/>
      <c r="N300" s="14"/>
      <c r="O300" s="14"/>
      <c r="P300" s="14"/>
      <c r="Q300" s="14"/>
      <c r="R300" s="14"/>
      <c r="S300" s="14"/>
      <c r="T300" s="14"/>
      <c r="U300" s="14"/>
      <c r="V300" s="14"/>
      <c r="W300" s="14"/>
      <c r="X300" s="14"/>
      <c r="Y300" s="14"/>
      <c r="Z300" s="14"/>
      <c r="AA300" s="14"/>
      <c r="AB300" s="14"/>
    </row>
    <row r="301" spans="1:28" x14ac:dyDescent="0.3">
      <c r="A301" s="14"/>
      <c r="B301" s="188" t="str">
        <f>IF(B302="Rp","Rs","Rp")</f>
        <v>Rs</v>
      </c>
      <c r="C301" s="189">
        <v>8</v>
      </c>
      <c r="D301" s="190" t="str">
        <f>IF(B302="Rp","Ω","kΩ")</f>
        <v>Ω</v>
      </c>
      <c r="E301" s="162"/>
      <c r="F301" s="163"/>
      <c r="G301" s="14"/>
      <c r="H301" s="14"/>
      <c r="I301" s="14"/>
      <c r="J301" s="14"/>
      <c r="K301" s="14"/>
      <c r="L301" s="14"/>
      <c r="M301" s="14"/>
      <c r="N301" s="14"/>
      <c r="O301" s="14"/>
      <c r="P301" s="14"/>
      <c r="Q301" s="14"/>
      <c r="R301" s="14"/>
      <c r="S301" s="14"/>
      <c r="T301" s="14"/>
      <c r="U301" s="14"/>
      <c r="V301" s="14"/>
      <c r="W301" s="14"/>
      <c r="X301" s="14"/>
      <c r="Y301" s="14"/>
      <c r="Z301" s="14"/>
      <c r="AA301" s="14"/>
      <c r="AB301" s="14"/>
    </row>
    <row r="302" spans="1:28" x14ac:dyDescent="0.3">
      <c r="A302" s="14"/>
      <c r="B302" s="191" t="s">
        <v>244</v>
      </c>
      <c r="C302" s="192">
        <f>1000/C301*C299/C300</f>
        <v>4.5454545454545459</v>
      </c>
      <c r="D302" s="182" t="str">
        <f>IF(B302="Rp","kΩ","Ω")</f>
        <v>kΩ</v>
      </c>
      <c r="E302" s="162"/>
      <c r="F302" s="163"/>
      <c r="G302" s="14"/>
      <c r="H302" s="14"/>
      <c r="I302" s="14"/>
      <c r="J302" s="14"/>
      <c r="K302" s="14"/>
      <c r="L302" s="14"/>
      <c r="M302" s="14"/>
      <c r="N302" s="14"/>
      <c r="O302" s="14"/>
      <c r="P302" s="14"/>
      <c r="Q302" s="14"/>
      <c r="R302" s="14"/>
      <c r="S302" s="14"/>
      <c r="T302" s="14"/>
      <c r="U302" s="14"/>
      <c r="V302" s="14"/>
      <c r="W302" s="14"/>
      <c r="X302" s="14"/>
      <c r="Y302" s="14"/>
      <c r="Z302" s="14"/>
      <c r="AA302" s="14"/>
      <c r="AB302" s="14"/>
    </row>
    <row r="303" spans="1:28" x14ac:dyDescent="0.3">
      <c r="A303" s="14"/>
      <c r="B303" s="188" t="s">
        <v>313</v>
      </c>
      <c r="C303" s="193">
        <f>(0.000001/(2*PI()*SQRT(C299*0.000001*C300*0.000000000001)))</f>
        <v>3.7937071032908358</v>
      </c>
      <c r="D303" s="182" t="s">
        <v>252</v>
      </c>
      <c r="E303" s="162"/>
      <c r="F303" s="163"/>
      <c r="G303" s="14"/>
      <c r="H303" s="14"/>
      <c r="I303" s="14"/>
      <c r="J303" s="14"/>
      <c r="K303" s="14"/>
      <c r="L303" s="14"/>
      <c r="M303" s="14"/>
      <c r="N303" s="14"/>
      <c r="O303" s="14"/>
      <c r="P303" s="14"/>
      <c r="Q303" s="14"/>
      <c r="R303" s="14"/>
      <c r="S303" s="14"/>
      <c r="T303" s="14"/>
      <c r="U303" s="14"/>
      <c r="V303" s="14"/>
      <c r="W303" s="14"/>
      <c r="X303" s="14"/>
      <c r="Y303" s="14"/>
      <c r="Z303" s="14"/>
      <c r="AA303" s="14"/>
      <c r="AB303" s="14"/>
    </row>
    <row r="304" spans="1:28" x14ac:dyDescent="0.3">
      <c r="A304" s="14"/>
      <c r="B304" s="188" t="s">
        <v>249</v>
      </c>
      <c r="C304" s="194">
        <f>IF(B302="Rs",(1000/C302)*SQRT(C299/C300),(1000/C301)*SQRT(C299/C300))</f>
        <v>23.836564731139806</v>
      </c>
      <c r="D304" s="195"/>
      <c r="E304" s="162"/>
      <c r="F304" s="163"/>
      <c r="G304" s="14"/>
      <c r="H304" s="14"/>
      <c r="I304" s="14"/>
      <c r="J304" s="14"/>
      <c r="K304" s="14"/>
      <c r="L304" s="14"/>
      <c r="M304" s="14"/>
      <c r="N304" s="14"/>
      <c r="O304" s="14"/>
      <c r="P304" s="14"/>
      <c r="Q304" s="14"/>
      <c r="R304" s="14"/>
      <c r="S304" s="14"/>
      <c r="T304" s="14"/>
      <c r="U304" s="14"/>
      <c r="V304" s="14"/>
      <c r="W304" s="14"/>
      <c r="X304" s="14"/>
      <c r="Y304" s="14"/>
      <c r="Z304" s="14"/>
      <c r="AA304" s="14"/>
      <c r="AB304" s="14"/>
    </row>
    <row r="305" spans="1:28" x14ac:dyDescent="0.3">
      <c r="A305" s="14"/>
      <c r="C305" s="14"/>
      <c r="D305" s="162"/>
      <c r="E305" s="162"/>
      <c r="F305" s="163"/>
      <c r="G305" s="14"/>
      <c r="H305" s="14"/>
      <c r="I305" s="14"/>
      <c r="J305" s="14"/>
      <c r="K305" s="14"/>
      <c r="L305" s="14"/>
      <c r="M305" s="14"/>
      <c r="N305" s="14"/>
      <c r="O305" s="14"/>
      <c r="P305" s="14"/>
      <c r="Q305" s="14"/>
      <c r="R305" s="14"/>
      <c r="S305" s="14"/>
      <c r="T305" s="14"/>
      <c r="U305" s="14"/>
      <c r="V305" s="14"/>
      <c r="W305" s="14"/>
      <c r="X305" s="14"/>
      <c r="Y305" s="14"/>
      <c r="Z305" s="14"/>
      <c r="AA305" s="14"/>
      <c r="AB305" s="14"/>
    </row>
    <row r="306" spans="1:28" x14ac:dyDescent="0.3">
      <c r="A306" s="14"/>
      <c r="C306" s="14"/>
      <c r="D306" s="162"/>
      <c r="E306" s="162"/>
      <c r="F306" s="163"/>
      <c r="G306" s="14"/>
      <c r="H306" s="14"/>
      <c r="I306" s="14"/>
      <c r="J306" s="14"/>
      <c r="K306" s="14"/>
      <c r="L306" s="14"/>
      <c r="M306" s="14"/>
      <c r="N306" s="14"/>
      <c r="O306" s="14"/>
      <c r="P306" s="14"/>
      <c r="Q306" s="14"/>
      <c r="R306" s="14"/>
      <c r="S306" s="14"/>
      <c r="T306" s="14"/>
      <c r="U306" s="14"/>
      <c r="V306" s="14"/>
      <c r="W306" s="14"/>
      <c r="X306" s="14"/>
      <c r="Y306" s="14"/>
      <c r="Z306" s="14"/>
      <c r="AA306" s="14"/>
      <c r="AB306" s="14"/>
    </row>
    <row r="307" spans="1:28" x14ac:dyDescent="0.3">
      <c r="A307" s="14"/>
      <c r="C307" s="14"/>
      <c r="D307" s="162"/>
      <c r="E307" s="162"/>
      <c r="F307" s="163"/>
      <c r="G307" s="14"/>
      <c r="H307" s="14"/>
      <c r="I307" s="14"/>
      <c r="J307" s="14"/>
      <c r="K307" s="14"/>
      <c r="L307" s="14"/>
      <c r="M307" s="14"/>
      <c r="N307" s="14"/>
      <c r="O307" s="14"/>
      <c r="P307" s="14"/>
      <c r="Q307" s="14"/>
      <c r="R307" s="14"/>
      <c r="S307" s="14"/>
      <c r="T307" s="14"/>
      <c r="U307" s="14"/>
      <c r="V307" s="14"/>
      <c r="W307" s="14"/>
      <c r="X307" s="14"/>
      <c r="Y307" s="14"/>
      <c r="Z307" s="14"/>
      <c r="AA307" s="14"/>
      <c r="AB307" s="14"/>
    </row>
    <row r="308" spans="1:28" x14ac:dyDescent="0.3">
      <c r="A308" s="14"/>
      <c r="C308" s="14"/>
      <c r="D308" s="162"/>
      <c r="E308" s="162"/>
      <c r="F308" s="163"/>
      <c r="G308" s="14"/>
      <c r="H308" s="14"/>
      <c r="I308" s="14"/>
      <c r="J308" s="14"/>
      <c r="K308" s="14"/>
      <c r="L308" s="14"/>
      <c r="M308" s="14"/>
      <c r="N308" s="14"/>
      <c r="O308" s="14"/>
      <c r="P308" s="14"/>
      <c r="Q308" s="14"/>
      <c r="R308" s="14"/>
      <c r="S308" s="14"/>
      <c r="T308" s="14"/>
      <c r="U308" s="14"/>
      <c r="V308" s="14"/>
      <c r="W308" s="14"/>
      <c r="X308" s="14"/>
      <c r="Y308" s="14"/>
      <c r="Z308" s="14"/>
      <c r="AA308" s="14"/>
      <c r="AB308" s="14"/>
    </row>
    <row r="309" spans="1:28" x14ac:dyDescent="0.3">
      <c r="A309" s="14"/>
      <c r="C309" s="14"/>
      <c r="D309" s="162"/>
      <c r="E309" s="162"/>
      <c r="F309" s="163"/>
      <c r="G309" s="14"/>
      <c r="H309" s="14"/>
      <c r="I309" s="14"/>
      <c r="J309" s="14"/>
      <c r="K309" s="14"/>
      <c r="L309" s="14"/>
      <c r="M309" s="14"/>
      <c r="N309" s="14"/>
      <c r="O309" s="14"/>
      <c r="P309" s="14"/>
      <c r="Q309" s="14"/>
      <c r="R309" s="14"/>
      <c r="S309" s="14"/>
      <c r="T309" s="14"/>
      <c r="U309" s="14"/>
      <c r="V309" s="14"/>
      <c r="W309" s="14"/>
      <c r="X309" s="14"/>
      <c r="Y309" s="14"/>
      <c r="Z309" s="14"/>
      <c r="AA309" s="14"/>
      <c r="AB309" s="14"/>
    </row>
    <row r="310" spans="1:28" x14ac:dyDescent="0.3">
      <c r="G310" s="14"/>
      <c r="H310" s="14"/>
      <c r="I310" s="14"/>
      <c r="J310" s="14"/>
      <c r="K310" s="14"/>
      <c r="L310" s="14"/>
      <c r="M310" s="14"/>
      <c r="N310" s="14"/>
      <c r="O310" s="14"/>
      <c r="P310" s="14"/>
      <c r="Q310" s="14"/>
      <c r="R310" s="14"/>
      <c r="S310" s="14"/>
      <c r="T310" s="14"/>
      <c r="U310" s="14"/>
      <c r="V310" s="14"/>
      <c r="W310" s="14"/>
      <c r="X310" s="14"/>
      <c r="Y310" s="14"/>
      <c r="Z310" s="14"/>
      <c r="AA310" s="14"/>
      <c r="AB310" s="14"/>
    </row>
    <row r="311" spans="1:28" x14ac:dyDescent="0.3">
      <c r="G311" s="14"/>
      <c r="H311" s="14"/>
      <c r="I311" s="14"/>
      <c r="J311" s="14"/>
      <c r="K311" s="14"/>
      <c r="L311" s="14"/>
      <c r="M311" s="14"/>
      <c r="N311" s="14"/>
      <c r="O311" s="14"/>
      <c r="P311" s="14"/>
      <c r="Q311" s="14"/>
      <c r="R311" s="14"/>
      <c r="S311" s="14"/>
      <c r="T311" s="14"/>
      <c r="U311" s="14"/>
      <c r="V311" s="14"/>
      <c r="W311" s="14"/>
      <c r="X311" s="14"/>
      <c r="Y311" s="14"/>
      <c r="Z311" s="14"/>
      <c r="AA311" s="14"/>
      <c r="AB311" s="14"/>
    </row>
    <row r="312" spans="1:28" x14ac:dyDescent="0.3">
      <c r="G312" s="14"/>
      <c r="H312" s="14"/>
      <c r="I312" s="14"/>
      <c r="J312" s="14"/>
      <c r="K312" s="14"/>
      <c r="L312" s="14"/>
      <c r="M312" s="14"/>
      <c r="N312" s="14"/>
      <c r="O312" s="14"/>
      <c r="P312" s="14"/>
      <c r="Q312" s="14"/>
      <c r="R312" s="14"/>
      <c r="S312" s="14"/>
      <c r="T312" s="14"/>
      <c r="U312" s="14"/>
      <c r="V312" s="14"/>
      <c r="W312" s="14"/>
      <c r="X312" s="14"/>
      <c r="Y312" s="14"/>
      <c r="Z312" s="14"/>
      <c r="AA312" s="14"/>
      <c r="AB312" s="14"/>
    </row>
    <row r="313" spans="1:28" x14ac:dyDescent="0.3">
      <c r="G313" s="14"/>
      <c r="H313" s="14"/>
      <c r="I313" s="14"/>
      <c r="J313" s="14"/>
      <c r="K313" s="14"/>
      <c r="L313" s="14"/>
      <c r="M313" s="14"/>
      <c r="N313" s="14"/>
      <c r="O313" s="14"/>
      <c r="P313" s="14"/>
      <c r="Q313" s="14"/>
      <c r="R313" s="14"/>
      <c r="S313" s="14"/>
      <c r="T313" s="14"/>
      <c r="U313" s="14"/>
      <c r="V313" s="14"/>
      <c r="W313" s="14"/>
      <c r="X313" s="14"/>
      <c r="Y313" s="14"/>
      <c r="Z313" s="14"/>
      <c r="AA313" s="14"/>
      <c r="AB313" s="14"/>
    </row>
    <row r="314" spans="1:28" x14ac:dyDescent="0.3">
      <c r="G314" s="14"/>
      <c r="H314" s="14"/>
      <c r="I314" s="14"/>
      <c r="J314" s="14"/>
      <c r="K314" s="14"/>
      <c r="L314" s="14"/>
      <c r="M314" s="14"/>
      <c r="N314" s="14"/>
      <c r="O314" s="14"/>
      <c r="P314" s="14"/>
      <c r="Q314" s="14"/>
      <c r="R314" s="14"/>
      <c r="S314" s="14"/>
      <c r="T314" s="14"/>
      <c r="U314" s="14"/>
      <c r="V314" s="14"/>
      <c r="W314" s="14"/>
      <c r="X314" s="14"/>
      <c r="Y314" s="14"/>
      <c r="Z314" s="14"/>
      <c r="AA314" s="14"/>
      <c r="AB314" s="14"/>
    </row>
    <row r="315" spans="1:28" x14ac:dyDescent="0.3">
      <c r="G315" s="14"/>
      <c r="H315" s="14"/>
      <c r="I315" s="14"/>
      <c r="J315" s="14"/>
      <c r="K315" s="14"/>
      <c r="L315" s="14"/>
      <c r="M315" s="14"/>
      <c r="N315" s="14"/>
      <c r="O315" s="14"/>
      <c r="P315" s="14"/>
      <c r="Q315" s="14"/>
      <c r="R315" s="14"/>
      <c r="S315" s="14"/>
      <c r="T315" s="14"/>
      <c r="U315" s="14"/>
      <c r="V315" s="14"/>
      <c r="W315" s="14"/>
      <c r="X315" s="14"/>
      <c r="Y315" s="14"/>
      <c r="Z315" s="14"/>
      <c r="AA315" s="14"/>
      <c r="AB315" s="14"/>
    </row>
    <row r="316" spans="1:28" x14ac:dyDescent="0.3">
      <c r="G316" s="14"/>
      <c r="H316" s="14"/>
      <c r="I316" s="14"/>
      <c r="J316" s="14"/>
      <c r="K316" s="14"/>
      <c r="L316" s="14"/>
      <c r="M316" s="14"/>
      <c r="N316" s="14"/>
      <c r="O316" s="14"/>
      <c r="P316" s="14"/>
      <c r="Q316" s="14"/>
      <c r="R316" s="14"/>
      <c r="S316" s="14"/>
      <c r="T316" s="14"/>
      <c r="U316" s="14"/>
      <c r="V316" s="14"/>
      <c r="W316" s="14"/>
      <c r="X316" s="14"/>
      <c r="Y316" s="14"/>
      <c r="Z316" s="14"/>
      <c r="AA316" s="14"/>
      <c r="AB316" s="14"/>
    </row>
    <row r="317" spans="1:28" x14ac:dyDescent="0.3">
      <c r="G317" s="14"/>
      <c r="H317" s="14"/>
      <c r="I317" s="14"/>
      <c r="J317" s="14"/>
      <c r="K317" s="14"/>
      <c r="L317" s="14"/>
      <c r="M317" s="14"/>
      <c r="N317" s="14"/>
      <c r="O317" s="14"/>
      <c r="P317" s="14"/>
      <c r="Q317" s="14"/>
      <c r="R317" s="14"/>
      <c r="S317" s="14"/>
      <c r="T317" s="14"/>
      <c r="U317" s="14"/>
      <c r="V317" s="14"/>
      <c r="W317" s="14"/>
      <c r="X317" s="14"/>
      <c r="Y317" s="14"/>
      <c r="Z317" s="14"/>
      <c r="AA317" s="14"/>
      <c r="AB317" s="14"/>
    </row>
    <row r="318" spans="1:28" x14ac:dyDescent="0.3">
      <c r="G318" s="14"/>
      <c r="H318" s="14"/>
      <c r="I318" s="14"/>
      <c r="J318" s="14"/>
      <c r="K318" s="14"/>
      <c r="L318" s="14"/>
      <c r="M318" s="14"/>
      <c r="N318" s="14"/>
      <c r="O318" s="14"/>
      <c r="P318" s="14"/>
      <c r="Q318" s="14"/>
      <c r="R318" s="14"/>
      <c r="S318" s="14"/>
      <c r="T318" s="14"/>
      <c r="U318" s="14"/>
      <c r="V318" s="14"/>
      <c r="W318" s="14"/>
      <c r="X318" s="14"/>
      <c r="Y318" s="14"/>
      <c r="Z318" s="14"/>
      <c r="AA318" s="14"/>
      <c r="AB318" s="14"/>
    </row>
    <row r="319" spans="1:28" x14ac:dyDescent="0.3">
      <c r="G319" s="14"/>
      <c r="H319" s="14"/>
      <c r="I319" s="14"/>
      <c r="J319" s="14"/>
      <c r="K319" s="14"/>
      <c r="L319" s="14"/>
      <c r="M319" s="14"/>
      <c r="N319" s="14"/>
      <c r="O319" s="14"/>
      <c r="P319" s="14"/>
      <c r="Q319" s="14"/>
      <c r="R319" s="14"/>
      <c r="S319" s="14"/>
      <c r="T319" s="14"/>
      <c r="U319" s="14"/>
      <c r="V319" s="14"/>
      <c r="W319" s="14"/>
      <c r="X319" s="14"/>
      <c r="Y319" s="14"/>
      <c r="Z319" s="14"/>
      <c r="AA319" s="14"/>
      <c r="AB319" s="14"/>
    </row>
    <row r="320" spans="1:28" x14ac:dyDescent="0.3">
      <c r="G320" s="14"/>
      <c r="H320" s="14"/>
      <c r="I320" s="14"/>
      <c r="J320" s="14"/>
      <c r="K320" s="14"/>
      <c r="L320" s="14"/>
      <c r="M320" s="14"/>
      <c r="N320" s="14"/>
      <c r="O320" s="14"/>
      <c r="P320" s="14"/>
      <c r="Q320" s="14"/>
      <c r="R320" s="14"/>
      <c r="S320" s="14"/>
      <c r="T320" s="14"/>
      <c r="U320" s="14"/>
      <c r="V320" s="14"/>
      <c r="W320" s="14"/>
      <c r="X320" s="14"/>
      <c r="Y320" s="14"/>
      <c r="Z320" s="14"/>
      <c r="AA320" s="14"/>
      <c r="AB320" s="14"/>
    </row>
    <row r="321" spans="7:28" x14ac:dyDescent="0.3">
      <c r="G321" s="14"/>
      <c r="H321" s="14"/>
      <c r="I321" s="14"/>
      <c r="J321" s="14"/>
      <c r="K321" s="14"/>
      <c r="L321" s="14"/>
      <c r="M321" s="14"/>
      <c r="N321" s="14"/>
      <c r="O321" s="14"/>
      <c r="P321" s="14"/>
      <c r="Q321" s="14"/>
      <c r="R321" s="14"/>
      <c r="S321" s="14"/>
      <c r="T321" s="14"/>
      <c r="U321" s="14"/>
      <c r="V321" s="14"/>
      <c r="W321" s="14"/>
      <c r="X321" s="14"/>
      <c r="Y321" s="14"/>
      <c r="Z321" s="14"/>
      <c r="AA321" s="14"/>
      <c r="AB321" s="14"/>
    </row>
    <row r="322" spans="7:28" x14ac:dyDescent="0.3">
      <c r="G322" s="14"/>
      <c r="H322" s="14"/>
      <c r="I322" s="14"/>
      <c r="J322" s="14"/>
      <c r="K322" s="14"/>
      <c r="L322" s="14"/>
      <c r="M322" s="14"/>
      <c r="N322" s="14"/>
      <c r="O322" s="14"/>
      <c r="P322" s="14"/>
      <c r="Q322" s="14"/>
      <c r="R322" s="14"/>
      <c r="S322" s="14"/>
      <c r="T322" s="14"/>
      <c r="U322" s="14"/>
      <c r="V322" s="14"/>
      <c r="W322" s="14"/>
      <c r="X322" s="14"/>
      <c r="Y322" s="14"/>
      <c r="Z322" s="14"/>
      <c r="AA322" s="14"/>
      <c r="AB322" s="14"/>
    </row>
    <row r="323" spans="7:28" x14ac:dyDescent="0.3">
      <c r="G323" s="14"/>
      <c r="H323" s="14"/>
      <c r="I323" s="14"/>
      <c r="J323" s="14"/>
      <c r="K323" s="14"/>
      <c r="L323" s="14"/>
      <c r="M323" s="14"/>
      <c r="N323" s="14"/>
      <c r="O323" s="14"/>
      <c r="P323" s="14"/>
      <c r="Q323" s="14"/>
      <c r="R323" s="14"/>
      <c r="S323" s="14"/>
      <c r="T323" s="14"/>
      <c r="U323" s="14"/>
      <c r="V323" s="14"/>
      <c r="W323" s="14"/>
      <c r="X323" s="14"/>
      <c r="Y323" s="14"/>
      <c r="Z323" s="14"/>
      <c r="AA323" s="14"/>
      <c r="AB323" s="14"/>
    </row>
    <row r="324" spans="7:28" x14ac:dyDescent="0.3">
      <c r="G324" s="14"/>
      <c r="H324" s="14"/>
      <c r="I324" s="14"/>
      <c r="J324" s="14"/>
      <c r="K324" s="14"/>
      <c r="L324" s="14"/>
      <c r="M324" s="14"/>
      <c r="N324" s="14"/>
      <c r="O324" s="14"/>
      <c r="P324" s="14"/>
      <c r="Q324" s="14"/>
      <c r="R324" s="14"/>
      <c r="S324" s="14"/>
      <c r="T324" s="14"/>
      <c r="U324" s="14"/>
      <c r="V324" s="14"/>
      <c r="W324" s="14"/>
      <c r="X324" s="14"/>
      <c r="Y324" s="14"/>
      <c r="Z324" s="14"/>
      <c r="AA324" s="14"/>
      <c r="AB324" s="14"/>
    </row>
    <row r="325" spans="7:28" x14ac:dyDescent="0.3">
      <c r="G325" s="14"/>
      <c r="H325" s="14"/>
      <c r="I325" s="14"/>
      <c r="J325" s="14"/>
      <c r="K325" s="14"/>
      <c r="L325" s="14"/>
      <c r="M325" s="14"/>
      <c r="N325" s="14"/>
      <c r="O325" s="14"/>
      <c r="P325" s="14"/>
      <c r="Q325" s="14"/>
      <c r="R325" s="14"/>
      <c r="S325" s="14"/>
      <c r="T325" s="14"/>
      <c r="U325" s="14"/>
      <c r="V325" s="14"/>
      <c r="W325" s="14"/>
      <c r="X325" s="14"/>
      <c r="Y325" s="14"/>
      <c r="Z325" s="14"/>
      <c r="AA325" s="14"/>
      <c r="AB325" s="14"/>
    </row>
    <row r="326" spans="7:28" x14ac:dyDescent="0.3">
      <c r="G326" s="14"/>
      <c r="H326" s="14"/>
      <c r="I326" s="14"/>
      <c r="J326" s="14"/>
      <c r="K326" s="14"/>
      <c r="L326" s="14"/>
      <c r="M326" s="14"/>
      <c r="N326" s="14"/>
      <c r="O326" s="14"/>
      <c r="P326" s="14"/>
      <c r="Q326" s="14"/>
      <c r="R326" s="14"/>
      <c r="S326" s="14"/>
      <c r="T326" s="14"/>
      <c r="U326" s="14"/>
      <c r="V326" s="14"/>
      <c r="W326" s="14"/>
      <c r="X326" s="14"/>
      <c r="Y326" s="14"/>
      <c r="Z326" s="14"/>
      <c r="AA326" s="14"/>
      <c r="AB326" s="14"/>
    </row>
    <row r="327" spans="7:28" x14ac:dyDescent="0.3">
      <c r="G327" s="14"/>
      <c r="H327" s="14"/>
      <c r="I327" s="14"/>
      <c r="J327" s="14"/>
      <c r="K327" s="14"/>
      <c r="L327" s="14"/>
      <c r="M327" s="14"/>
      <c r="N327" s="14"/>
      <c r="O327" s="14"/>
      <c r="P327" s="14"/>
      <c r="Q327" s="14"/>
      <c r="R327" s="14"/>
      <c r="S327" s="14"/>
      <c r="T327" s="14"/>
      <c r="U327" s="14"/>
      <c r="V327" s="14"/>
      <c r="W327" s="14"/>
      <c r="X327" s="14"/>
      <c r="Y327" s="14"/>
      <c r="Z327" s="14"/>
      <c r="AA327" s="14"/>
      <c r="AB327" s="14"/>
    </row>
    <row r="328" spans="7:28" x14ac:dyDescent="0.3">
      <c r="G328" s="14"/>
      <c r="H328" s="14"/>
      <c r="I328" s="14"/>
      <c r="J328" s="14"/>
      <c r="K328" s="14"/>
      <c r="L328" s="14"/>
      <c r="M328" s="14"/>
      <c r="N328" s="14"/>
      <c r="O328" s="14"/>
      <c r="P328" s="14"/>
      <c r="Q328" s="14"/>
      <c r="R328" s="14"/>
      <c r="S328" s="14"/>
      <c r="T328" s="14"/>
      <c r="U328" s="14"/>
      <c r="V328" s="14"/>
      <c r="W328" s="14"/>
      <c r="X328" s="14"/>
      <c r="Y328" s="14"/>
      <c r="Z328" s="14"/>
      <c r="AA328" s="14"/>
      <c r="AB328" s="14"/>
    </row>
    <row r="329" spans="7:28" x14ac:dyDescent="0.3">
      <c r="G329" s="14"/>
      <c r="H329" s="14"/>
      <c r="I329" s="14"/>
      <c r="J329" s="14"/>
      <c r="K329" s="14"/>
      <c r="L329" s="14"/>
      <c r="M329" s="14"/>
      <c r="N329" s="14"/>
      <c r="O329" s="14"/>
      <c r="P329" s="14"/>
      <c r="Q329" s="14"/>
      <c r="R329" s="14"/>
      <c r="S329" s="14"/>
      <c r="T329" s="14"/>
      <c r="U329" s="14"/>
      <c r="V329" s="14"/>
      <c r="W329" s="14"/>
      <c r="X329" s="14"/>
      <c r="Y329" s="14"/>
      <c r="Z329" s="14"/>
      <c r="AA329" s="14"/>
      <c r="AB329" s="14"/>
    </row>
    <row r="330" spans="7:28" x14ac:dyDescent="0.3">
      <c r="G330" s="14"/>
      <c r="H330" s="14"/>
      <c r="I330" s="14"/>
      <c r="J330" s="14"/>
      <c r="K330" s="14"/>
      <c r="L330" s="14"/>
      <c r="M330" s="14"/>
      <c r="N330" s="14"/>
      <c r="O330" s="14"/>
      <c r="P330" s="14"/>
      <c r="Q330" s="14"/>
      <c r="R330" s="14"/>
      <c r="S330" s="14"/>
      <c r="T330" s="14"/>
      <c r="U330" s="14"/>
      <c r="V330" s="14"/>
      <c r="W330" s="14"/>
      <c r="X330" s="14"/>
      <c r="Y330" s="14"/>
      <c r="Z330" s="14"/>
      <c r="AA330" s="14"/>
      <c r="AB330" s="14"/>
    </row>
    <row r="331" spans="7:28" x14ac:dyDescent="0.3">
      <c r="G331" s="14"/>
      <c r="H331" s="14"/>
      <c r="I331" s="14"/>
      <c r="J331" s="14"/>
      <c r="K331" s="14"/>
      <c r="L331" s="14"/>
      <c r="M331" s="14"/>
      <c r="N331" s="14"/>
      <c r="O331" s="14"/>
      <c r="P331" s="14"/>
      <c r="Q331" s="14"/>
      <c r="R331" s="14"/>
      <c r="S331" s="14"/>
      <c r="T331" s="14"/>
      <c r="U331" s="14"/>
      <c r="V331" s="14"/>
      <c r="W331" s="14"/>
      <c r="X331" s="14"/>
      <c r="Y331" s="14"/>
      <c r="Z331" s="14"/>
      <c r="AA331" s="14"/>
      <c r="AB331" s="14"/>
    </row>
    <row r="332" spans="7:28" x14ac:dyDescent="0.3">
      <c r="G332" s="14"/>
      <c r="H332" s="14"/>
      <c r="I332" s="14"/>
      <c r="J332" s="14"/>
      <c r="K332" s="14"/>
      <c r="L332" s="14"/>
      <c r="M332" s="14"/>
      <c r="N332" s="14"/>
      <c r="O332" s="14"/>
      <c r="P332" s="14"/>
      <c r="Q332" s="14"/>
      <c r="R332" s="14"/>
      <c r="S332" s="14"/>
      <c r="T332" s="14"/>
      <c r="U332" s="14"/>
      <c r="V332" s="14"/>
      <c r="W332" s="14"/>
      <c r="X332" s="14"/>
      <c r="Y332" s="14"/>
      <c r="Z332" s="14"/>
      <c r="AA332" s="14"/>
      <c r="AB332" s="14"/>
    </row>
  </sheetData>
  <sheetProtection sheet="1" objects="1" scenarios="1"/>
  <sortState ref="B272:B281">
    <sortCondition ref="B272"/>
  </sortState>
  <mergeCells count="1">
    <mergeCell ref="B19:F19"/>
  </mergeCells>
  <conditionalFormatting sqref="D39">
    <cfRule type="expression" dxfId="9" priority="10">
      <formula>$D$23&gt;1</formula>
    </cfRule>
  </conditionalFormatting>
  <conditionalFormatting sqref="D40">
    <cfRule type="expression" dxfId="8" priority="9">
      <formula>$D$23&gt;2</formula>
    </cfRule>
  </conditionalFormatting>
  <conditionalFormatting sqref="D41">
    <cfRule type="expression" dxfId="7" priority="8">
      <formula>$D$23&gt;3</formula>
    </cfRule>
  </conditionalFormatting>
  <conditionalFormatting sqref="D42">
    <cfRule type="expression" dxfId="6" priority="7">
      <formula>$D$23&gt;4</formula>
    </cfRule>
  </conditionalFormatting>
  <conditionalFormatting sqref="D43">
    <cfRule type="expression" dxfId="5" priority="6">
      <formula>$D$23&gt;5</formula>
    </cfRule>
  </conditionalFormatting>
  <conditionalFormatting sqref="D44">
    <cfRule type="expression" dxfId="4" priority="5">
      <formula>$D$23&gt;6</formula>
    </cfRule>
  </conditionalFormatting>
  <conditionalFormatting sqref="D45">
    <cfRule type="expression" dxfId="3" priority="4">
      <formula>$D$23&gt;7</formula>
    </cfRule>
  </conditionalFormatting>
  <conditionalFormatting sqref="D59">
    <cfRule type="cellIs" dxfId="2" priority="3" operator="lessThan">
      <formula>0</formula>
    </cfRule>
  </conditionalFormatting>
  <conditionalFormatting sqref="D29">
    <cfRule type="expression" dxfId="1" priority="2">
      <formula>$D$28="Circular"</formula>
    </cfRule>
  </conditionalFormatting>
  <conditionalFormatting sqref="F29">
    <cfRule type="expression" dxfId="0" priority="1">
      <formula>$D$28="Circular"</formula>
    </cfRule>
  </conditionalFormatting>
  <dataValidations count="28">
    <dataValidation type="list" allowBlank="1" showInputMessage="1" showErrorMessage="1" sqref="E222">
      <formula1>"mm,mil"</formula1>
    </dataValidation>
    <dataValidation type="list" allowBlank="1" showInputMessage="1" showErrorMessage="1" sqref="D28">
      <formula1>"Circular,Racetrack"</formula1>
    </dataValidation>
    <dataValidation operator="greaterThanOrEqual" allowBlank="1" showInputMessage="1" showErrorMessage="1" errorTitle="Incorrect value" error="This value cannot be less than 1.0" sqref="D30:D31"/>
    <dataValidation errorStyle="warning" allowBlank="1" showInputMessage="1" showErrorMessage="1" error="This thickness may not be manufacturable. " sqref="D47"/>
    <dataValidation type="decimal" errorStyle="warning" allowBlank="1" showInputMessage="1" showErrorMessage="1" error="This thickness may not be manufacturable. " sqref="D46 D48">
      <formula1>0.001</formula1>
      <formula2>15</formula2>
    </dataValidation>
    <dataValidation errorStyle="information" allowBlank="1" showInputMessage="1" showErrorMessage="1" errorTitle="Capacitor" error="1.68e-8 is appropriate value for copper traces." sqref="D49"/>
    <dataValidation errorStyle="information" allowBlank="1" showInputMessage="1" showErrorMessage="1" errorTitle="Set appropriate vale" error="For Copper PCBs, 1.00 is appropriate value." sqref="D51"/>
    <dataValidation type="decimal" errorStyle="information" operator="greaterThan" allowBlank="1" showInputMessage="1" showErrorMessage="1" errorTitle="USe appropriate value" error="PCB traces should use 0.393 for copper." sqref="D50">
      <formula1>0.001</formula1>
    </dataValidation>
    <dataValidation type="list" allowBlank="1" showInputMessage="1" showErrorMessage="1" sqref="D20">
      <formula1>$B$281:$B$286</formula1>
    </dataValidation>
    <dataValidation type="decimal" operator="greaterThanOrEqual" allowBlank="1" showInputMessage="1" showErrorMessage="1" errorTitle="Incorrect value" error="This value cannot be less than 1.0" sqref="WUY983229 IM29:IM31 SI29:SI31 ACE29:ACE31 AMA29:AMA31 AVW29:AVW31 BFS29:BFS31 BPO29:BPO31 BZK29:BZK31 CJG29:CJG31 CTC29:CTC31 DCY29:DCY31 DMU29:DMU31 DWQ29:DWQ31 EGM29:EGM31 EQI29:EQI31 FAE29:FAE31 FKA29:FKA31 FTW29:FTW31 GDS29:GDS31 GNO29:GNO31 GXK29:GXK31 HHG29:HHG31 HRC29:HRC31 IAY29:IAY31 IKU29:IKU31 IUQ29:IUQ31 JEM29:JEM31 JOI29:JOI31 JYE29:JYE31 KIA29:KIA31 KRW29:KRW31 LBS29:LBS31 LLO29:LLO31 LVK29:LVK31 MFG29:MFG31 MPC29:MPC31 MYY29:MYY31 NIU29:NIU31 NSQ29:NSQ31 OCM29:OCM31 OMI29:OMI31 OWE29:OWE31 PGA29:PGA31 PPW29:PPW31 PZS29:PZS31 QJO29:QJO31 QTK29:QTK31 RDG29:RDG31 RNC29:RNC31 RWY29:RWY31 SGU29:SGU31 SQQ29:SQQ31 TAM29:TAM31 TKI29:TKI31 TUE29:TUE31 UEA29:UEA31 UNW29:UNW31 UXS29:UXS31 VHO29:VHO31 VRK29:VRK31 WBG29:WBG31 WLC29:WLC31 WUY29:WUY31 D65725 IM65725 SI65725 ACE65725 AMA65725 AVW65725 BFS65725 BPO65725 BZK65725 CJG65725 CTC65725 DCY65725 DMU65725 DWQ65725 EGM65725 EQI65725 FAE65725 FKA65725 FTW65725 GDS65725 GNO65725 GXK65725 HHG65725 HRC65725 IAY65725 IKU65725 IUQ65725 JEM65725 JOI65725 JYE65725 KIA65725 KRW65725 LBS65725 LLO65725 LVK65725 MFG65725 MPC65725 MYY65725 NIU65725 NSQ65725 OCM65725 OMI65725 OWE65725 PGA65725 PPW65725 PZS65725 QJO65725 QTK65725 RDG65725 RNC65725 RWY65725 SGU65725 SQQ65725 TAM65725 TKI65725 TUE65725 UEA65725 UNW65725 UXS65725 VHO65725 VRK65725 WBG65725 WLC65725 WUY65725 D131261 IM131261 SI131261 ACE131261 AMA131261 AVW131261 BFS131261 BPO131261 BZK131261 CJG131261 CTC131261 DCY131261 DMU131261 DWQ131261 EGM131261 EQI131261 FAE131261 FKA131261 FTW131261 GDS131261 GNO131261 GXK131261 HHG131261 HRC131261 IAY131261 IKU131261 IUQ131261 JEM131261 JOI131261 JYE131261 KIA131261 KRW131261 LBS131261 LLO131261 LVK131261 MFG131261 MPC131261 MYY131261 NIU131261 NSQ131261 OCM131261 OMI131261 OWE131261 PGA131261 PPW131261 PZS131261 QJO131261 QTK131261 RDG131261 RNC131261 RWY131261 SGU131261 SQQ131261 TAM131261 TKI131261 TUE131261 UEA131261 UNW131261 UXS131261 VHO131261 VRK131261 WBG131261 WLC131261 WUY131261 D196797 IM196797 SI196797 ACE196797 AMA196797 AVW196797 BFS196797 BPO196797 BZK196797 CJG196797 CTC196797 DCY196797 DMU196797 DWQ196797 EGM196797 EQI196797 FAE196797 FKA196797 FTW196797 GDS196797 GNO196797 GXK196797 HHG196797 HRC196797 IAY196797 IKU196797 IUQ196797 JEM196797 JOI196797 JYE196797 KIA196797 KRW196797 LBS196797 LLO196797 LVK196797 MFG196797 MPC196797 MYY196797 NIU196797 NSQ196797 OCM196797 OMI196797 OWE196797 PGA196797 PPW196797 PZS196797 QJO196797 QTK196797 RDG196797 RNC196797 RWY196797 SGU196797 SQQ196797 TAM196797 TKI196797 TUE196797 UEA196797 UNW196797 UXS196797 VHO196797 VRK196797 WBG196797 WLC196797 WUY196797 D262333 IM262333 SI262333 ACE262333 AMA262333 AVW262333 BFS262333 BPO262333 BZK262333 CJG262333 CTC262333 DCY262333 DMU262333 DWQ262333 EGM262333 EQI262333 FAE262333 FKA262333 FTW262333 GDS262333 GNO262333 GXK262333 HHG262333 HRC262333 IAY262333 IKU262333 IUQ262333 JEM262333 JOI262333 JYE262333 KIA262333 KRW262333 LBS262333 LLO262333 LVK262333 MFG262333 MPC262333 MYY262333 NIU262333 NSQ262333 OCM262333 OMI262333 OWE262333 PGA262333 PPW262333 PZS262333 QJO262333 QTK262333 RDG262333 RNC262333 RWY262333 SGU262333 SQQ262333 TAM262333 TKI262333 TUE262333 UEA262333 UNW262333 UXS262333 VHO262333 VRK262333 WBG262333 WLC262333 WUY262333 D327869 IM327869 SI327869 ACE327869 AMA327869 AVW327869 BFS327869 BPO327869 BZK327869 CJG327869 CTC327869 DCY327869 DMU327869 DWQ327869 EGM327869 EQI327869 FAE327869 FKA327869 FTW327869 GDS327869 GNO327869 GXK327869 HHG327869 HRC327869 IAY327869 IKU327869 IUQ327869 JEM327869 JOI327869 JYE327869 KIA327869 KRW327869 LBS327869 LLO327869 LVK327869 MFG327869 MPC327869 MYY327869 NIU327869 NSQ327869 OCM327869 OMI327869 OWE327869 PGA327869 PPW327869 PZS327869 QJO327869 QTK327869 RDG327869 RNC327869 RWY327869 SGU327869 SQQ327869 TAM327869 TKI327869 TUE327869 UEA327869 UNW327869 UXS327869 VHO327869 VRK327869 WBG327869 WLC327869 WUY327869 D393405 IM393405 SI393405 ACE393405 AMA393405 AVW393405 BFS393405 BPO393405 BZK393405 CJG393405 CTC393405 DCY393405 DMU393405 DWQ393405 EGM393405 EQI393405 FAE393405 FKA393405 FTW393405 GDS393405 GNO393405 GXK393405 HHG393405 HRC393405 IAY393405 IKU393405 IUQ393405 JEM393405 JOI393405 JYE393405 KIA393405 KRW393405 LBS393405 LLO393405 LVK393405 MFG393405 MPC393405 MYY393405 NIU393405 NSQ393405 OCM393405 OMI393405 OWE393405 PGA393405 PPW393405 PZS393405 QJO393405 QTK393405 RDG393405 RNC393405 RWY393405 SGU393405 SQQ393405 TAM393405 TKI393405 TUE393405 UEA393405 UNW393405 UXS393405 VHO393405 VRK393405 WBG393405 WLC393405 WUY393405 D458941 IM458941 SI458941 ACE458941 AMA458941 AVW458941 BFS458941 BPO458941 BZK458941 CJG458941 CTC458941 DCY458941 DMU458941 DWQ458941 EGM458941 EQI458941 FAE458941 FKA458941 FTW458941 GDS458941 GNO458941 GXK458941 HHG458941 HRC458941 IAY458941 IKU458941 IUQ458941 JEM458941 JOI458941 JYE458941 KIA458941 KRW458941 LBS458941 LLO458941 LVK458941 MFG458941 MPC458941 MYY458941 NIU458941 NSQ458941 OCM458941 OMI458941 OWE458941 PGA458941 PPW458941 PZS458941 QJO458941 QTK458941 RDG458941 RNC458941 RWY458941 SGU458941 SQQ458941 TAM458941 TKI458941 TUE458941 UEA458941 UNW458941 UXS458941 VHO458941 VRK458941 WBG458941 WLC458941 WUY458941 D524477 IM524477 SI524477 ACE524477 AMA524477 AVW524477 BFS524477 BPO524477 BZK524477 CJG524477 CTC524477 DCY524477 DMU524477 DWQ524477 EGM524477 EQI524477 FAE524477 FKA524477 FTW524477 GDS524477 GNO524477 GXK524477 HHG524477 HRC524477 IAY524477 IKU524477 IUQ524477 JEM524477 JOI524477 JYE524477 KIA524477 KRW524477 LBS524477 LLO524477 LVK524477 MFG524477 MPC524477 MYY524477 NIU524477 NSQ524477 OCM524477 OMI524477 OWE524477 PGA524477 PPW524477 PZS524477 QJO524477 QTK524477 RDG524477 RNC524477 RWY524477 SGU524477 SQQ524477 TAM524477 TKI524477 TUE524477 UEA524477 UNW524477 UXS524477 VHO524477 VRK524477 WBG524477 WLC524477 WUY524477 D590013 IM590013 SI590013 ACE590013 AMA590013 AVW590013 BFS590013 BPO590013 BZK590013 CJG590013 CTC590013 DCY590013 DMU590013 DWQ590013 EGM590013 EQI590013 FAE590013 FKA590013 FTW590013 GDS590013 GNO590013 GXK590013 HHG590013 HRC590013 IAY590013 IKU590013 IUQ590013 JEM590013 JOI590013 JYE590013 KIA590013 KRW590013 LBS590013 LLO590013 LVK590013 MFG590013 MPC590013 MYY590013 NIU590013 NSQ590013 OCM590013 OMI590013 OWE590013 PGA590013 PPW590013 PZS590013 QJO590013 QTK590013 RDG590013 RNC590013 RWY590013 SGU590013 SQQ590013 TAM590013 TKI590013 TUE590013 UEA590013 UNW590013 UXS590013 VHO590013 VRK590013 WBG590013 WLC590013 WUY590013 D655549 IM655549 SI655549 ACE655549 AMA655549 AVW655549 BFS655549 BPO655549 BZK655549 CJG655549 CTC655549 DCY655549 DMU655549 DWQ655549 EGM655549 EQI655549 FAE655549 FKA655549 FTW655549 GDS655549 GNO655549 GXK655549 HHG655549 HRC655549 IAY655549 IKU655549 IUQ655549 JEM655549 JOI655549 JYE655549 KIA655549 KRW655549 LBS655549 LLO655549 LVK655549 MFG655549 MPC655549 MYY655549 NIU655549 NSQ655549 OCM655549 OMI655549 OWE655549 PGA655549 PPW655549 PZS655549 QJO655549 QTK655549 RDG655549 RNC655549 RWY655549 SGU655549 SQQ655549 TAM655549 TKI655549 TUE655549 UEA655549 UNW655549 UXS655549 VHO655549 VRK655549 WBG655549 WLC655549 WUY655549 D721085 IM721085 SI721085 ACE721085 AMA721085 AVW721085 BFS721085 BPO721085 BZK721085 CJG721085 CTC721085 DCY721085 DMU721085 DWQ721085 EGM721085 EQI721085 FAE721085 FKA721085 FTW721085 GDS721085 GNO721085 GXK721085 HHG721085 HRC721085 IAY721085 IKU721085 IUQ721085 JEM721085 JOI721085 JYE721085 KIA721085 KRW721085 LBS721085 LLO721085 LVK721085 MFG721085 MPC721085 MYY721085 NIU721085 NSQ721085 OCM721085 OMI721085 OWE721085 PGA721085 PPW721085 PZS721085 QJO721085 QTK721085 RDG721085 RNC721085 RWY721085 SGU721085 SQQ721085 TAM721085 TKI721085 TUE721085 UEA721085 UNW721085 UXS721085 VHO721085 VRK721085 WBG721085 WLC721085 WUY721085 D786621 IM786621 SI786621 ACE786621 AMA786621 AVW786621 BFS786621 BPO786621 BZK786621 CJG786621 CTC786621 DCY786621 DMU786621 DWQ786621 EGM786621 EQI786621 FAE786621 FKA786621 FTW786621 GDS786621 GNO786621 GXK786621 HHG786621 HRC786621 IAY786621 IKU786621 IUQ786621 JEM786621 JOI786621 JYE786621 KIA786621 KRW786621 LBS786621 LLO786621 LVK786621 MFG786621 MPC786621 MYY786621 NIU786621 NSQ786621 OCM786621 OMI786621 OWE786621 PGA786621 PPW786621 PZS786621 QJO786621 QTK786621 RDG786621 RNC786621 RWY786621 SGU786621 SQQ786621 TAM786621 TKI786621 TUE786621 UEA786621 UNW786621 UXS786621 VHO786621 VRK786621 WBG786621 WLC786621 WUY786621 D852157 IM852157 SI852157 ACE852157 AMA852157 AVW852157 BFS852157 BPO852157 BZK852157 CJG852157 CTC852157 DCY852157 DMU852157 DWQ852157 EGM852157 EQI852157 FAE852157 FKA852157 FTW852157 GDS852157 GNO852157 GXK852157 HHG852157 HRC852157 IAY852157 IKU852157 IUQ852157 JEM852157 JOI852157 JYE852157 KIA852157 KRW852157 LBS852157 LLO852157 LVK852157 MFG852157 MPC852157 MYY852157 NIU852157 NSQ852157 OCM852157 OMI852157 OWE852157 PGA852157 PPW852157 PZS852157 QJO852157 QTK852157 RDG852157 RNC852157 RWY852157 SGU852157 SQQ852157 TAM852157 TKI852157 TUE852157 UEA852157 UNW852157 UXS852157 VHO852157 VRK852157 WBG852157 WLC852157 WUY852157 D917693 IM917693 SI917693 ACE917693 AMA917693 AVW917693 BFS917693 BPO917693 BZK917693 CJG917693 CTC917693 DCY917693 DMU917693 DWQ917693 EGM917693 EQI917693 FAE917693 FKA917693 FTW917693 GDS917693 GNO917693 GXK917693 HHG917693 HRC917693 IAY917693 IKU917693 IUQ917693 JEM917693 JOI917693 JYE917693 KIA917693 KRW917693 LBS917693 LLO917693 LVK917693 MFG917693 MPC917693 MYY917693 NIU917693 NSQ917693 OCM917693 OMI917693 OWE917693 PGA917693 PPW917693 PZS917693 QJO917693 QTK917693 RDG917693 RNC917693 RWY917693 SGU917693 SQQ917693 TAM917693 TKI917693 TUE917693 UEA917693 UNW917693 UXS917693 VHO917693 VRK917693 WBG917693 WLC917693 WUY917693 D983229 IM983229 SI983229 ACE983229 AMA983229 AVW983229 BFS983229 BPO983229 BZK983229 CJG983229 CTC983229 DCY983229 DMU983229 DWQ983229 EGM983229 EQI983229 FAE983229 FKA983229 FTW983229 GDS983229 GNO983229 GXK983229 HHG983229 HRC983229 IAY983229 IKU983229 IUQ983229 JEM983229 JOI983229 JYE983229 KIA983229 KRW983229 LBS983229 LLO983229 LVK983229 MFG983229 MPC983229 MYY983229 NIU983229 NSQ983229 OCM983229 OMI983229 OWE983229 PGA983229 PPW983229 PZS983229 QJO983229 QTK983229 RDG983229 RNC983229 RWY983229 SGU983229 SQQ983229 TAM983229 TKI983229 TUE983229 UEA983229 UNW983229 UXS983229 VHO983229 VRK983229 WBG983229 WLC983229 D29">
      <formula1>1</formula1>
    </dataValidation>
    <dataValidation type="list" showInputMessage="1" showErrorMessage="1" sqref="WUZ983228:WUZ983231 E65724:E65727 IN65724:IN65727 SJ65724:SJ65727 ACF65724:ACF65727 AMB65724:AMB65727 AVX65724:AVX65727 BFT65724:BFT65727 BPP65724:BPP65727 BZL65724:BZL65727 CJH65724:CJH65727 CTD65724:CTD65727 DCZ65724:DCZ65727 DMV65724:DMV65727 DWR65724:DWR65727 EGN65724:EGN65727 EQJ65724:EQJ65727 FAF65724:FAF65727 FKB65724:FKB65727 FTX65724:FTX65727 GDT65724:GDT65727 GNP65724:GNP65727 GXL65724:GXL65727 HHH65724:HHH65727 HRD65724:HRD65727 IAZ65724:IAZ65727 IKV65724:IKV65727 IUR65724:IUR65727 JEN65724:JEN65727 JOJ65724:JOJ65727 JYF65724:JYF65727 KIB65724:KIB65727 KRX65724:KRX65727 LBT65724:LBT65727 LLP65724:LLP65727 LVL65724:LVL65727 MFH65724:MFH65727 MPD65724:MPD65727 MYZ65724:MYZ65727 NIV65724:NIV65727 NSR65724:NSR65727 OCN65724:OCN65727 OMJ65724:OMJ65727 OWF65724:OWF65727 PGB65724:PGB65727 PPX65724:PPX65727 PZT65724:PZT65727 QJP65724:QJP65727 QTL65724:QTL65727 RDH65724:RDH65727 RND65724:RND65727 RWZ65724:RWZ65727 SGV65724:SGV65727 SQR65724:SQR65727 TAN65724:TAN65727 TKJ65724:TKJ65727 TUF65724:TUF65727 UEB65724:UEB65727 UNX65724:UNX65727 UXT65724:UXT65727 VHP65724:VHP65727 VRL65724:VRL65727 WBH65724:WBH65727 WLD65724:WLD65727 WUZ65724:WUZ65727 E131260:E131263 IN131260:IN131263 SJ131260:SJ131263 ACF131260:ACF131263 AMB131260:AMB131263 AVX131260:AVX131263 BFT131260:BFT131263 BPP131260:BPP131263 BZL131260:BZL131263 CJH131260:CJH131263 CTD131260:CTD131263 DCZ131260:DCZ131263 DMV131260:DMV131263 DWR131260:DWR131263 EGN131260:EGN131263 EQJ131260:EQJ131263 FAF131260:FAF131263 FKB131260:FKB131263 FTX131260:FTX131263 GDT131260:GDT131263 GNP131260:GNP131263 GXL131260:GXL131263 HHH131260:HHH131263 HRD131260:HRD131263 IAZ131260:IAZ131263 IKV131260:IKV131263 IUR131260:IUR131263 JEN131260:JEN131263 JOJ131260:JOJ131263 JYF131260:JYF131263 KIB131260:KIB131263 KRX131260:KRX131263 LBT131260:LBT131263 LLP131260:LLP131263 LVL131260:LVL131263 MFH131260:MFH131263 MPD131260:MPD131263 MYZ131260:MYZ131263 NIV131260:NIV131263 NSR131260:NSR131263 OCN131260:OCN131263 OMJ131260:OMJ131263 OWF131260:OWF131263 PGB131260:PGB131263 PPX131260:PPX131263 PZT131260:PZT131263 QJP131260:QJP131263 QTL131260:QTL131263 RDH131260:RDH131263 RND131260:RND131263 RWZ131260:RWZ131263 SGV131260:SGV131263 SQR131260:SQR131263 TAN131260:TAN131263 TKJ131260:TKJ131263 TUF131260:TUF131263 UEB131260:UEB131263 UNX131260:UNX131263 UXT131260:UXT131263 VHP131260:VHP131263 VRL131260:VRL131263 WBH131260:WBH131263 WLD131260:WLD131263 WUZ131260:WUZ131263 E196796:E196799 IN196796:IN196799 SJ196796:SJ196799 ACF196796:ACF196799 AMB196796:AMB196799 AVX196796:AVX196799 BFT196796:BFT196799 BPP196796:BPP196799 BZL196796:BZL196799 CJH196796:CJH196799 CTD196796:CTD196799 DCZ196796:DCZ196799 DMV196796:DMV196799 DWR196796:DWR196799 EGN196796:EGN196799 EQJ196796:EQJ196799 FAF196796:FAF196799 FKB196796:FKB196799 FTX196796:FTX196799 GDT196796:GDT196799 GNP196796:GNP196799 GXL196796:GXL196799 HHH196796:HHH196799 HRD196796:HRD196799 IAZ196796:IAZ196799 IKV196796:IKV196799 IUR196796:IUR196799 JEN196796:JEN196799 JOJ196796:JOJ196799 JYF196796:JYF196799 KIB196796:KIB196799 KRX196796:KRX196799 LBT196796:LBT196799 LLP196796:LLP196799 LVL196796:LVL196799 MFH196796:MFH196799 MPD196796:MPD196799 MYZ196796:MYZ196799 NIV196796:NIV196799 NSR196796:NSR196799 OCN196796:OCN196799 OMJ196796:OMJ196799 OWF196796:OWF196799 PGB196796:PGB196799 PPX196796:PPX196799 PZT196796:PZT196799 QJP196796:QJP196799 QTL196796:QTL196799 RDH196796:RDH196799 RND196796:RND196799 RWZ196796:RWZ196799 SGV196796:SGV196799 SQR196796:SQR196799 TAN196796:TAN196799 TKJ196796:TKJ196799 TUF196796:TUF196799 UEB196796:UEB196799 UNX196796:UNX196799 UXT196796:UXT196799 VHP196796:VHP196799 VRL196796:VRL196799 WBH196796:WBH196799 WLD196796:WLD196799 WUZ196796:WUZ196799 E262332:E262335 IN262332:IN262335 SJ262332:SJ262335 ACF262332:ACF262335 AMB262332:AMB262335 AVX262332:AVX262335 BFT262332:BFT262335 BPP262332:BPP262335 BZL262332:BZL262335 CJH262332:CJH262335 CTD262332:CTD262335 DCZ262332:DCZ262335 DMV262332:DMV262335 DWR262332:DWR262335 EGN262332:EGN262335 EQJ262332:EQJ262335 FAF262332:FAF262335 FKB262332:FKB262335 FTX262332:FTX262335 GDT262332:GDT262335 GNP262332:GNP262335 GXL262332:GXL262335 HHH262332:HHH262335 HRD262332:HRD262335 IAZ262332:IAZ262335 IKV262332:IKV262335 IUR262332:IUR262335 JEN262332:JEN262335 JOJ262332:JOJ262335 JYF262332:JYF262335 KIB262332:KIB262335 KRX262332:KRX262335 LBT262332:LBT262335 LLP262332:LLP262335 LVL262332:LVL262335 MFH262332:MFH262335 MPD262332:MPD262335 MYZ262332:MYZ262335 NIV262332:NIV262335 NSR262332:NSR262335 OCN262332:OCN262335 OMJ262332:OMJ262335 OWF262332:OWF262335 PGB262332:PGB262335 PPX262332:PPX262335 PZT262332:PZT262335 QJP262332:QJP262335 QTL262332:QTL262335 RDH262332:RDH262335 RND262332:RND262335 RWZ262332:RWZ262335 SGV262332:SGV262335 SQR262332:SQR262335 TAN262332:TAN262335 TKJ262332:TKJ262335 TUF262332:TUF262335 UEB262332:UEB262335 UNX262332:UNX262335 UXT262332:UXT262335 VHP262332:VHP262335 VRL262332:VRL262335 WBH262332:WBH262335 WLD262332:WLD262335 WUZ262332:WUZ262335 E327868:E327871 IN327868:IN327871 SJ327868:SJ327871 ACF327868:ACF327871 AMB327868:AMB327871 AVX327868:AVX327871 BFT327868:BFT327871 BPP327868:BPP327871 BZL327868:BZL327871 CJH327868:CJH327871 CTD327868:CTD327871 DCZ327868:DCZ327871 DMV327868:DMV327871 DWR327868:DWR327871 EGN327868:EGN327871 EQJ327868:EQJ327871 FAF327868:FAF327871 FKB327868:FKB327871 FTX327868:FTX327871 GDT327868:GDT327871 GNP327868:GNP327871 GXL327868:GXL327871 HHH327868:HHH327871 HRD327868:HRD327871 IAZ327868:IAZ327871 IKV327868:IKV327871 IUR327868:IUR327871 JEN327868:JEN327871 JOJ327868:JOJ327871 JYF327868:JYF327871 KIB327868:KIB327871 KRX327868:KRX327871 LBT327868:LBT327871 LLP327868:LLP327871 LVL327868:LVL327871 MFH327868:MFH327871 MPD327868:MPD327871 MYZ327868:MYZ327871 NIV327868:NIV327871 NSR327868:NSR327871 OCN327868:OCN327871 OMJ327868:OMJ327871 OWF327868:OWF327871 PGB327868:PGB327871 PPX327868:PPX327871 PZT327868:PZT327871 QJP327868:QJP327871 QTL327868:QTL327871 RDH327868:RDH327871 RND327868:RND327871 RWZ327868:RWZ327871 SGV327868:SGV327871 SQR327868:SQR327871 TAN327868:TAN327871 TKJ327868:TKJ327871 TUF327868:TUF327871 UEB327868:UEB327871 UNX327868:UNX327871 UXT327868:UXT327871 VHP327868:VHP327871 VRL327868:VRL327871 WBH327868:WBH327871 WLD327868:WLD327871 WUZ327868:WUZ327871 E393404:E393407 IN393404:IN393407 SJ393404:SJ393407 ACF393404:ACF393407 AMB393404:AMB393407 AVX393404:AVX393407 BFT393404:BFT393407 BPP393404:BPP393407 BZL393404:BZL393407 CJH393404:CJH393407 CTD393404:CTD393407 DCZ393404:DCZ393407 DMV393404:DMV393407 DWR393404:DWR393407 EGN393404:EGN393407 EQJ393404:EQJ393407 FAF393404:FAF393407 FKB393404:FKB393407 FTX393404:FTX393407 GDT393404:GDT393407 GNP393404:GNP393407 GXL393404:GXL393407 HHH393404:HHH393407 HRD393404:HRD393407 IAZ393404:IAZ393407 IKV393404:IKV393407 IUR393404:IUR393407 JEN393404:JEN393407 JOJ393404:JOJ393407 JYF393404:JYF393407 KIB393404:KIB393407 KRX393404:KRX393407 LBT393404:LBT393407 LLP393404:LLP393407 LVL393404:LVL393407 MFH393404:MFH393407 MPD393404:MPD393407 MYZ393404:MYZ393407 NIV393404:NIV393407 NSR393404:NSR393407 OCN393404:OCN393407 OMJ393404:OMJ393407 OWF393404:OWF393407 PGB393404:PGB393407 PPX393404:PPX393407 PZT393404:PZT393407 QJP393404:QJP393407 QTL393404:QTL393407 RDH393404:RDH393407 RND393404:RND393407 RWZ393404:RWZ393407 SGV393404:SGV393407 SQR393404:SQR393407 TAN393404:TAN393407 TKJ393404:TKJ393407 TUF393404:TUF393407 UEB393404:UEB393407 UNX393404:UNX393407 UXT393404:UXT393407 VHP393404:VHP393407 VRL393404:VRL393407 WBH393404:WBH393407 WLD393404:WLD393407 WUZ393404:WUZ393407 E458940:E458943 IN458940:IN458943 SJ458940:SJ458943 ACF458940:ACF458943 AMB458940:AMB458943 AVX458940:AVX458943 BFT458940:BFT458943 BPP458940:BPP458943 BZL458940:BZL458943 CJH458940:CJH458943 CTD458940:CTD458943 DCZ458940:DCZ458943 DMV458940:DMV458943 DWR458940:DWR458943 EGN458940:EGN458943 EQJ458940:EQJ458943 FAF458940:FAF458943 FKB458940:FKB458943 FTX458940:FTX458943 GDT458940:GDT458943 GNP458940:GNP458943 GXL458940:GXL458943 HHH458940:HHH458943 HRD458940:HRD458943 IAZ458940:IAZ458943 IKV458940:IKV458943 IUR458940:IUR458943 JEN458940:JEN458943 JOJ458940:JOJ458943 JYF458940:JYF458943 KIB458940:KIB458943 KRX458940:KRX458943 LBT458940:LBT458943 LLP458940:LLP458943 LVL458940:LVL458943 MFH458940:MFH458943 MPD458940:MPD458943 MYZ458940:MYZ458943 NIV458940:NIV458943 NSR458940:NSR458943 OCN458940:OCN458943 OMJ458940:OMJ458943 OWF458940:OWF458943 PGB458940:PGB458943 PPX458940:PPX458943 PZT458940:PZT458943 QJP458940:QJP458943 QTL458940:QTL458943 RDH458940:RDH458943 RND458940:RND458943 RWZ458940:RWZ458943 SGV458940:SGV458943 SQR458940:SQR458943 TAN458940:TAN458943 TKJ458940:TKJ458943 TUF458940:TUF458943 UEB458940:UEB458943 UNX458940:UNX458943 UXT458940:UXT458943 VHP458940:VHP458943 VRL458940:VRL458943 WBH458940:WBH458943 WLD458940:WLD458943 WUZ458940:WUZ458943 E524476:E524479 IN524476:IN524479 SJ524476:SJ524479 ACF524476:ACF524479 AMB524476:AMB524479 AVX524476:AVX524479 BFT524476:BFT524479 BPP524476:BPP524479 BZL524476:BZL524479 CJH524476:CJH524479 CTD524476:CTD524479 DCZ524476:DCZ524479 DMV524476:DMV524479 DWR524476:DWR524479 EGN524476:EGN524479 EQJ524476:EQJ524479 FAF524476:FAF524479 FKB524476:FKB524479 FTX524476:FTX524479 GDT524476:GDT524479 GNP524476:GNP524479 GXL524476:GXL524479 HHH524476:HHH524479 HRD524476:HRD524479 IAZ524476:IAZ524479 IKV524476:IKV524479 IUR524476:IUR524479 JEN524476:JEN524479 JOJ524476:JOJ524479 JYF524476:JYF524479 KIB524476:KIB524479 KRX524476:KRX524479 LBT524476:LBT524479 LLP524476:LLP524479 LVL524476:LVL524479 MFH524476:MFH524479 MPD524476:MPD524479 MYZ524476:MYZ524479 NIV524476:NIV524479 NSR524476:NSR524479 OCN524476:OCN524479 OMJ524476:OMJ524479 OWF524476:OWF524479 PGB524476:PGB524479 PPX524476:PPX524479 PZT524476:PZT524479 QJP524476:QJP524479 QTL524476:QTL524479 RDH524476:RDH524479 RND524476:RND524479 RWZ524476:RWZ524479 SGV524476:SGV524479 SQR524476:SQR524479 TAN524476:TAN524479 TKJ524476:TKJ524479 TUF524476:TUF524479 UEB524476:UEB524479 UNX524476:UNX524479 UXT524476:UXT524479 VHP524476:VHP524479 VRL524476:VRL524479 WBH524476:WBH524479 WLD524476:WLD524479 WUZ524476:WUZ524479 E590012:E590015 IN590012:IN590015 SJ590012:SJ590015 ACF590012:ACF590015 AMB590012:AMB590015 AVX590012:AVX590015 BFT590012:BFT590015 BPP590012:BPP590015 BZL590012:BZL590015 CJH590012:CJH590015 CTD590012:CTD590015 DCZ590012:DCZ590015 DMV590012:DMV590015 DWR590012:DWR590015 EGN590012:EGN590015 EQJ590012:EQJ590015 FAF590012:FAF590015 FKB590012:FKB590015 FTX590012:FTX590015 GDT590012:GDT590015 GNP590012:GNP590015 GXL590012:GXL590015 HHH590012:HHH590015 HRD590012:HRD590015 IAZ590012:IAZ590015 IKV590012:IKV590015 IUR590012:IUR590015 JEN590012:JEN590015 JOJ590012:JOJ590015 JYF590012:JYF590015 KIB590012:KIB590015 KRX590012:KRX590015 LBT590012:LBT590015 LLP590012:LLP590015 LVL590012:LVL590015 MFH590012:MFH590015 MPD590012:MPD590015 MYZ590012:MYZ590015 NIV590012:NIV590015 NSR590012:NSR590015 OCN590012:OCN590015 OMJ590012:OMJ590015 OWF590012:OWF590015 PGB590012:PGB590015 PPX590012:PPX590015 PZT590012:PZT590015 QJP590012:QJP590015 QTL590012:QTL590015 RDH590012:RDH590015 RND590012:RND590015 RWZ590012:RWZ590015 SGV590012:SGV590015 SQR590012:SQR590015 TAN590012:TAN590015 TKJ590012:TKJ590015 TUF590012:TUF590015 UEB590012:UEB590015 UNX590012:UNX590015 UXT590012:UXT590015 VHP590012:VHP590015 VRL590012:VRL590015 WBH590012:WBH590015 WLD590012:WLD590015 WUZ590012:WUZ590015 E655548:E655551 IN655548:IN655551 SJ655548:SJ655551 ACF655548:ACF655551 AMB655548:AMB655551 AVX655548:AVX655551 BFT655548:BFT655551 BPP655548:BPP655551 BZL655548:BZL655551 CJH655548:CJH655551 CTD655548:CTD655551 DCZ655548:DCZ655551 DMV655548:DMV655551 DWR655548:DWR655551 EGN655548:EGN655551 EQJ655548:EQJ655551 FAF655548:FAF655551 FKB655548:FKB655551 FTX655548:FTX655551 GDT655548:GDT655551 GNP655548:GNP655551 GXL655548:GXL655551 HHH655548:HHH655551 HRD655548:HRD655551 IAZ655548:IAZ655551 IKV655548:IKV655551 IUR655548:IUR655551 JEN655548:JEN655551 JOJ655548:JOJ655551 JYF655548:JYF655551 KIB655548:KIB655551 KRX655548:KRX655551 LBT655548:LBT655551 LLP655548:LLP655551 LVL655548:LVL655551 MFH655548:MFH655551 MPD655548:MPD655551 MYZ655548:MYZ655551 NIV655548:NIV655551 NSR655548:NSR655551 OCN655548:OCN655551 OMJ655548:OMJ655551 OWF655548:OWF655551 PGB655548:PGB655551 PPX655548:PPX655551 PZT655548:PZT655551 QJP655548:QJP655551 QTL655548:QTL655551 RDH655548:RDH655551 RND655548:RND655551 RWZ655548:RWZ655551 SGV655548:SGV655551 SQR655548:SQR655551 TAN655548:TAN655551 TKJ655548:TKJ655551 TUF655548:TUF655551 UEB655548:UEB655551 UNX655548:UNX655551 UXT655548:UXT655551 VHP655548:VHP655551 VRL655548:VRL655551 WBH655548:WBH655551 WLD655548:WLD655551 WUZ655548:WUZ655551 E721084:E721087 IN721084:IN721087 SJ721084:SJ721087 ACF721084:ACF721087 AMB721084:AMB721087 AVX721084:AVX721087 BFT721084:BFT721087 BPP721084:BPP721087 BZL721084:BZL721087 CJH721084:CJH721087 CTD721084:CTD721087 DCZ721084:DCZ721087 DMV721084:DMV721087 DWR721084:DWR721087 EGN721084:EGN721087 EQJ721084:EQJ721087 FAF721084:FAF721087 FKB721084:FKB721087 FTX721084:FTX721087 GDT721084:GDT721087 GNP721084:GNP721087 GXL721084:GXL721087 HHH721084:HHH721087 HRD721084:HRD721087 IAZ721084:IAZ721087 IKV721084:IKV721087 IUR721084:IUR721087 JEN721084:JEN721087 JOJ721084:JOJ721087 JYF721084:JYF721087 KIB721084:KIB721087 KRX721084:KRX721087 LBT721084:LBT721087 LLP721084:LLP721087 LVL721084:LVL721087 MFH721084:MFH721087 MPD721084:MPD721087 MYZ721084:MYZ721087 NIV721084:NIV721087 NSR721084:NSR721087 OCN721084:OCN721087 OMJ721084:OMJ721087 OWF721084:OWF721087 PGB721084:PGB721087 PPX721084:PPX721087 PZT721084:PZT721087 QJP721084:QJP721087 QTL721084:QTL721087 RDH721084:RDH721087 RND721084:RND721087 RWZ721084:RWZ721087 SGV721084:SGV721087 SQR721084:SQR721087 TAN721084:TAN721087 TKJ721084:TKJ721087 TUF721084:TUF721087 UEB721084:UEB721087 UNX721084:UNX721087 UXT721084:UXT721087 VHP721084:VHP721087 VRL721084:VRL721087 WBH721084:WBH721087 WLD721084:WLD721087 WUZ721084:WUZ721087 E786620:E786623 IN786620:IN786623 SJ786620:SJ786623 ACF786620:ACF786623 AMB786620:AMB786623 AVX786620:AVX786623 BFT786620:BFT786623 BPP786620:BPP786623 BZL786620:BZL786623 CJH786620:CJH786623 CTD786620:CTD786623 DCZ786620:DCZ786623 DMV786620:DMV786623 DWR786620:DWR786623 EGN786620:EGN786623 EQJ786620:EQJ786623 FAF786620:FAF786623 FKB786620:FKB786623 FTX786620:FTX786623 GDT786620:GDT786623 GNP786620:GNP786623 GXL786620:GXL786623 HHH786620:HHH786623 HRD786620:HRD786623 IAZ786620:IAZ786623 IKV786620:IKV786623 IUR786620:IUR786623 JEN786620:JEN786623 JOJ786620:JOJ786623 JYF786620:JYF786623 KIB786620:KIB786623 KRX786620:KRX786623 LBT786620:LBT786623 LLP786620:LLP786623 LVL786620:LVL786623 MFH786620:MFH786623 MPD786620:MPD786623 MYZ786620:MYZ786623 NIV786620:NIV786623 NSR786620:NSR786623 OCN786620:OCN786623 OMJ786620:OMJ786623 OWF786620:OWF786623 PGB786620:PGB786623 PPX786620:PPX786623 PZT786620:PZT786623 QJP786620:QJP786623 QTL786620:QTL786623 RDH786620:RDH786623 RND786620:RND786623 RWZ786620:RWZ786623 SGV786620:SGV786623 SQR786620:SQR786623 TAN786620:TAN786623 TKJ786620:TKJ786623 TUF786620:TUF786623 UEB786620:UEB786623 UNX786620:UNX786623 UXT786620:UXT786623 VHP786620:VHP786623 VRL786620:VRL786623 WBH786620:WBH786623 WLD786620:WLD786623 WUZ786620:WUZ786623 E852156:E852159 IN852156:IN852159 SJ852156:SJ852159 ACF852156:ACF852159 AMB852156:AMB852159 AVX852156:AVX852159 BFT852156:BFT852159 BPP852156:BPP852159 BZL852156:BZL852159 CJH852156:CJH852159 CTD852156:CTD852159 DCZ852156:DCZ852159 DMV852156:DMV852159 DWR852156:DWR852159 EGN852156:EGN852159 EQJ852156:EQJ852159 FAF852156:FAF852159 FKB852156:FKB852159 FTX852156:FTX852159 GDT852156:GDT852159 GNP852156:GNP852159 GXL852156:GXL852159 HHH852156:HHH852159 HRD852156:HRD852159 IAZ852156:IAZ852159 IKV852156:IKV852159 IUR852156:IUR852159 JEN852156:JEN852159 JOJ852156:JOJ852159 JYF852156:JYF852159 KIB852156:KIB852159 KRX852156:KRX852159 LBT852156:LBT852159 LLP852156:LLP852159 LVL852156:LVL852159 MFH852156:MFH852159 MPD852156:MPD852159 MYZ852156:MYZ852159 NIV852156:NIV852159 NSR852156:NSR852159 OCN852156:OCN852159 OMJ852156:OMJ852159 OWF852156:OWF852159 PGB852156:PGB852159 PPX852156:PPX852159 PZT852156:PZT852159 QJP852156:QJP852159 QTL852156:QTL852159 RDH852156:RDH852159 RND852156:RND852159 RWZ852156:RWZ852159 SGV852156:SGV852159 SQR852156:SQR852159 TAN852156:TAN852159 TKJ852156:TKJ852159 TUF852156:TUF852159 UEB852156:UEB852159 UNX852156:UNX852159 UXT852156:UXT852159 VHP852156:VHP852159 VRL852156:VRL852159 WBH852156:WBH852159 WLD852156:WLD852159 WUZ852156:WUZ852159 E917692:E917695 IN917692:IN917695 SJ917692:SJ917695 ACF917692:ACF917695 AMB917692:AMB917695 AVX917692:AVX917695 BFT917692:BFT917695 BPP917692:BPP917695 BZL917692:BZL917695 CJH917692:CJH917695 CTD917692:CTD917695 DCZ917692:DCZ917695 DMV917692:DMV917695 DWR917692:DWR917695 EGN917692:EGN917695 EQJ917692:EQJ917695 FAF917692:FAF917695 FKB917692:FKB917695 FTX917692:FTX917695 GDT917692:GDT917695 GNP917692:GNP917695 GXL917692:GXL917695 HHH917692:HHH917695 HRD917692:HRD917695 IAZ917692:IAZ917695 IKV917692:IKV917695 IUR917692:IUR917695 JEN917692:JEN917695 JOJ917692:JOJ917695 JYF917692:JYF917695 KIB917692:KIB917695 KRX917692:KRX917695 LBT917692:LBT917695 LLP917692:LLP917695 LVL917692:LVL917695 MFH917692:MFH917695 MPD917692:MPD917695 MYZ917692:MYZ917695 NIV917692:NIV917695 NSR917692:NSR917695 OCN917692:OCN917695 OMJ917692:OMJ917695 OWF917692:OWF917695 PGB917692:PGB917695 PPX917692:PPX917695 PZT917692:PZT917695 QJP917692:QJP917695 QTL917692:QTL917695 RDH917692:RDH917695 RND917692:RND917695 RWZ917692:RWZ917695 SGV917692:SGV917695 SQR917692:SQR917695 TAN917692:TAN917695 TKJ917692:TKJ917695 TUF917692:TUF917695 UEB917692:UEB917695 UNX917692:UNX917695 UXT917692:UXT917695 VHP917692:VHP917695 VRL917692:VRL917695 WBH917692:WBH917695 WLD917692:WLD917695 WUZ917692:WUZ917695 E983228:E983231 IN983228:IN983231 SJ983228:SJ983231 ACF983228:ACF983231 AMB983228:AMB983231 AVX983228:AVX983231 BFT983228:BFT983231 BPP983228:BPP983231 BZL983228:BZL983231 CJH983228:CJH983231 CTD983228:CTD983231 DCZ983228:DCZ983231 DMV983228:DMV983231 DWR983228:DWR983231 EGN983228:EGN983231 EQJ983228:EQJ983231 FAF983228:FAF983231 FKB983228:FKB983231 FTX983228:FTX983231 GDT983228:GDT983231 GNP983228:GNP983231 GXL983228:GXL983231 HHH983228:HHH983231 HRD983228:HRD983231 IAZ983228:IAZ983231 IKV983228:IKV983231 IUR983228:IUR983231 JEN983228:JEN983231 JOJ983228:JOJ983231 JYF983228:JYF983231 KIB983228:KIB983231 KRX983228:KRX983231 LBT983228:LBT983231 LLP983228:LLP983231 LVL983228:LVL983231 MFH983228:MFH983231 MPD983228:MPD983231 MYZ983228:MYZ983231 NIV983228:NIV983231 NSR983228:NSR983231 OCN983228:OCN983231 OMJ983228:OMJ983231 OWF983228:OWF983231 PGB983228:PGB983231 PPX983228:PPX983231 PZT983228:PZT983231 QJP983228:QJP983231 QTL983228:QTL983231 RDH983228:RDH983231 RND983228:RND983231 RWZ983228:RWZ983231 SGV983228:SGV983231 SQR983228:SQR983231 TAN983228:TAN983231 TKJ983228:TKJ983231 TUF983228:TUF983231 UEB983228:UEB983231 UNX983228:UNX983231 UXT983228:UXT983231 VHP983228:VHP983231 VRL983228:VRL983231 WBH983228:WBH983231 WLD983228:WLD983231 IN27:IN32 WUZ27:WUZ32 WLD27:WLD32 WBH27:WBH32 VRL27:VRL32 VHP27:VHP32 UXT27:UXT32 UNX27:UNX32 UEB27:UEB32 TUF27:TUF32 TKJ27:TKJ32 TAN27:TAN32 SQR27:SQR32 SGV27:SGV32 RWZ27:RWZ32 RND27:RND32 RDH27:RDH32 QTL27:QTL32 QJP27:QJP32 PZT27:PZT32 PPX27:PPX32 PGB27:PGB32 OWF27:OWF32 OMJ27:OMJ32 OCN27:OCN32 NSR27:NSR32 NIV27:NIV32 MYZ27:MYZ32 MPD27:MPD32 MFH27:MFH32 LVL27:LVL32 LLP27:LLP32 LBT27:LBT32 KRX27:KRX32 KIB27:KIB32 JYF27:JYF32 JOJ27:JOJ32 JEN27:JEN32 IUR27:IUR32 IKV27:IKV32 IAZ27:IAZ32 HRD27:HRD32 HHH27:HHH32 GXL27:GXL32 GNP27:GNP32 GDT27:GDT32 FTX27:FTX32 FKB27:FKB32 FAF27:FAF32 EQJ27:EQJ32 EGN27:EGN32 DWR27:DWR32 DMV27:DMV32 DCZ27:DCZ32 CTD27:CTD32 CJH27:CJH32 BZL27:BZL32 BPP27:BPP32 BFT27:BFT32 AVX27:AVX32 AMB27:AMB32 ACF27:ACF32 SJ27:SJ32">
      <formula1>"mm"</formula1>
    </dataValidation>
    <dataValidation type="list" errorStyle="information" allowBlank="1" showInputMessage="1" showErrorMessage="1" errorTitle="Set appropriate vale" error="For Copper PCBs, 1.00 is appropriate value." sqref="WUY983244 IM51 SI51 ACE51 AMA51 AVW51 BFS51 BPO51 BZK51 CJG51 CTC51 DCY51 DMU51 DWQ51 EGM51 EQI51 FAE51 FKA51 FTW51 GDS51 GNO51 GXK51 HHG51 HRC51 IAY51 IKU51 IUQ51 JEM51 JOI51 JYE51 KIA51 KRW51 LBS51 LLO51 LVK51 MFG51 MPC51 MYY51 NIU51 NSQ51 OCM51 OMI51 OWE51 PGA51 PPW51 PZS51 QJO51 QTK51 RDG51 RNC51 RWY51 SGU51 SQQ51 TAM51 TKI51 TUE51 UEA51 UNW51 UXS51 VHO51 VRK51 WBG51 WLC51 WUY51 D65740 IM65740 SI65740 ACE65740 AMA65740 AVW65740 BFS65740 BPO65740 BZK65740 CJG65740 CTC65740 DCY65740 DMU65740 DWQ65740 EGM65740 EQI65740 FAE65740 FKA65740 FTW65740 GDS65740 GNO65740 GXK65740 HHG65740 HRC65740 IAY65740 IKU65740 IUQ65740 JEM65740 JOI65740 JYE65740 KIA65740 KRW65740 LBS65740 LLO65740 LVK65740 MFG65740 MPC65740 MYY65740 NIU65740 NSQ65740 OCM65740 OMI65740 OWE65740 PGA65740 PPW65740 PZS65740 QJO65740 QTK65740 RDG65740 RNC65740 RWY65740 SGU65740 SQQ65740 TAM65740 TKI65740 TUE65740 UEA65740 UNW65740 UXS65740 VHO65740 VRK65740 WBG65740 WLC65740 WUY65740 D131276 IM131276 SI131276 ACE131276 AMA131276 AVW131276 BFS131276 BPO131276 BZK131276 CJG131276 CTC131276 DCY131276 DMU131276 DWQ131276 EGM131276 EQI131276 FAE131276 FKA131276 FTW131276 GDS131276 GNO131276 GXK131276 HHG131276 HRC131276 IAY131276 IKU131276 IUQ131276 JEM131276 JOI131276 JYE131276 KIA131276 KRW131276 LBS131276 LLO131276 LVK131276 MFG131276 MPC131276 MYY131276 NIU131276 NSQ131276 OCM131276 OMI131276 OWE131276 PGA131276 PPW131276 PZS131276 QJO131276 QTK131276 RDG131276 RNC131276 RWY131276 SGU131276 SQQ131276 TAM131276 TKI131276 TUE131276 UEA131276 UNW131276 UXS131276 VHO131276 VRK131276 WBG131276 WLC131276 WUY131276 D196812 IM196812 SI196812 ACE196812 AMA196812 AVW196812 BFS196812 BPO196812 BZK196812 CJG196812 CTC196812 DCY196812 DMU196812 DWQ196812 EGM196812 EQI196812 FAE196812 FKA196812 FTW196812 GDS196812 GNO196812 GXK196812 HHG196812 HRC196812 IAY196812 IKU196812 IUQ196812 JEM196812 JOI196812 JYE196812 KIA196812 KRW196812 LBS196812 LLO196812 LVK196812 MFG196812 MPC196812 MYY196812 NIU196812 NSQ196812 OCM196812 OMI196812 OWE196812 PGA196812 PPW196812 PZS196812 QJO196812 QTK196812 RDG196812 RNC196812 RWY196812 SGU196812 SQQ196812 TAM196812 TKI196812 TUE196812 UEA196812 UNW196812 UXS196812 VHO196812 VRK196812 WBG196812 WLC196812 WUY196812 D262348 IM262348 SI262348 ACE262348 AMA262348 AVW262348 BFS262348 BPO262348 BZK262348 CJG262348 CTC262348 DCY262348 DMU262348 DWQ262348 EGM262348 EQI262348 FAE262348 FKA262348 FTW262348 GDS262348 GNO262348 GXK262348 HHG262348 HRC262348 IAY262348 IKU262348 IUQ262348 JEM262348 JOI262348 JYE262348 KIA262348 KRW262348 LBS262348 LLO262348 LVK262348 MFG262348 MPC262348 MYY262348 NIU262348 NSQ262348 OCM262348 OMI262348 OWE262348 PGA262348 PPW262348 PZS262348 QJO262348 QTK262348 RDG262348 RNC262348 RWY262348 SGU262348 SQQ262348 TAM262348 TKI262348 TUE262348 UEA262348 UNW262348 UXS262348 VHO262348 VRK262348 WBG262348 WLC262348 WUY262348 D327884 IM327884 SI327884 ACE327884 AMA327884 AVW327884 BFS327884 BPO327884 BZK327884 CJG327884 CTC327884 DCY327884 DMU327884 DWQ327884 EGM327884 EQI327884 FAE327884 FKA327884 FTW327884 GDS327884 GNO327884 GXK327884 HHG327884 HRC327884 IAY327884 IKU327884 IUQ327884 JEM327884 JOI327884 JYE327884 KIA327884 KRW327884 LBS327884 LLO327884 LVK327884 MFG327884 MPC327884 MYY327884 NIU327884 NSQ327884 OCM327884 OMI327884 OWE327884 PGA327884 PPW327884 PZS327884 QJO327884 QTK327884 RDG327884 RNC327884 RWY327884 SGU327884 SQQ327884 TAM327884 TKI327884 TUE327884 UEA327884 UNW327884 UXS327884 VHO327884 VRK327884 WBG327884 WLC327884 WUY327884 D393420 IM393420 SI393420 ACE393420 AMA393420 AVW393420 BFS393420 BPO393420 BZK393420 CJG393420 CTC393420 DCY393420 DMU393420 DWQ393420 EGM393420 EQI393420 FAE393420 FKA393420 FTW393420 GDS393420 GNO393420 GXK393420 HHG393420 HRC393420 IAY393420 IKU393420 IUQ393420 JEM393420 JOI393420 JYE393420 KIA393420 KRW393420 LBS393420 LLO393420 LVK393420 MFG393420 MPC393420 MYY393420 NIU393420 NSQ393420 OCM393420 OMI393420 OWE393420 PGA393420 PPW393420 PZS393420 QJO393420 QTK393420 RDG393420 RNC393420 RWY393420 SGU393420 SQQ393420 TAM393420 TKI393420 TUE393420 UEA393420 UNW393420 UXS393420 VHO393420 VRK393420 WBG393420 WLC393420 WUY393420 D458956 IM458956 SI458956 ACE458956 AMA458956 AVW458956 BFS458956 BPO458956 BZK458956 CJG458956 CTC458956 DCY458956 DMU458956 DWQ458956 EGM458956 EQI458956 FAE458956 FKA458956 FTW458956 GDS458956 GNO458956 GXK458956 HHG458956 HRC458956 IAY458956 IKU458956 IUQ458956 JEM458956 JOI458956 JYE458956 KIA458956 KRW458956 LBS458956 LLO458956 LVK458956 MFG458956 MPC458956 MYY458956 NIU458956 NSQ458956 OCM458956 OMI458956 OWE458956 PGA458956 PPW458956 PZS458956 QJO458956 QTK458956 RDG458956 RNC458956 RWY458956 SGU458956 SQQ458956 TAM458956 TKI458956 TUE458956 UEA458956 UNW458956 UXS458956 VHO458956 VRK458956 WBG458956 WLC458956 WUY458956 D524492 IM524492 SI524492 ACE524492 AMA524492 AVW524492 BFS524492 BPO524492 BZK524492 CJG524492 CTC524492 DCY524492 DMU524492 DWQ524492 EGM524492 EQI524492 FAE524492 FKA524492 FTW524492 GDS524492 GNO524492 GXK524492 HHG524492 HRC524492 IAY524492 IKU524492 IUQ524492 JEM524492 JOI524492 JYE524492 KIA524492 KRW524492 LBS524492 LLO524492 LVK524492 MFG524492 MPC524492 MYY524492 NIU524492 NSQ524492 OCM524492 OMI524492 OWE524492 PGA524492 PPW524492 PZS524492 QJO524492 QTK524492 RDG524492 RNC524492 RWY524492 SGU524492 SQQ524492 TAM524492 TKI524492 TUE524492 UEA524492 UNW524492 UXS524492 VHO524492 VRK524492 WBG524492 WLC524492 WUY524492 D590028 IM590028 SI590028 ACE590028 AMA590028 AVW590028 BFS590028 BPO590028 BZK590028 CJG590028 CTC590028 DCY590028 DMU590028 DWQ590028 EGM590028 EQI590028 FAE590028 FKA590028 FTW590028 GDS590028 GNO590028 GXK590028 HHG590028 HRC590028 IAY590028 IKU590028 IUQ590028 JEM590028 JOI590028 JYE590028 KIA590028 KRW590028 LBS590028 LLO590028 LVK590028 MFG590028 MPC590028 MYY590028 NIU590028 NSQ590028 OCM590028 OMI590028 OWE590028 PGA590028 PPW590028 PZS590028 QJO590028 QTK590028 RDG590028 RNC590028 RWY590028 SGU590028 SQQ590028 TAM590028 TKI590028 TUE590028 UEA590028 UNW590028 UXS590028 VHO590028 VRK590028 WBG590028 WLC590028 WUY590028 D655564 IM655564 SI655564 ACE655564 AMA655564 AVW655564 BFS655564 BPO655564 BZK655564 CJG655564 CTC655564 DCY655564 DMU655564 DWQ655564 EGM655564 EQI655564 FAE655564 FKA655564 FTW655564 GDS655564 GNO655564 GXK655564 HHG655564 HRC655564 IAY655564 IKU655564 IUQ655564 JEM655564 JOI655564 JYE655564 KIA655564 KRW655564 LBS655564 LLO655564 LVK655564 MFG655564 MPC655564 MYY655564 NIU655564 NSQ655564 OCM655564 OMI655564 OWE655564 PGA655564 PPW655564 PZS655564 QJO655564 QTK655564 RDG655564 RNC655564 RWY655564 SGU655564 SQQ655564 TAM655564 TKI655564 TUE655564 UEA655564 UNW655564 UXS655564 VHO655564 VRK655564 WBG655564 WLC655564 WUY655564 D721100 IM721100 SI721100 ACE721100 AMA721100 AVW721100 BFS721100 BPO721100 BZK721100 CJG721100 CTC721100 DCY721100 DMU721100 DWQ721100 EGM721100 EQI721100 FAE721100 FKA721100 FTW721100 GDS721100 GNO721100 GXK721100 HHG721100 HRC721100 IAY721100 IKU721100 IUQ721100 JEM721100 JOI721100 JYE721100 KIA721100 KRW721100 LBS721100 LLO721100 LVK721100 MFG721100 MPC721100 MYY721100 NIU721100 NSQ721100 OCM721100 OMI721100 OWE721100 PGA721100 PPW721100 PZS721100 QJO721100 QTK721100 RDG721100 RNC721100 RWY721100 SGU721100 SQQ721100 TAM721100 TKI721100 TUE721100 UEA721100 UNW721100 UXS721100 VHO721100 VRK721100 WBG721100 WLC721100 WUY721100 D786636 IM786636 SI786636 ACE786636 AMA786636 AVW786636 BFS786636 BPO786636 BZK786636 CJG786636 CTC786636 DCY786636 DMU786636 DWQ786636 EGM786636 EQI786636 FAE786636 FKA786636 FTW786636 GDS786636 GNO786636 GXK786636 HHG786636 HRC786636 IAY786636 IKU786636 IUQ786636 JEM786636 JOI786636 JYE786636 KIA786636 KRW786636 LBS786636 LLO786636 LVK786636 MFG786636 MPC786636 MYY786636 NIU786636 NSQ786636 OCM786636 OMI786636 OWE786636 PGA786636 PPW786636 PZS786636 QJO786636 QTK786636 RDG786636 RNC786636 RWY786636 SGU786636 SQQ786636 TAM786636 TKI786636 TUE786636 UEA786636 UNW786636 UXS786636 VHO786636 VRK786636 WBG786636 WLC786636 WUY786636 D852172 IM852172 SI852172 ACE852172 AMA852172 AVW852172 BFS852172 BPO852172 BZK852172 CJG852172 CTC852172 DCY852172 DMU852172 DWQ852172 EGM852172 EQI852172 FAE852172 FKA852172 FTW852172 GDS852172 GNO852172 GXK852172 HHG852172 HRC852172 IAY852172 IKU852172 IUQ852172 JEM852172 JOI852172 JYE852172 KIA852172 KRW852172 LBS852172 LLO852172 LVK852172 MFG852172 MPC852172 MYY852172 NIU852172 NSQ852172 OCM852172 OMI852172 OWE852172 PGA852172 PPW852172 PZS852172 QJO852172 QTK852172 RDG852172 RNC852172 RWY852172 SGU852172 SQQ852172 TAM852172 TKI852172 TUE852172 UEA852172 UNW852172 UXS852172 VHO852172 VRK852172 WBG852172 WLC852172 WUY852172 D917708 IM917708 SI917708 ACE917708 AMA917708 AVW917708 BFS917708 BPO917708 BZK917708 CJG917708 CTC917708 DCY917708 DMU917708 DWQ917708 EGM917708 EQI917708 FAE917708 FKA917708 FTW917708 GDS917708 GNO917708 GXK917708 HHG917708 HRC917708 IAY917708 IKU917708 IUQ917708 JEM917708 JOI917708 JYE917708 KIA917708 KRW917708 LBS917708 LLO917708 LVK917708 MFG917708 MPC917708 MYY917708 NIU917708 NSQ917708 OCM917708 OMI917708 OWE917708 PGA917708 PPW917708 PZS917708 QJO917708 QTK917708 RDG917708 RNC917708 RWY917708 SGU917708 SQQ917708 TAM917708 TKI917708 TUE917708 UEA917708 UNW917708 UXS917708 VHO917708 VRK917708 WBG917708 WLC917708 WUY917708 D983244 IM983244 SI983244 ACE983244 AMA983244 AVW983244 BFS983244 BPO983244 BZK983244 CJG983244 CTC983244 DCY983244 DMU983244 DWQ983244 EGM983244 EQI983244 FAE983244 FKA983244 FTW983244 GDS983244 GNO983244 GXK983244 HHG983244 HRC983244 IAY983244 IKU983244 IUQ983244 JEM983244 JOI983244 JYE983244 KIA983244 KRW983244 LBS983244 LLO983244 LVK983244 MFG983244 MPC983244 MYY983244 NIU983244 NSQ983244 OCM983244 OMI983244 OWE983244 PGA983244 PPW983244 PZS983244 QJO983244 QTK983244 RDG983244 RNC983244 RWY983244 SGU983244 SQQ983244 TAM983244 TKI983244 TUE983244 UEA983244 UNW983244 UXS983244 VHO983244 VRK983244 WBG983244 WLC983244">
      <formula1>"1.0"</formula1>
    </dataValidation>
    <dataValidation type="decimal" operator="greaterThanOrEqual" allowBlank="1" showInputMessage="1" showErrorMessage="1" sqref="D52 IM52 SI52 ACE52 AMA52 AVW52 BFS52 BPO52 BZK52 CJG52 CTC52 DCY52 DMU52 DWQ52 EGM52 EQI52 FAE52 FKA52 FTW52 GDS52 GNO52 GXK52 HHG52 HRC52 IAY52 IKU52 IUQ52 JEM52 JOI52 JYE52 KIA52 KRW52 LBS52 LLO52 LVK52 MFG52 MPC52 MYY52 NIU52 NSQ52 OCM52 OMI52 OWE52 PGA52 PPW52 PZS52 QJO52 QTK52 RDG52 RNC52 RWY52 SGU52 SQQ52 TAM52 TKI52 TUE52 UEA52 UNW52 UXS52 VHO52 VRK52 WBG52 WLC52 WUY52 D65741 IM65741 SI65741 ACE65741 AMA65741 AVW65741 BFS65741 BPO65741 BZK65741 CJG65741 CTC65741 DCY65741 DMU65741 DWQ65741 EGM65741 EQI65741 FAE65741 FKA65741 FTW65741 GDS65741 GNO65741 GXK65741 HHG65741 HRC65741 IAY65741 IKU65741 IUQ65741 JEM65741 JOI65741 JYE65741 KIA65741 KRW65741 LBS65741 LLO65741 LVK65741 MFG65741 MPC65741 MYY65741 NIU65741 NSQ65741 OCM65741 OMI65741 OWE65741 PGA65741 PPW65741 PZS65741 QJO65741 QTK65741 RDG65741 RNC65741 RWY65741 SGU65741 SQQ65741 TAM65741 TKI65741 TUE65741 UEA65741 UNW65741 UXS65741 VHO65741 VRK65741 WBG65741 WLC65741 WUY65741 D131277 IM131277 SI131277 ACE131277 AMA131277 AVW131277 BFS131277 BPO131277 BZK131277 CJG131277 CTC131277 DCY131277 DMU131277 DWQ131277 EGM131277 EQI131277 FAE131277 FKA131277 FTW131277 GDS131277 GNO131277 GXK131277 HHG131277 HRC131277 IAY131277 IKU131277 IUQ131277 JEM131277 JOI131277 JYE131277 KIA131277 KRW131277 LBS131277 LLO131277 LVK131277 MFG131277 MPC131277 MYY131277 NIU131277 NSQ131277 OCM131277 OMI131277 OWE131277 PGA131277 PPW131277 PZS131277 QJO131277 QTK131277 RDG131277 RNC131277 RWY131277 SGU131277 SQQ131277 TAM131277 TKI131277 TUE131277 UEA131277 UNW131277 UXS131277 VHO131277 VRK131277 WBG131277 WLC131277 WUY131277 D196813 IM196813 SI196813 ACE196813 AMA196813 AVW196813 BFS196813 BPO196813 BZK196813 CJG196813 CTC196813 DCY196813 DMU196813 DWQ196813 EGM196813 EQI196813 FAE196813 FKA196813 FTW196813 GDS196813 GNO196813 GXK196813 HHG196813 HRC196813 IAY196813 IKU196813 IUQ196813 JEM196813 JOI196813 JYE196813 KIA196813 KRW196813 LBS196813 LLO196813 LVK196813 MFG196813 MPC196813 MYY196813 NIU196813 NSQ196813 OCM196813 OMI196813 OWE196813 PGA196813 PPW196813 PZS196813 QJO196813 QTK196813 RDG196813 RNC196813 RWY196813 SGU196813 SQQ196813 TAM196813 TKI196813 TUE196813 UEA196813 UNW196813 UXS196813 VHO196813 VRK196813 WBG196813 WLC196813 WUY196813 D262349 IM262349 SI262349 ACE262349 AMA262349 AVW262349 BFS262349 BPO262349 BZK262349 CJG262349 CTC262349 DCY262349 DMU262349 DWQ262349 EGM262349 EQI262349 FAE262349 FKA262349 FTW262349 GDS262349 GNO262349 GXK262349 HHG262349 HRC262349 IAY262349 IKU262349 IUQ262349 JEM262349 JOI262349 JYE262349 KIA262349 KRW262349 LBS262349 LLO262349 LVK262349 MFG262349 MPC262349 MYY262349 NIU262349 NSQ262349 OCM262349 OMI262349 OWE262349 PGA262349 PPW262349 PZS262349 QJO262349 QTK262349 RDG262349 RNC262349 RWY262349 SGU262349 SQQ262349 TAM262349 TKI262349 TUE262349 UEA262349 UNW262349 UXS262349 VHO262349 VRK262349 WBG262349 WLC262349 WUY262349 D327885 IM327885 SI327885 ACE327885 AMA327885 AVW327885 BFS327885 BPO327885 BZK327885 CJG327885 CTC327885 DCY327885 DMU327885 DWQ327885 EGM327885 EQI327885 FAE327885 FKA327885 FTW327885 GDS327885 GNO327885 GXK327885 HHG327885 HRC327885 IAY327885 IKU327885 IUQ327885 JEM327885 JOI327885 JYE327885 KIA327885 KRW327885 LBS327885 LLO327885 LVK327885 MFG327885 MPC327885 MYY327885 NIU327885 NSQ327885 OCM327885 OMI327885 OWE327885 PGA327885 PPW327885 PZS327885 QJO327885 QTK327885 RDG327885 RNC327885 RWY327885 SGU327885 SQQ327885 TAM327885 TKI327885 TUE327885 UEA327885 UNW327885 UXS327885 VHO327885 VRK327885 WBG327885 WLC327885 WUY327885 D393421 IM393421 SI393421 ACE393421 AMA393421 AVW393421 BFS393421 BPO393421 BZK393421 CJG393421 CTC393421 DCY393421 DMU393421 DWQ393421 EGM393421 EQI393421 FAE393421 FKA393421 FTW393421 GDS393421 GNO393421 GXK393421 HHG393421 HRC393421 IAY393421 IKU393421 IUQ393421 JEM393421 JOI393421 JYE393421 KIA393421 KRW393421 LBS393421 LLO393421 LVK393421 MFG393421 MPC393421 MYY393421 NIU393421 NSQ393421 OCM393421 OMI393421 OWE393421 PGA393421 PPW393421 PZS393421 QJO393421 QTK393421 RDG393421 RNC393421 RWY393421 SGU393421 SQQ393421 TAM393421 TKI393421 TUE393421 UEA393421 UNW393421 UXS393421 VHO393421 VRK393421 WBG393421 WLC393421 WUY393421 D458957 IM458957 SI458957 ACE458957 AMA458957 AVW458957 BFS458957 BPO458957 BZK458957 CJG458957 CTC458957 DCY458957 DMU458957 DWQ458957 EGM458957 EQI458957 FAE458957 FKA458957 FTW458957 GDS458957 GNO458957 GXK458957 HHG458957 HRC458957 IAY458957 IKU458957 IUQ458957 JEM458957 JOI458957 JYE458957 KIA458957 KRW458957 LBS458957 LLO458957 LVK458957 MFG458957 MPC458957 MYY458957 NIU458957 NSQ458957 OCM458957 OMI458957 OWE458957 PGA458957 PPW458957 PZS458957 QJO458957 QTK458957 RDG458957 RNC458957 RWY458957 SGU458957 SQQ458957 TAM458957 TKI458957 TUE458957 UEA458957 UNW458957 UXS458957 VHO458957 VRK458957 WBG458957 WLC458957 WUY458957 D524493 IM524493 SI524493 ACE524493 AMA524493 AVW524493 BFS524493 BPO524493 BZK524493 CJG524493 CTC524493 DCY524493 DMU524493 DWQ524493 EGM524493 EQI524493 FAE524493 FKA524493 FTW524493 GDS524493 GNO524493 GXK524493 HHG524493 HRC524493 IAY524493 IKU524493 IUQ524493 JEM524493 JOI524493 JYE524493 KIA524493 KRW524493 LBS524493 LLO524493 LVK524493 MFG524493 MPC524493 MYY524493 NIU524493 NSQ524493 OCM524493 OMI524493 OWE524493 PGA524493 PPW524493 PZS524493 QJO524493 QTK524493 RDG524493 RNC524493 RWY524493 SGU524493 SQQ524493 TAM524493 TKI524493 TUE524493 UEA524493 UNW524493 UXS524493 VHO524493 VRK524493 WBG524493 WLC524493 WUY524493 D590029 IM590029 SI590029 ACE590029 AMA590029 AVW590029 BFS590029 BPO590029 BZK590029 CJG590029 CTC590029 DCY590029 DMU590029 DWQ590029 EGM590029 EQI590029 FAE590029 FKA590029 FTW590029 GDS590029 GNO590029 GXK590029 HHG590029 HRC590029 IAY590029 IKU590029 IUQ590029 JEM590029 JOI590029 JYE590029 KIA590029 KRW590029 LBS590029 LLO590029 LVK590029 MFG590029 MPC590029 MYY590029 NIU590029 NSQ590029 OCM590029 OMI590029 OWE590029 PGA590029 PPW590029 PZS590029 QJO590029 QTK590029 RDG590029 RNC590029 RWY590029 SGU590029 SQQ590029 TAM590029 TKI590029 TUE590029 UEA590029 UNW590029 UXS590029 VHO590029 VRK590029 WBG590029 WLC590029 WUY590029 D655565 IM655565 SI655565 ACE655565 AMA655565 AVW655565 BFS655565 BPO655565 BZK655565 CJG655565 CTC655565 DCY655565 DMU655565 DWQ655565 EGM655565 EQI655565 FAE655565 FKA655565 FTW655565 GDS655565 GNO655565 GXK655565 HHG655565 HRC655565 IAY655565 IKU655565 IUQ655565 JEM655565 JOI655565 JYE655565 KIA655565 KRW655565 LBS655565 LLO655565 LVK655565 MFG655565 MPC655565 MYY655565 NIU655565 NSQ655565 OCM655565 OMI655565 OWE655565 PGA655565 PPW655565 PZS655565 QJO655565 QTK655565 RDG655565 RNC655565 RWY655565 SGU655565 SQQ655565 TAM655565 TKI655565 TUE655565 UEA655565 UNW655565 UXS655565 VHO655565 VRK655565 WBG655565 WLC655565 WUY655565 D721101 IM721101 SI721101 ACE721101 AMA721101 AVW721101 BFS721101 BPO721101 BZK721101 CJG721101 CTC721101 DCY721101 DMU721101 DWQ721101 EGM721101 EQI721101 FAE721101 FKA721101 FTW721101 GDS721101 GNO721101 GXK721101 HHG721101 HRC721101 IAY721101 IKU721101 IUQ721101 JEM721101 JOI721101 JYE721101 KIA721101 KRW721101 LBS721101 LLO721101 LVK721101 MFG721101 MPC721101 MYY721101 NIU721101 NSQ721101 OCM721101 OMI721101 OWE721101 PGA721101 PPW721101 PZS721101 QJO721101 QTK721101 RDG721101 RNC721101 RWY721101 SGU721101 SQQ721101 TAM721101 TKI721101 TUE721101 UEA721101 UNW721101 UXS721101 VHO721101 VRK721101 WBG721101 WLC721101 WUY721101 D786637 IM786637 SI786637 ACE786637 AMA786637 AVW786637 BFS786637 BPO786637 BZK786637 CJG786637 CTC786637 DCY786637 DMU786637 DWQ786637 EGM786637 EQI786637 FAE786637 FKA786637 FTW786637 GDS786637 GNO786637 GXK786637 HHG786637 HRC786637 IAY786637 IKU786637 IUQ786637 JEM786637 JOI786637 JYE786637 KIA786637 KRW786637 LBS786637 LLO786637 LVK786637 MFG786637 MPC786637 MYY786637 NIU786637 NSQ786637 OCM786637 OMI786637 OWE786637 PGA786637 PPW786637 PZS786637 QJO786637 QTK786637 RDG786637 RNC786637 RWY786637 SGU786637 SQQ786637 TAM786637 TKI786637 TUE786637 UEA786637 UNW786637 UXS786637 VHO786637 VRK786637 WBG786637 WLC786637 WUY786637 D852173 IM852173 SI852173 ACE852173 AMA852173 AVW852173 BFS852173 BPO852173 BZK852173 CJG852173 CTC852173 DCY852173 DMU852173 DWQ852173 EGM852173 EQI852173 FAE852173 FKA852173 FTW852173 GDS852173 GNO852173 GXK852173 HHG852173 HRC852173 IAY852173 IKU852173 IUQ852173 JEM852173 JOI852173 JYE852173 KIA852173 KRW852173 LBS852173 LLO852173 LVK852173 MFG852173 MPC852173 MYY852173 NIU852173 NSQ852173 OCM852173 OMI852173 OWE852173 PGA852173 PPW852173 PZS852173 QJO852173 QTK852173 RDG852173 RNC852173 RWY852173 SGU852173 SQQ852173 TAM852173 TKI852173 TUE852173 UEA852173 UNW852173 UXS852173 VHO852173 VRK852173 WBG852173 WLC852173 WUY852173 D917709 IM917709 SI917709 ACE917709 AMA917709 AVW917709 BFS917709 BPO917709 BZK917709 CJG917709 CTC917709 DCY917709 DMU917709 DWQ917709 EGM917709 EQI917709 FAE917709 FKA917709 FTW917709 GDS917709 GNO917709 GXK917709 HHG917709 HRC917709 IAY917709 IKU917709 IUQ917709 JEM917709 JOI917709 JYE917709 KIA917709 KRW917709 LBS917709 LLO917709 LVK917709 MFG917709 MPC917709 MYY917709 NIU917709 NSQ917709 OCM917709 OMI917709 OWE917709 PGA917709 PPW917709 PZS917709 QJO917709 QTK917709 RDG917709 RNC917709 RWY917709 SGU917709 SQQ917709 TAM917709 TKI917709 TUE917709 UEA917709 UNW917709 UXS917709 VHO917709 VRK917709 WBG917709 WLC917709 WUY917709 D983245 IM983245 SI983245 ACE983245 AMA983245 AVW983245 BFS983245 BPO983245 BZK983245 CJG983245 CTC983245 DCY983245 DMU983245 DWQ983245 EGM983245 EQI983245 FAE983245 FKA983245 FTW983245 GDS983245 GNO983245 GXK983245 HHG983245 HRC983245 IAY983245 IKU983245 IUQ983245 JEM983245 JOI983245 JYE983245 KIA983245 KRW983245 LBS983245 LLO983245 LVK983245 MFG983245 MPC983245 MYY983245 NIU983245 NSQ983245 OCM983245 OMI983245 OWE983245 PGA983245 PPW983245 PZS983245 QJO983245 QTK983245 RDG983245 RNC983245 RWY983245 SGU983245 SQQ983245 TAM983245 TKI983245 TUE983245 UEA983245 UNW983245 UXS983245 VHO983245 VRK983245 WBG983245 WLC983245 WUY983245">
      <formula1>0</formula1>
    </dataValidation>
    <dataValidation type="list" errorStyle="information" allowBlank="1" showInputMessage="1" showErrorMessage="1" errorTitle="USe appropriate value" error="PCB traces should use 0.393 for copper." sqref="WUY983243 IM50 SI50 ACE50 AMA50 AVW50 BFS50 BPO50 BZK50 CJG50 CTC50 DCY50 DMU50 DWQ50 EGM50 EQI50 FAE50 FKA50 FTW50 GDS50 GNO50 GXK50 HHG50 HRC50 IAY50 IKU50 IUQ50 JEM50 JOI50 JYE50 KIA50 KRW50 LBS50 LLO50 LVK50 MFG50 MPC50 MYY50 NIU50 NSQ50 OCM50 OMI50 OWE50 PGA50 PPW50 PZS50 QJO50 QTK50 RDG50 RNC50 RWY50 SGU50 SQQ50 TAM50 TKI50 TUE50 UEA50 UNW50 UXS50 VHO50 VRK50 WBG50 WLC50 WUY50 D65739 IM65739 SI65739 ACE65739 AMA65739 AVW65739 BFS65739 BPO65739 BZK65739 CJG65739 CTC65739 DCY65739 DMU65739 DWQ65739 EGM65739 EQI65739 FAE65739 FKA65739 FTW65739 GDS65739 GNO65739 GXK65739 HHG65739 HRC65739 IAY65739 IKU65739 IUQ65739 JEM65739 JOI65739 JYE65739 KIA65739 KRW65739 LBS65739 LLO65739 LVK65739 MFG65739 MPC65739 MYY65739 NIU65739 NSQ65739 OCM65739 OMI65739 OWE65739 PGA65739 PPW65739 PZS65739 QJO65739 QTK65739 RDG65739 RNC65739 RWY65739 SGU65739 SQQ65739 TAM65739 TKI65739 TUE65739 UEA65739 UNW65739 UXS65739 VHO65739 VRK65739 WBG65739 WLC65739 WUY65739 D131275 IM131275 SI131275 ACE131275 AMA131275 AVW131275 BFS131275 BPO131275 BZK131275 CJG131275 CTC131275 DCY131275 DMU131275 DWQ131275 EGM131275 EQI131275 FAE131275 FKA131275 FTW131275 GDS131275 GNO131275 GXK131275 HHG131275 HRC131275 IAY131275 IKU131275 IUQ131275 JEM131275 JOI131275 JYE131275 KIA131275 KRW131275 LBS131275 LLO131275 LVK131275 MFG131275 MPC131275 MYY131275 NIU131275 NSQ131275 OCM131275 OMI131275 OWE131275 PGA131275 PPW131275 PZS131275 QJO131275 QTK131275 RDG131275 RNC131275 RWY131275 SGU131275 SQQ131275 TAM131275 TKI131275 TUE131275 UEA131275 UNW131275 UXS131275 VHO131275 VRK131275 WBG131275 WLC131275 WUY131275 D196811 IM196811 SI196811 ACE196811 AMA196811 AVW196811 BFS196811 BPO196811 BZK196811 CJG196811 CTC196811 DCY196811 DMU196811 DWQ196811 EGM196811 EQI196811 FAE196811 FKA196811 FTW196811 GDS196811 GNO196811 GXK196811 HHG196811 HRC196811 IAY196811 IKU196811 IUQ196811 JEM196811 JOI196811 JYE196811 KIA196811 KRW196811 LBS196811 LLO196811 LVK196811 MFG196811 MPC196811 MYY196811 NIU196811 NSQ196811 OCM196811 OMI196811 OWE196811 PGA196811 PPW196811 PZS196811 QJO196811 QTK196811 RDG196811 RNC196811 RWY196811 SGU196811 SQQ196811 TAM196811 TKI196811 TUE196811 UEA196811 UNW196811 UXS196811 VHO196811 VRK196811 WBG196811 WLC196811 WUY196811 D262347 IM262347 SI262347 ACE262347 AMA262347 AVW262347 BFS262347 BPO262347 BZK262347 CJG262347 CTC262347 DCY262347 DMU262347 DWQ262347 EGM262347 EQI262347 FAE262347 FKA262347 FTW262347 GDS262347 GNO262347 GXK262347 HHG262347 HRC262347 IAY262347 IKU262347 IUQ262347 JEM262347 JOI262347 JYE262347 KIA262347 KRW262347 LBS262347 LLO262347 LVK262347 MFG262347 MPC262347 MYY262347 NIU262347 NSQ262347 OCM262347 OMI262347 OWE262347 PGA262347 PPW262347 PZS262347 QJO262347 QTK262347 RDG262347 RNC262347 RWY262347 SGU262347 SQQ262347 TAM262347 TKI262347 TUE262347 UEA262347 UNW262347 UXS262347 VHO262347 VRK262347 WBG262347 WLC262347 WUY262347 D327883 IM327883 SI327883 ACE327883 AMA327883 AVW327883 BFS327883 BPO327883 BZK327883 CJG327883 CTC327883 DCY327883 DMU327883 DWQ327883 EGM327883 EQI327883 FAE327883 FKA327883 FTW327883 GDS327883 GNO327883 GXK327883 HHG327883 HRC327883 IAY327883 IKU327883 IUQ327883 JEM327883 JOI327883 JYE327883 KIA327883 KRW327883 LBS327883 LLO327883 LVK327883 MFG327883 MPC327883 MYY327883 NIU327883 NSQ327883 OCM327883 OMI327883 OWE327883 PGA327883 PPW327883 PZS327883 QJO327883 QTK327883 RDG327883 RNC327883 RWY327883 SGU327883 SQQ327883 TAM327883 TKI327883 TUE327883 UEA327883 UNW327883 UXS327883 VHO327883 VRK327883 WBG327883 WLC327883 WUY327883 D393419 IM393419 SI393419 ACE393419 AMA393419 AVW393419 BFS393419 BPO393419 BZK393419 CJG393419 CTC393419 DCY393419 DMU393419 DWQ393419 EGM393419 EQI393419 FAE393419 FKA393419 FTW393419 GDS393419 GNO393419 GXK393419 HHG393419 HRC393419 IAY393419 IKU393419 IUQ393419 JEM393419 JOI393419 JYE393419 KIA393419 KRW393419 LBS393419 LLO393419 LVK393419 MFG393419 MPC393419 MYY393419 NIU393419 NSQ393419 OCM393419 OMI393419 OWE393419 PGA393419 PPW393419 PZS393419 QJO393419 QTK393419 RDG393419 RNC393419 RWY393419 SGU393419 SQQ393419 TAM393419 TKI393419 TUE393419 UEA393419 UNW393419 UXS393419 VHO393419 VRK393419 WBG393419 WLC393419 WUY393419 D458955 IM458955 SI458955 ACE458955 AMA458955 AVW458955 BFS458955 BPO458955 BZK458955 CJG458955 CTC458955 DCY458955 DMU458955 DWQ458955 EGM458955 EQI458955 FAE458955 FKA458955 FTW458955 GDS458955 GNO458955 GXK458955 HHG458955 HRC458955 IAY458955 IKU458955 IUQ458955 JEM458955 JOI458955 JYE458955 KIA458955 KRW458955 LBS458955 LLO458955 LVK458955 MFG458955 MPC458955 MYY458955 NIU458955 NSQ458955 OCM458955 OMI458955 OWE458955 PGA458955 PPW458955 PZS458955 QJO458955 QTK458955 RDG458955 RNC458955 RWY458955 SGU458955 SQQ458955 TAM458955 TKI458955 TUE458955 UEA458955 UNW458955 UXS458955 VHO458955 VRK458955 WBG458955 WLC458955 WUY458955 D524491 IM524491 SI524491 ACE524491 AMA524491 AVW524491 BFS524491 BPO524491 BZK524491 CJG524491 CTC524491 DCY524491 DMU524491 DWQ524491 EGM524491 EQI524491 FAE524491 FKA524491 FTW524491 GDS524491 GNO524491 GXK524491 HHG524491 HRC524491 IAY524491 IKU524491 IUQ524491 JEM524491 JOI524491 JYE524491 KIA524491 KRW524491 LBS524491 LLO524491 LVK524491 MFG524491 MPC524491 MYY524491 NIU524491 NSQ524491 OCM524491 OMI524491 OWE524491 PGA524491 PPW524491 PZS524491 QJO524491 QTK524491 RDG524491 RNC524491 RWY524491 SGU524491 SQQ524491 TAM524491 TKI524491 TUE524491 UEA524491 UNW524491 UXS524491 VHO524491 VRK524491 WBG524491 WLC524491 WUY524491 D590027 IM590027 SI590027 ACE590027 AMA590027 AVW590027 BFS590027 BPO590027 BZK590027 CJG590027 CTC590027 DCY590027 DMU590027 DWQ590027 EGM590027 EQI590027 FAE590027 FKA590027 FTW590027 GDS590027 GNO590027 GXK590027 HHG590027 HRC590027 IAY590027 IKU590027 IUQ590027 JEM590027 JOI590027 JYE590027 KIA590027 KRW590027 LBS590027 LLO590027 LVK590027 MFG590027 MPC590027 MYY590027 NIU590027 NSQ590027 OCM590027 OMI590027 OWE590027 PGA590027 PPW590027 PZS590027 QJO590027 QTK590027 RDG590027 RNC590027 RWY590027 SGU590027 SQQ590027 TAM590027 TKI590027 TUE590027 UEA590027 UNW590027 UXS590027 VHO590027 VRK590027 WBG590027 WLC590027 WUY590027 D655563 IM655563 SI655563 ACE655563 AMA655563 AVW655563 BFS655563 BPO655563 BZK655563 CJG655563 CTC655563 DCY655563 DMU655563 DWQ655563 EGM655563 EQI655563 FAE655563 FKA655563 FTW655563 GDS655563 GNO655563 GXK655563 HHG655563 HRC655563 IAY655563 IKU655563 IUQ655563 JEM655563 JOI655563 JYE655563 KIA655563 KRW655563 LBS655563 LLO655563 LVK655563 MFG655563 MPC655563 MYY655563 NIU655563 NSQ655563 OCM655563 OMI655563 OWE655563 PGA655563 PPW655563 PZS655563 QJO655563 QTK655563 RDG655563 RNC655563 RWY655563 SGU655563 SQQ655563 TAM655563 TKI655563 TUE655563 UEA655563 UNW655563 UXS655563 VHO655563 VRK655563 WBG655563 WLC655563 WUY655563 D721099 IM721099 SI721099 ACE721099 AMA721099 AVW721099 BFS721099 BPO721099 BZK721099 CJG721099 CTC721099 DCY721099 DMU721099 DWQ721099 EGM721099 EQI721099 FAE721099 FKA721099 FTW721099 GDS721099 GNO721099 GXK721099 HHG721099 HRC721099 IAY721099 IKU721099 IUQ721099 JEM721099 JOI721099 JYE721099 KIA721099 KRW721099 LBS721099 LLO721099 LVK721099 MFG721099 MPC721099 MYY721099 NIU721099 NSQ721099 OCM721099 OMI721099 OWE721099 PGA721099 PPW721099 PZS721099 QJO721099 QTK721099 RDG721099 RNC721099 RWY721099 SGU721099 SQQ721099 TAM721099 TKI721099 TUE721099 UEA721099 UNW721099 UXS721099 VHO721099 VRK721099 WBG721099 WLC721099 WUY721099 D786635 IM786635 SI786635 ACE786635 AMA786635 AVW786635 BFS786635 BPO786635 BZK786635 CJG786635 CTC786635 DCY786635 DMU786635 DWQ786635 EGM786635 EQI786635 FAE786635 FKA786635 FTW786635 GDS786635 GNO786635 GXK786635 HHG786635 HRC786635 IAY786635 IKU786635 IUQ786635 JEM786635 JOI786635 JYE786635 KIA786635 KRW786635 LBS786635 LLO786635 LVK786635 MFG786635 MPC786635 MYY786635 NIU786635 NSQ786635 OCM786635 OMI786635 OWE786635 PGA786635 PPW786635 PZS786635 QJO786635 QTK786635 RDG786635 RNC786635 RWY786635 SGU786635 SQQ786635 TAM786635 TKI786635 TUE786635 UEA786635 UNW786635 UXS786635 VHO786635 VRK786635 WBG786635 WLC786635 WUY786635 D852171 IM852171 SI852171 ACE852171 AMA852171 AVW852171 BFS852171 BPO852171 BZK852171 CJG852171 CTC852171 DCY852171 DMU852171 DWQ852171 EGM852171 EQI852171 FAE852171 FKA852171 FTW852171 GDS852171 GNO852171 GXK852171 HHG852171 HRC852171 IAY852171 IKU852171 IUQ852171 JEM852171 JOI852171 JYE852171 KIA852171 KRW852171 LBS852171 LLO852171 LVK852171 MFG852171 MPC852171 MYY852171 NIU852171 NSQ852171 OCM852171 OMI852171 OWE852171 PGA852171 PPW852171 PZS852171 QJO852171 QTK852171 RDG852171 RNC852171 RWY852171 SGU852171 SQQ852171 TAM852171 TKI852171 TUE852171 UEA852171 UNW852171 UXS852171 VHO852171 VRK852171 WBG852171 WLC852171 WUY852171 D917707 IM917707 SI917707 ACE917707 AMA917707 AVW917707 BFS917707 BPO917707 BZK917707 CJG917707 CTC917707 DCY917707 DMU917707 DWQ917707 EGM917707 EQI917707 FAE917707 FKA917707 FTW917707 GDS917707 GNO917707 GXK917707 HHG917707 HRC917707 IAY917707 IKU917707 IUQ917707 JEM917707 JOI917707 JYE917707 KIA917707 KRW917707 LBS917707 LLO917707 LVK917707 MFG917707 MPC917707 MYY917707 NIU917707 NSQ917707 OCM917707 OMI917707 OWE917707 PGA917707 PPW917707 PZS917707 QJO917707 QTK917707 RDG917707 RNC917707 RWY917707 SGU917707 SQQ917707 TAM917707 TKI917707 TUE917707 UEA917707 UNW917707 UXS917707 VHO917707 VRK917707 WBG917707 WLC917707 WUY917707 D983243 IM983243 SI983243 ACE983243 AMA983243 AVW983243 BFS983243 BPO983243 BZK983243 CJG983243 CTC983243 DCY983243 DMU983243 DWQ983243 EGM983243 EQI983243 FAE983243 FKA983243 FTW983243 GDS983243 GNO983243 GXK983243 HHG983243 HRC983243 IAY983243 IKU983243 IUQ983243 JEM983243 JOI983243 JYE983243 KIA983243 KRW983243 LBS983243 LLO983243 LVK983243 MFG983243 MPC983243 MYY983243 NIU983243 NSQ983243 OCM983243 OMI983243 OWE983243 PGA983243 PPW983243 PZS983243 QJO983243 QTK983243 RDG983243 RNC983243 RWY983243 SGU983243 SQQ983243 TAM983243 TKI983243 TUE983243 UEA983243 UNW983243 UXS983243 VHO983243 VRK983243 WBG983243 WLC983243">
      <formula1>"0.393"</formula1>
    </dataValidation>
    <dataValidation type="list" errorStyle="information" allowBlank="1" showInputMessage="1" showErrorMessage="1" errorTitle="Capacitor" error="1.68e-8 is appropriate value for copper traces." sqref="WUY983242 IM49 SI49 ACE49 AMA49 AVW49 BFS49 BPO49 BZK49 CJG49 CTC49 DCY49 DMU49 DWQ49 EGM49 EQI49 FAE49 FKA49 FTW49 GDS49 GNO49 GXK49 HHG49 HRC49 IAY49 IKU49 IUQ49 JEM49 JOI49 JYE49 KIA49 KRW49 LBS49 LLO49 LVK49 MFG49 MPC49 MYY49 NIU49 NSQ49 OCM49 OMI49 OWE49 PGA49 PPW49 PZS49 QJO49 QTK49 RDG49 RNC49 RWY49 SGU49 SQQ49 TAM49 TKI49 TUE49 UEA49 UNW49 UXS49 VHO49 VRK49 WBG49 WLC49 WUY49 D65738 IM65738 SI65738 ACE65738 AMA65738 AVW65738 BFS65738 BPO65738 BZK65738 CJG65738 CTC65738 DCY65738 DMU65738 DWQ65738 EGM65738 EQI65738 FAE65738 FKA65738 FTW65738 GDS65738 GNO65738 GXK65738 HHG65738 HRC65738 IAY65738 IKU65738 IUQ65738 JEM65738 JOI65738 JYE65738 KIA65738 KRW65738 LBS65738 LLO65738 LVK65738 MFG65738 MPC65738 MYY65738 NIU65738 NSQ65738 OCM65738 OMI65738 OWE65738 PGA65738 PPW65738 PZS65738 QJO65738 QTK65738 RDG65738 RNC65738 RWY65738 SGU65738 SQQ65738 TAM65738 TKI65738 TUE65738 UEA65738 UNW65738 UXS65738 VHO65738 VRK65738 WBG65738 WLC65738 WUY65738 D131274 IM131274 SI131274 ACE131274 AMA131274 AVW131274 BFS131274 BPO131274 BZK131274 CJG131274 CTC131274 DCY131274 DMU131274 DWQ131274 EGM131274 EQI131274 FAE131274 FKA131274 FTW131274 GDS131274 GNO131274 GXK131274 HHG131274 HRC131274 IAY131274 IKU131274 IUQ131274 JEM131274 JOI131274 JYE131274 KIA131274 KRW131274 LBS131274 LLO131274 LVK131274 MFG131274 MPC131274 MYY131274 NIU131274 NSQ131274 OCM131274 OMI131274 OWE131274 PGA131274 PPW131274 PZS131274 QJO131274 QTK131274 RDG131274 RNC131274 RWY131274 SGU131274 SQQ131274 TAM131274 TKI131274 TUE131274 UEA131274 UNW131274 UXS131274 VHO131274 VRK131274 WBG131274 WLC131274 WUY131274 D196810 IM196810 SI196810 ACE196810 AMA196810 AVW196810 BFS196810 BPO196810 BZK196810 CJG196810 CTC196810 DCY196810 DMU196810 DWQ196810 EGM196810 EQI196810 FAE196810 FKA196810 FTW196810 GDS196810 GNO196810 GXK196810 HHG196810 HRC196810 IAY196810 IKU196810 IUQ196810 JEM196810 JOI196810 JYE196810 KIA196810 KRW196810 LBS196810 LLO196810 LVK196810 MFG196810 MPC196810 MYY196810 NIU196810 NSQ196810 OCM196810 OMI196810 OWE196810 PGA196810 PPW196810 PZS196810 QJO196810 QTK196810 RDG196810 RNC196810 RWY196810 SGU196810 SQQ196810 TAM196810 TKI196810 TUE196810 UEA196810 UNW196810 UXS196810 VHO196810 VRK196810 WBG196810 WLC196810 WUY196810 D262346 IM262346 SI262346 ACE262346 AMA262346 AVW262346 BFS262346 BPO262346 BZK262346 CJG262346 CTC262346 DCY262346 DMU262346 DWQ262346 EGM262346 EQI262346 FAE262346 FKA262346 FTW262346 GDS262346 GNO262346 GXK262346 HHG262346 HRC262346 IAY262346 IKU262346 IUQ262346 JEM262346 JOI262346 JYE262346 KIA262346 KRW262346 LBS262346 LLO262346 LVK262346 MFG262346 MPC262346 MYY262346 NIU262346 NSQ262346 OCM262346 OMI262346 OWE262346 PGA262346 PPW262346 PZS262346 QJO262346 QTK262346 RDG262346 RNC262346 RWY262346 SGU262346 SQQ262346 TAM262346 TKI262346 TUE262346 UEA262346 UNW262346 UXS262346 VHO262346 VRK262346 WBG262346 WLC262346 WUY262346 D327882 IM327882 SI327882 ACE327882 AMA327882 AVW327882 BFS327882 BPO327882 BZK327882 CJG327882 CTC327882 DCY327882 DMU327882 DWQ327882 EGM327882 EQI327882 FAE327882 FKA327882 FTW327882 GDS327882 GNO327882 GXK327882 HHG327882 HRC327882 IAY327882 IKU327882 IUQ327882 JEM327882 JOI327882 JYE327882 KIA327882 KRW327882 LBS327882 LLO327882 LVK327882 MFG327882 MPC327882 MYY327882 NIU327882 NSQ327882 OCM327882 OMI327882 OWE327882 PGA327882 PPW327882 PZS327882 QJO327882 QTK327882 RDG327882 RNC327882 RWY327882 SGU327882 SQQ327882 TAM327882 TKI327882 TUE327882 UEA327882 UNW327882 UXS327882 VHO327882 VRK327882 WBG327882 WLC327882 WUY327882 D393418 IM393418 SI393418 ACE393418 AMA393418 AVW393418 BFS393418 BPO393418 BZK393418 CJG393418 CTC393418 DCY393418 DMU393418 DWQ393418 EGM393418 EQI393418 FAE393418 FKA393418 FTW393418 GDS393418 GNO393418 GXK393418 HHG393418 HRC393418 IAY393418 IKU393418 IUQ393418 JEM393418 JOI393418 JYE393418 KIA393418 KRW393418 LBS393418 LLO393418 LVK393418 MFG393418 MPC393418 MYY393418 NIU393418 NSQ393418 OCM393418 OMI393418 OWE393418 PGA393418 PPW393418 PZS393418 QJO393418 QTK393418 RDG393418 RNC393418 RWY393418 SGU393418 SQQ393418 TAM393418 TKI393418 TUE393418 UEA393418 UNW393418 UXS393418 VHO393418 VRK393418 WBG393418 WLC393418 WUY393418 D458954 IM458954 SI458954 ACE458954 AMA458954 AVW458954 BFS458954 BPO458954 BZK458954 CJG458954 CTC458954 DCY458954 DMU458954 DWQ458954 EGM458954 EQI458954 FAE458954 FKA458954 FTW458954 GDS458954 GNO458954 GXK458954 HHG458954 HRC458954 IAY458954 IKU458954 IUQ458954 JEM458954 JOI458954 JYE458954 KIA458954 KRW458954 LBS458954 LLO458954 LVK458954 MFG458954 MPC458954 MYY458954 NIU458954 NSQ458954 OCM458954 OMI458954 OWE458954 PGA458954 PPW458954 PZS458954 QJO458954 QTK458954 RDG458954 RNC458954 RWY458954 SGU458954 SQQ458954 TAM458954 TKI458954 TUE458954 UEA458954 UNW458954 UXS458954 VHO458954 VRK458954 WBG458954 WLC458954 WUY458954 D524490 IM524490 SI524490 ACE524490 AMA524490 AVW524490 BFS524490 BPO524490 BZK524490 CJG524490 CTC524490 DCY524490 DMU524490 DWQ524490 EGM524490 EQI524490 FAE524490 FKA524490 FTW524490 GDS524490 GNO524490 GXK524490 HHG524490 HRC524490 IAY524490 IKU524490 IUQ524490 JEM524490 JOI524490 JYE524490 KIA524490 KRW524490 LBS524490 LLO524490 LVK524490 MFG524490 MPC524490 MYY524490 NIU524490 NSQ524490 OCM524490 OMI524490 OWE524490 PGA524490 PPW524490 PZS524490 QJO524490 QTK524490 RDG524490 RNC524490 RWY524490 SGU524490 SQQ524490 TAM524490 TKI524490 TUE524490 UEA524490 UNW524490 UXS524490 VHO524490 VRK524490 WBG524490 WLC524490 WUY524490 D590026 IM590026 SI590026 ACE590026 AMA590026 AVW590026 BFS590026 BPO590026 BZK590026 CJG590026 CTC590026 DCY590026 DMU590026 DWQ590026 EGM590026 EQI590026 FAE590026 FKA590026 FTW590026 GDS590026 GNO590026 GXK590026 HHG590026 HRC590026 IAY590026 IKU590026 IUQ590026 JEM590026 JOI590026 JYE590026 KIA590026 KRW590026 LBS590026 LLO590026 LVK590026 MFG590026 MPC590026 MYY590026 NIU590026 NSQ590026 OCM590026 OMI590026 OWE590026 PGA590026 PPW590026 PZS590026 QJO590026 QTK590026 RDG590026 RNC590026 RWY590026 SGU590026 SQQ590026 TAM590026 TKI590026 TUE590026 UEA590026 UNW590026 UXS590026 VHO590026 VRK590026 WBG590026 WLC590026 WUY590026 D655562 IM655562 SI655562 ACE655562 AMA655562 AVW655562 BFS655562 BPO655562 BZK655562 CJG655562 CTC655562 DCY655562 DMU655562 DWQ655562 EGM655562 EQI655562 FAE655562 FKA655562 FTW655562 GDS655562 GNO655562 GXK655562 HHG655562 HRC655562 IAY655562 IKU655562 IUQ655562 JEM655562 JOI655562 JYE655562 KIA655562 KRW655562 LBS655562 LLO655562 LVK655562 MFG655562 MPC655562 MYY655562 NIU655562 NSQ655562 OCM655562 OMI655562 OWE655562 PGA655562 PPW655562 PZS655562 QJO655562 QTK655562 RDG655562 RNC655562 RWY655562 SGU655562 SQQ655562 TAM655562 TKI655562 TUE655562 UEA655562 UNW655562 UXS655562 VHO655562 VRK655562 WBG655562 WLC655562 WUY655562 D721098 IM721098 SI721098 ACE721098 AMA721098 AVW721098 BFS721098 BPO721098 BZK721098 CJG721098 CTC721098 DCY721098 DMU721098 DWQ721098 EGM721098 EQI721098 FAE721098 FKA721098 FTW721098 GDS721098 GNO721098 GXK721098 HHG721098 HRC721098 IAY721098 IKU721098 IUQ721098 JEM721098 JOI721098 JYE721098 KIA721098 KRW721098 LBS721098 LLO721098 LVK721098 MFG721098 MPC721098 MYY721098 NIU721098 NSQ721098 OCM721098 OMI721098 OWE721098 PGA721098 PPW721098 PZS721098 QJO721098 QTK721098 RDG721098 RNC721098 RWY721098 SGU721098 SQQ721098 TAM721098 TKI721098 TUE721098 UEA721098 UNW721098 UXS721098 VHO721098 VRK721098 WBG721098 WLC721098 WUY721098 D786634 IM786634 SI786634 ACE786634 AMA786634 AVW786634 BFS786634 BPO786634 BZK786634 CJG786634 CTC786634 DCY786634 DMU786634 DWQ786634 EGM786634 EQI786634 FAE786634 FKA786634 FTW786634 GDS786634 GNO786634 GXK786634 HHG786634 HRC786634 IAY786634 IKU786634 IUQ786634 JEM786634 JOI786634 JYE786634 KIA786634 KRW786634 LBS786634 LLO786634 LVK786634 MFG786634 MPC786634 MYY786634 NIU786634 NSQ786634 OCM786634 OMI786634 OWE786634 PGA786634 PPW786634 PZS786634 QJO786634 QTK786634 RDG786634 RNC786634 RWY786634 SGU786634 SQQ786634 TAM786634 TKI786634 TUE786634 UEA786634 UNW786634 UXS786634 VHO786634 VRK786634 WBG786634 WLC786634 WUY786634 D852170 IM852170 SI852170 ACE852170 AMA852170 AVW852170 BFS852170 BPO852170 BZK852170 CJG852170 CTC852170 DCY852170 DMU852170 DWQ852170 EGM852170 EQI852170 FAE852170 FKA852170 FTW852170 GDS852170 GNO852170 GXK852170 HHG852170 HRC852170 IAY852170 IKU852170 IUQ852170 JEM852170 JOI852170 JYE852170 KIA852170 KRW852170 LBS852170 LLO852170 LVK852170 MFG852170 MPC852170 MYY852170 NIU852170 NSQ852170 OCM852170 OMI852170 OWE852170 PGA852170 PPW852170 PZS852170 QJO852170 QTK852170 RDG852170 RNC852170 RWY852170 SGU852170 SQQ852170 TAM852170 TKI852170 TUE852170 UEA852170 UNW852170 UXS852170 VHO852170 VRK852170 WBG852170 WLC852170 WUY852170 D917706 IM917706 SI917706 ACE917706 AMA917706 AVW917706 BFS917706 BPO917706 BZK917706 CJG917706 CTC917706 DCY917706 DMU917706 DWQ917706 EGM917706 EQI917706 FAE917706 FKA917706 FTW917706 GDS917706 GNO917706 GXK917706 HHG917706 HRC917706 IAY917706 IKU917706 IUQ917706 JEM917706 JOI917706 JYE917706 KIA917706 KRW917706 LBS917706 LLO917706 LVK917706 MFG917706 MPC917706 MYY917706 NIU917706 NSQ917706 OCM917706 OMI917706 OWE917706 PGA917706 PPW917706 PZS917706 QJO917706 QTK917706 RDG917706 RNC917706 RWY917706 SGU917706 SQQ917706 TAM917706 TKI917706 TUE917706 UEA917706 UNW917706 UXS917706 VHO917706 VRK917706 WBG917706 WLC917706 WUY917706 D983242 IM983242 SI983242 ACE983242 AMA983242 AVW983242 BFS983242 BPO983242 BZK983242 CJG983242 CTC983242 DCY983242 DMU983242 DWQ983242 EGM983242 EQI983242 FAE983242 FKA983242 FTW983242 GDS983242 GNO983242 GXK983242 HHG983242 HRC983242 IAY983242 IKU983242 IUQ983242 JEM983242 JOI983242 JYE983242 KIA983242 KRW983242 LBS983242 LLO983242 LVK983242 MFG983242 MPC983242 MYY983242 NIU983242 NSQ983242 OCM983242 OMI983242 OWE983242 PGA983242 PPW983242 PZS983242 QJO983242 QTK983242 RDG983242 RNC983242 RWY983242 SGU983242 SQQ983242 TAM983242 TKI983242 TUE983242 UEA983242 UNW983242 UXS983242 VHO983242 VRK983242 WBG983242 WLC983242">
      <formula1>"1.68e-8"</formula1>
    </dataValidation>
    <dataValidation type="decimal" operator="greaterThan" allowBlank="1" showInputMessage="1" showErrorMessage="1" sqref="D24 IM24 SI24 ACE24 AMA24 AVW24 BFS24 BPO24 BZK24 CJG24 CTC24 DCY24 DMU24 DWQ24 EGM24 EQI24 FAE24 FKA24 FTW24 GDS24 GNO24 GXK24 HHG24 HRC24 IAY24 IKU24 IUQ24 JEM24 JOI24 JYE24 KIA24 KRW24 LBS24 LLO24 LVK24 MFG24 MPC24 MYY24 NIU24 NSQ24 OCM24 OMI24 OWE24 PGA24 PPW24 PZS24 QJO24 QTK24 RDG24 RNC24 RWY24 SGU24 SQQ24 TAM24 TKI24 TUE24 UEA24 UNW24 UXS24 VHO24 VRK24 WBG24 WLC24 WUY24 D65722 IM65722 SI65722 ACE65722 AMA65722 AVW65722 BFS65722 BPO65722 BZK65722 CJG65722 CTC65722 DCY65722 DMU65722 DWQ65722 EGM65722 EQI65722 FAE65722 FKA65722 FTW65722 GDS65722 GNO65722 GXK65722 HHG65722 HRC65722 IAY65722 IKU65722 IUQ65722 JEM65722 JOI65722 JYE65722 KIA65722 KRW65722 LBS65722 LLO65722 LVK65722 MFG65722 MPC65722 MYY65722 NIU65722 NSQ65722 OCM65722 OMI65722 OWE65722 PGA65722 PPW65722 PZS65722 QJO65722 QTK65722 RDG65722 RNC65722 RWY65722 SGU65722 SQQ65722 TAM65722 TKI65722 TUE65722 UEA65722 UNW65722 UXS65722 VHO65722 VRK65722 WBG65722 WLC65722 WUY65722 D131258 IM131258 SI131258 ACE131258 AMA131258 AVW131258 BFS131258 BPO131258 BZK131258 CJG131258 CTC131258 DCY131258 DMU131258 DWQ131258 EGM131258 EQI131258 FAE131258 FKA131258 FTW131258 GDS131258 GNO131258 GXK131258 HHG131258 HRC131258 IAY131258 IKU131258 IUQ131258 JEM131258 JOI131258 JYE131258 KIA131258 KRW131258 LBS131258 LLO131258 LVK131258 MFG131258 MPC131258 MYY131258 NIU131258 NSQ131258 OCM131258 OMI131258 OWE131258 PGA131258 PPW131258 PZS131258 QJO131258 QTK131258 RDG131258 RNC131258 RWY131258 SGU131258 SQQ131258 TAM131258 TKI131258 TUE131258 UEA131258 UNW131258 UXS131258 VHO131258 VRK131258 WBG131258 WLC131258 WUY131258 D196794 IM196794 SI196794 ACE196794 AMA196794 AVW196794 BFS196794 BPO196794 BZK196794 CJG196794 CTC196794 DCY196794 DMU196794 DWQ196794 EGM196794 EQI196794 FAE196794 FKA196794 FTW196794 GDS196794 GNO196794 GXK196794 HHG196794 HRC196794 IAY196794 IKU196794 IUQ196794 JEM196794 JOI196794 JYE196794 KIA196794 KRW196794 LBS196794 LLO196794 LVK196794 MFG196794 MPC196794 MYY196794 NIU196794 NSQ196794 OCM196794 OMI196794 OWE196794 PGA196794 PPW196794 PZS196794 QJO196794 QTK196794 RDG196794 RNC196794 RWY196794 SGU196794 SQQ196794 TAM196794 TKI196794 TUE196794 UEA196794 UNW196794 UXS196794 VHO196794 VRK196794 WBG196794 WLC196794 WUY196794 D262330 IM262330 SI262330 ACE262330 AMA262330 AVW262330 BFS262330 BPO262330 BZK262330 CJG262330 CTC262330 DCY262330 DMU262330 DWQ262330 EGM262330 EQI262330 FAE262330 FKA262330 FTW262330 GDS262330 GNO262330 GXK262330 HHG262330 HRC262330 IAY262330 IKU262330 IUQ262330 JEM262330 JOI262330 JYE262330 KIA262330 KRW262330 LBS262330 LLO262330 LVK262330 MFG262330 MPC262330 MYY262330 NIU262330 NSQ262330 OCM262330 OMI262330 OWE262330 PGA262330 PPW262330 PZS262330 QJO262330 QTK262330 RDG262330 RNC262330 RWY262330 SGU262330 SQQ262330 TAM262330 TKI262330 TUE262330 UEA262330 UNW262330 UXS262330 VHO262330 VRK262330 WBG262330 WLC262330 WUY262330 D327866 IM327866 SI327866 ACE327866 AMA327866 AVW327866 BFS327866 BPO327866 BZK327866 CJG327866 CTC327866 DCY327866 DMU327866 DWQ327866 EGM327866 EQI327866 FAE327866 FKA327866 FTW327866 GDS327866 GNO327866 GXK327866 HHG327866 HRC327866 IAY327866 IKU327866 IUQ327866 JEM327866 JOI327866 JYE327866 KIA327866 KRW327866 LBS327866 LLO327866 LVK327866 MFG327866 MPC327866 MYY327866 NIU327866 NSQ327866 OCM327866 OMI327866 OWE327866 PGA327866 PPW327866 PZS327866 QJO327866 QTK327866 RDG327866 RNC327866 RWY327866 SGU327866 SQQ327866 TAM327866 TKI327866 TUE327866 UEA327866 UNW327866 UXS327866 VHO327866 VRK327866 WBG327866 WLC327866 WUY327866 D393402 IM393402 SI393402 ACE393402 AMA393402 AVW393402 BFS393402 BPO393402 BZK393402 CJG393402 CTC393402 DCY393402 DMU393402 DWQ393402 EGM393402 EQI393402 FAE393402 FKA393402 FTW393402 GDS393402 GNO393402 GXK393402 HHG393402 HRC393402 IAY393402 IKU393402 IUQ393402 JEM393402 JOI393402 JYE393402 KIA393402 KRW393402 LBS393402 LLO393402 LVK393402 MFG393402 MPC393402 MYY393402 NIU393402 NSQ393402 OCM393402 OMI393402 OWE393402 PGA393402 PPW393402 PZS393402 QJO393402 QTK393402 RDG393402 RNC393402 RWY393402 SGU393402 SQQ393402 TAM393402 TKI393402 TUE393402 UEA393402 UNW393402 UXS393402 VHO393402 VRK393402 WBG393402 WLC393402 WUY393402 D458938 IM458938 SI458938 ACE458938 AMA458938 AVW458938 BFS458938 BPO458938 BZK458938 CJG458938 CTC458938 DCY458938 DMU458938 DWQ458938 EGM458938 EQI458938 FAE458938 FKA458938 FTW458938 GDS458938 GNO458938 GXK458938 HHG458938 HRC458938 IAY458938 IKU458938 IUQ458938 JEM458938 JOI458938 JYE458938 KIA458938 KRW458938 LBS458938 LLO458938 LVK458938 MFG458938 MPC458938 MYY458938 NIU458938 NSQ458938 OCM458938 OMI458938 OWE458938 PGA458938 PPW458938 PZS458938 QJO458938 QTK458938 RDG458938 RNC458938 RWY458938 SGU458938 SQQ458938 TAM458938 TKI458938 TUE458938 UEA458938 UNW458938 UXS458938 VHO458938 VRK458938 WBG458938 WLC458938 WUY458938 D524474 IM524474 SI524474 ACE524474 AMA524474 AVW524474 BFS524474 BPO524474 BZK524474 CJG524474 CTC524474 DCY524474 DMU524474 DWQ524474 EGM524474 EQI524474 FAE524474 FKA524474 FTW524474 GDS524474 GNO524474 GXK524474 HHG524474 HRC524474 IAY524474 IKU524474 IUQ524474 JEM524474 JOI524474 JYE524474 KIA524474 KRW524474 LBS524474 LLO524474 LVK524474 MFG524474 MPC524474 MYY524474 NIU524474 NSQ524474 OCM524474 OMI524474 OWE524474 PGA524474 PPW524474 PZS524474 QJO524474 QTK524474 RDG524474 RNC524474 RWY524474 SGU524474 SQQ524474 TAM524474 TKI524474 TUE524474 UEA524474 UNW524474 UXS524474 VHO524474 VRK524474 WBG524474 WLC524474 WUY524474 D590010 IM590010 SI590010 ACE590010 AMA590010 AVW590010 BFS590010 BPO590010 BZK590010 CJG590010 CTC590010 DCY590010 DMU590010 DWQ590010 EGM590010 EQI590010 FAE590010 FKA590010 FTW590010 GDS590010 GNO590010 GXK590010 HHG590010 HRC590010 IAY590010 IKU590010 IUQ590010 JEM590010 JOI590010 JYE590010 KIA590010 KRW590010 LBS590010 LLO590010 LVK590010 MFG590010 MPC590010 MYY590010 NIU590010 NSQ590010 OCM590010 OMI590010 OWE590010 PGA590010 PPW590010 PZS590010 QJO590010 QTK590010 RDG590010 RNC590010 RWY590010 SGU590010 SQQ590010 TAM590010 TKI590010 TUE590010 UEA590010 UNW590010 UXS590010 VHO590010 VRK590010 WBG590010 WLC590010 WUY590010 D655546 IM655546 SI655546 ACE655546 AMA655546 AVW655546 BFS655546 BPO655546 BZK655546 CJG655546 CTC655546 DCY655546 DMU655546 DWQ655546 EGM655546 EQI655546 FAE655546 FKA655546 FTW655546 GDS655546 GNO655546 GXK655546 HHG655546 HRC655546 IAY655546 IKU655546 IUQ655546 JEM655546 JOI655546 JYE655546 KIA655546 KRW655546 LBS655546 LLO655546 LVK655546 MFG655546 MPC655546 MYY655546 NIU655546 NSQ655546 OCM655546 OMI655546 OWE655546 PGA655546 PPW655546 PZS655546 QJO655546 QTK655546 RDG655546 RNC655546 RWY655546 SGU655546 SQQ655546 TAM655546 TKI655546 TUE655546 UEA655546 UNW655546 UXS655546 VHO655546 VRK655546 WBG655546 WLC655546 WUY655546 D721082 IM721082 SI721082 ACE721082 AMA721082 AVW721082 BFS721082 BPO721082 BZK721082 CJG721082 CTC721082 DCY721082 DMU721082 DWQ721082 EGM721082 EQI721082 FAE721082 FKA721082 FTW721082 GDS721082 GNO721082 GXK721082 HHG721082 HRC721082 IAY721082 IKU721082 IUQ721082 JEM721082 JOI721082 JYE721082 KIA721082 KRW721082 LBS721082 LLO721082 LVK721082 MFG721082 MPC721082 MYY721082 NIU721082 NSQ721082 OCM721082 OMI721082 OWE721082 PGA721082 PPW721082 PZS721082 QJO721082 QTK721082 RDG721082 RNC721082 RWY721082 SGU721082 SQQ721082 TAM721082 TKI721082 TUE721082 UEA721082 UNW721082 UXS721082 VHO721082 VRK721082 WBG721082 WLC721082 WUY721082 D786618 IM786618 SI786618 ACE786618 AMA786618 AVW786618 BFS786618 BPO786618 BZK786618 CJG786618 CTC786618 DCY786618 DMU786618 DWQ786618 EGM786618 EQI786618 FAE786618 FKA786618 FTW786618 GDS786618 GNO786618 GXK786618 HHG786618 HRC786618 IAY786618 IKU786618 IUQ786618 JEM786618 JOI786618 JYE786618 KIA786618 KRW786618 LBS786618 LLO786618 LVK786618 MFG786618 MPC786618 MYY786618 NIU786618 NSQ786618 OCM786618 OMI786618 OWE786618 PGA786618 PPW786618 PZS786618 QJO786618 QTK786618 RDG786618 RNC786618 RWY786618 SGU786618 SQQ786618 TAM786618 TKI786618 TUE786618 UEA786618 UNW786618 UXS786618 VHO786618 VRK786618 WBG786618 WLC786618 WUY786618 D852154 IM852154 SI852154 ACE852154 AMA852154 AVW852154 BFS852154 BPO852154 BZK852154 CJG852154 CTC852154 DCY852154 DMU852154 DWQ852154 EGM852154 EQI852154 FAE852154 FKA852154 FTW852154 GDS852154 GNO852154 GXK852154 HHG852154 HRC852154 IAY852154 IKU852154 IUQ852154 JEM852154 JOI852154 JYE852154 KIA852154 KRW852154 LBS852154 LLO852154 LVK852154 MFG852154 MPC852154 MYY852154 NIU852154 NSQ852154 OCM852154 OMI852154 OWE852154 PGA852154 PPW852154 PZS852154 QJO852154 QTK852154 RDG852154 RNC852154 RWY852154 SGU852154 SQQ852154 TAM852154 TKI852154 TUE852154 UEA852154 UNW852154 UXS852154 VHO852154 VRK852154 WBG852154 WLC852154 WUY852154 D917690 IM917690 SI917690 ACE917690 AMA917690 AVW917690 BFS917690 BPO917690 BZK917690 CJG917690 CTC917690 DCY917690 DMU917690 DWQ917690 EGM917690 EQI917690 FAE917690 FKA917690 FTW917690 GDS917690 GNO917690 GXK917690 HHG917690 HRC917690 IAY917690 IKU917690 IUQ917690 JEM917690 JOI917690 JYE917690 KIA917690 KRW917690 LBS917690 LLO917690 LVK917690 MFG917690 MPC917690 MYY917690 NIU917690 NSQ917690 OCM917690 OMI917690 OWE917690 PGA917690 PPW917690 PZS917690 QJO917690 QTK917690 RDG917690 RNC917690 RWY917690 SGU917690 SQQ917690 TAM917690 TKI917690 TUE917690 UEA917690 UNW917690 UXS917690 VHO917690 VRK917690 WBG917690 WLC917690 WUY917690 D983226 IM983226 SI983226 ACE983226 AMA983226 AVW983226 BFS983226 BPO983226 BZK983226 CJG983226 CTC983226 DCY983226 DMU983226 DWQ983226 EGM983226 EQI983226 FAE983226 FKA983226 FTW983226 GDS983226 GNO983226 GXK983226 HHG983226 HRC983226 IAY983226 IKU983226 IUQ983226 JEM983226 JOI983226 JYE983226 KIA983226 KRW983226 LBS983226 LLO983226 LVK983226 MFG983226 MPC983226 MYY983226 NIU983226 NSQ983226 OCM983226 OMI983226 OWE983226 PGA983226 PPW983226 PZS983226 QJO983226 QTK983226 RDG983226 RNC983226 RWY983226 SGU983226 SQQ983226 TAM983226 TKI983226 TUE983226 UEA983226 UNW983226 UXS983226 VHO983226 VRK983226 WBG983226 WLC983226 WUY983226">
      <formula1>0.1</formula1>
    </dataValidation>
    <dataValidation type="list" showInputMessage="1" showErrorMessage="1" sqref="E38:E45 IN59 SJ59 ACF59 AMB59 AVX59 BFT59 BPP59 BZL59 CJH59 CTD59 DCZ59 DMV59 DWR59 EGN59 EQJ59 FAF59 FKB59 FTX59 GDT59 GNP59 GXL59 HHH59 HRD59 IAZ59 IKV59 IUR59 JEN59 JOJ59 JYF59 KIB59 KRX59 LBT59 LLP59 LVL59 MFH59 MPD59 MYZ59 NIV59 NSR59 OCN59 OMJ59 OWF59 PGB59 PPX59 PZT59 QJP59 QTL59 RDH59 RND59 RWZ59 SGV59 SQR59 TAN59 TKJ59 TUF59 UEB59 UNX59 UXT59 VHP59 VRL59 WBH59 WLD59 WUZ59 E65746 IN65746 SJ65746 ACF65746 AMB65746 AVX65746 BFT65746 BPP65746 BZL65746 CJH65746 CTD65746 DCZ65746 DMV65746 DWR65746 EGN65746 EQJ65746 FAF65746 FKB65746 FTX65746 GDT65746 GNP65746 GXL65746 HHH65746 HRD65746 IAZ65746 IKV65746 IUR65746 JEN65746 JOJ65746 JYF65746 KIB65746 KRX65746 LBT65746 LLP65746 LVL65746 MFH65746 MPD65746 MYZ65746 NIV65746 NSR65746 OCN65746 OMJ65746 OWF65746 PGB65746 PPX65746 PZT65746 QJP65746 QTL65746 RDH65746 RND65746 RWZ65746 SGV65746 SQR65746 TAN65746 TKJ65746 TUF65746 UEB65746 UNX65746 UXT65746 VHP65746 VRL65746 WBH65746 WLD65746 WUZ65746 E131282 IN131282 SJ131282 ACF131282 AMB131282 AVX131282 BFT131282 BPP131282 BZL131282 CJH131282 CTD131282 DCZ131282 DMV131282 DWR131282 EGN131282 EQJ131282 FAF131282 FKB131282 FTX131282 GDT131282 GNP131282 GXL131282 HHH131282 HRD131282 IAZ131282 IKV131282 IUR131282 JEN131282 JOJ131282 JYF131282 KIB131282 KRX131282 LBT131282 LLP131282 LVL131282 MFH131282 MPD131282 MYZ131282 NIV131282 NSR131282 OCN131282 OMJ131282 OWF131282 PGB131282 PPX131282 PZT131282 QJP131282 QTL131282 RDH131282 RND131282 RWZ131282 SGV131282 SQR131282 TAN131282 TKJ131282 TUF131282 UEB131282 UNX131282 UXT131282 VHP131282 VRL131282 WBH131282 WLD131282 WUZ131282 E196818 IN196818 SJ196818 ACF196818 AMB196818 AVX196818 BFT196818 BPP196818 BZL196818 CJH196818 CTD196818 DCZ196818 DMV196818 DWR196818 EGN196818 EQJ196818 FAF196818 FKB196818 FTX196818 GDT196818 GNP196818 GXL196818 HHH196818 HRD196818 IAZ196818 IKV196818 IUR196818 JEN196818 JOJ196818 JYF196818 KIB196818 KRX196818 LBT196818 LLP196818 LVL196818 MFH196818 MPD196818 MYZ196818 NIV196818 NSR196818 OCN196818 OMJ196818 OWF196818 PGB196818 PPX196818 PZT196818 QJP196818 QTL196818 RDH196818 RND196818 RWZ196818 SGV196818 SQR196818 TAN196818 TKJ196818 TUF196818 UEB196818 UNX196818 UXT196818 VHP196818 VRL196818 WBH196818 WLD196818 WUZ196818 E262354 IN262354 SJ262354 ACF262354 AMB262354 AVX262354 BFT262354 BPP262354 BZL262354 CJH262354 CTD262354 DCZ262354 DMV262354 DWR262354 EGN262354 EQJ262354 FAF262354 FKB262354 FTX262354 GDT262354 GNP262354 GXL262354 HHH262354 HRD262354 IAZ262354 IKV262354 IUR262354 JEN262354 JOJ262354 JYF262354 KIB262354 KRX262354 LBT262354 LLP262354 LVL262354 MFH262354 MPD262354 MYZ262354 NIV262354 NSR262354 OCN262354 OMJ262354 OWF262354 PGB262354 PPX262354 PZT262354 QJP262354 QTL262354 RDH262354 RND262354 RWZ262354 SGV262354 SQR262354 TAN262354 TKJ262354 TUF262354 UEB262354 UNX262354 UXT262354 VHP262354 VRL262354 WBH262354 WLD262354 WUZ262354 E327890 IN327890 SJ327890 ACF327890 AMB327890 AVX327890 BFT327890 BPP327890 BZL327890 CJH327890 CTD327890 DCZ327890 DMV327890 DWR327890 EGN327890 EQJ327890 FAF327890 FKB327890 FTX327890 GDT327890 GNP327890 GXL327890 HHH327890 HRD327890 IAZ327890 IKV327890 IUR327890 JEN327890 JOJ327890 JYF327890 KIB327890 KRX327890 LBT327890 LLP327890 LVL327890 MFH327890 MPD327890 MYZ327890 NIV327890 NSR327890 OCN327890 OMJ327890 OWF327890 PGB327890 PPX327890 PZT327890 QJP327890 QTL327890 RDH327890 RND327890 RWZ327890 SGV327890 SQR327890 TAN327890 TKJ327890 TUF327890 UEB327890 UNX327890 UXT327890 VHP327890 VRL327890 WBH327890 WLD327890 WUZ327890 E393426 IN393426 SJ393426 ACF393426 AMB393426 AVX393426 BFT393426 BPP393426 BZL393426 CJH393426 CTD393426 DCZ393426 DMV393426 DWR393426 EGN393426 EQJ393426 FAF393426 FKB393426 FTX393426 GDT393426 GNP393426 GXL393426 HHH393426 HRD393426 IAZ393426 IKV393426 IUR393426 JEN393426 JOJ393426 JYF393426 KIB393426 KRX393426 LBT393426 LLP393426 LVL393426 MFH393426 MPD393426 MYZ393426 NIV393426 NSR393426 OCN393426 OMJ393426 OWF393426 PGB393426 PPX393426 PZT393426 QJP393426 QTL393426 RDH393426 RND393426 RWZ393426 SGV393426 SQR393426 TAN393426 TKJ393426 TUF393426 UEB393426 UNX393426 UXT393426 VHP393426 VRL393426 WBH393426 WLD393426 WUZ393426 E458962 IN458962 SJ458962 ACF458962 AMB458962 AVX458962 BFT458962 BPP458962 BZL458962 CJH458962 CTD458962 DCZ458962 DMV458962 DWR458962 EGN458962 EQJ458962 FAF458962 FKB458962 FTX458962 GDT458962 GNP458962 GXL458962 HHH458962 HRD458962 IAZ458962 IKV458962 IUR458962 JEN458962 JOJ458962 JYF458962 KIB458962 KRX458962 LBT458962 LLP458962 LVL458962 MFH458962 MPD458962 MYZ458962 NIV458962 NSR458962 OCN458962 OMJ458962 OWF458962 PGB458962 PPX458962 PZT458962 QJP458962 QTL458962 RDH458962 RND458962 RWZ458962 SGV458962 SQR458962 TAN458962 TKJ458962 TUF458962 UEB458962 UNX458962 UXT458962 VHP458962 VRL458962 WBH458962 WLD458962 WUZ458962 E524498 IN524498 SJ524498 ACF524498 AMB524498 AVX524498 BFT524498 BPP524498 BZL524498 CJH524498 CTD524498 DCZ524498 DMV524498 DWR524498 EGN524498 EQJ524498 FAF524498 FKB524498 FTX524498 GDT524498 GNP524498 GXL524498 HHH524498 HRD524498 IAZ524498 IKV524498 IUR524498 JEN524498 JOJ524498 JYF524498 KIB524498 KRX524498 LBT524498 LLP524498 LVL524498 MFH524498 MPD524498 MYZ524498 NIV524498 NSR524498 OCN524498 OMJ524498 OWF524498 PGB524498 PPX524498 PZT524498 QJP524498 QTL524498 RDH524498 RND524498 RWZ524498 SGV524498 SQR524498 TAN524498 TKJ524498 TUF524498 UEB524498 UNX524498 UXT524498 VHP524498 VRL524498 WBH524498 WLD524498 WUZ524498 E590034 IN590034 SJ590034 ACF590034 AMB590034 AVX590034 BFT590034 BPP590034 BZL590034 CJH590034 CTD590034 DCZ590034 DMV590034 DWR590034 EGN590034 EQJ590034 FAF590034 FKB590034 FTX590034 GDT590034 GNP590034 GXL590034 HHH590034 HRD590034 IAZ590034 IKV590034 IUR590034 JEN590034 JOJ590034 JYF590034 KIB590034 KRX590034 LBT590034 LLP590034 LVL590034 MFH590034 MPD590034 MYZ590034 NIV590034 NSR590034 OCN590034 OMJ590034 OWF590034 PGB590034 PPX590034 PZT590034 QJP590034 QTL590034 RDH590034 RND590034 RWZ590034 SGV590034 SQR590034 TAN590034 TKJ590034 TUF590034 UEB590034 UNX590034 UXT590034 VHP590034 VRL590034 WBH590034 WLD590034 WUZ590034 E655570 IN655570 SJ655570 ACF655570 AMB655570 AVX655570 BFT655570 BPP655570 BZL655570 CJH655570 CTD655570 DCZ655570 DMV655570 DWR655570 EGN655570 EQJ655570 FAF655570 FKB655570 FTX655570 GDT655570 GNP655570 GXL655570 HHH655570 HRD655570 IAZ655570 IKV655570 IUR655570 JEN655570 JOJ655570 JYF655570 KIB655570 KRX655570 LBT655570 LLP655570 LVL655570 MFH655570 MPD655570 MYZ655570 NIV655570 NSR655570 OCN655570 OMJ655570 OWF655570 PGB655570 PPX655570 PZT655570 QJP655570 QTL655570 RDH655570 RND655570 RWZ655570 SGV655570 SQR655570 TAN655570 TKJ655570 TUF655570 UEB655570 UNX655570 UXT655570 VHP655570 VRL655570 WBH655570 WLD655570 WUZ655570 E721106 IN721106 SJ721106 ACF721106 AMB721106 AVX721106 BFT721106 BPP721106 BZL721106 CJH721106 CTD721106 DCZ721106 DMV721106 DWR721106 EGN721106 EQJ721106 FAF721106 FKB721106 FTX721106 GDT721106 GNP721106 GXL721106 HHH721106 HRD721106 IAZ721106 IKV721106 IUR721106 JEN721106 JOJ721106 JYF721106 KIB721106 KRX721106 LBT721106 LLP721106 LVL721106 MFH721106 MPD721106 MYZ721106 NIV721106 NSR721106 OCN721106 OMJ721106 OWF721106 PGB721106 PPX721106 PZT721106 QJP721106 QTL721106 RDH721106 RND721106 RWZ721106 SGV721106 SQR721106 TAN721106 TKJ721106 TUF721106 UEB721106 UNX721106 UXT721106 VHP721106 VRL721106 WBH721106 WLD721106 WUZ721106 E786642 IN786642 SJ786642 ACF786642 AMB786642 AVX786642 BFT786642 BPP786642 BZL786642 CJH786642 CTD786642 DCZ786642 DMV786642 DWR786642 EGN786642 EQJ786642 FAF786642 FKB786642 FTX786642 GDT786642 GNP786642 GXL786642 HHH786642 HRD786642 IAZ786642 IKV786642 IUR786642 JEN786642 JOJ786642 JYF786642 KIB786642 KRX786642 LBT786642 LLP786642 LVL786642 MFH786642 MPD786642 MYZ786642 NIV786642 NSR786642 OCN786642 OMJ786642 OWF786642 PGB786642 PPX786642 PZT786642 QJP786642 QTL786642 RDH786642 RND786642 RWZ786642 SGV786642 SQR786642 TAN786642 TKJ786642 TUF786642 UEB786642 UNX786642 UXT786642 VHP786642 VRL786642 WBH786642 WLD786642 WUZ786642 E852178 IN852178 SJ852178 ACF852178 AMB852178 AVX852178 BFT852178 BPP852178 BZL852178 CJH852178 CTD852178 DCZ852178 DMV852178 DWR852178 EGN852178 EQJ852178 FAF852178 FKB852178 FTX852178 GDT852178 GNP852178 GXL852178 HHH852178 HRD852178 IAZ852178 IKV852178 IUR852178 JEN852178 JOJ852178 JYF852178 KIB852178 KRX852178 LBT852178 LLP852178 LVL852178 MFH852178 MPD852178 MYZ852178 NIV852178 NSR852178 OCN852178 OMJ852178 OWF852178 PGB852178 PPX852178 PZT852178 QJP852178 QTL852178 RDH852178 RND852178 RWZ852178 SGV852178 SQR852178 TAN852178 TKJ852178 TUF852178 UEB852178 UNX852178 UXT852178 VHP852178 VRL852178 WBH852178 WLD852178 WUZ852178 E917714 IN917714 SJ917714 ACF917714 AMB917714 AVX917714 BFT917714 BPP917714 BZL917714 CJH917714 CTD917714 DCZ917714 DMV917714 DWR917714 EGN917714 EQJ917714 FAF917714 FKB917714 FTX917714 GDT917714 GNP917714 GXL917714 HHH917714 HRD917714 IAZ917714 IKV917714 IUR917714 JEN917714 JOJ917714 JYF917714 KIB917714 KRX917714 LBT917714 LLP917714 LVL917714 MFH917714 MPD917714 MYZ917714 NIV917714 NSR917714 OCN917714 OMJ917714 OWF917714 PGB917714 PPX917714 PZT917714 QJP917714 QTL917714 RDH917714 RND917714 RWZ917714 SGV917714 SQR917714 TAN917714 TKJ917714 TUF917714 UEB917714 UNX917714 UXT917714 VHP917714 VRL917714 WBH917714 WLD917714 WUZ917714 E983250 IN983250 SJ983250 ACF983250 AMB983250 AVX983250 BFT983250 BPP983250 BZL983250 CJH983250 CTD983250 DCZ983250 DMV983250 DWR983250 EGN983250 EQJ983250 FAF983250 FKB983250 FTX983250 GDT983250 GNP983250 GXL983250 HHH983250 HRD983250 IAZ983250 IKV983250 IUR983250 JEN983250 JOJ983250 JYF983250 KIB983250 KRX983250 LBT983250 LLP983250 LVL983250 MFH983250 MPD983250 MYZ983250 NIV983250 NSR983250 OCN983250 OMJ983250 OWF983250 PGB983250 PPX983250 PZT983250 QJP983250 QTL983250 RDH983250 RND983250 RWZ983250 SGV983250 SQR983250 TAN983250 TKJ983250 TUF983250 UEB983250 UNX983250 UXT983250 VHP983250 VRL983250 WBH983250 WLD983250 WUZ983250 WUZ983227 IN33:IN45 SJ33:SJ45 ACF33:ACF45 AMB33:AMB45 AVX33:AVX45 BFT33:BFT45 BPP33:BPP45 BZL33:BZL45 CJH33:CJH45 CTD33:CTD45 DCZ33:DCZ45 DMV33:DMV45 DWR33:DWR45 EGN33:EGN45 EQJ33:EQJ45 FAF33:FAF45 FKB33:FKB45 FTX33:FTX45 GDT33:GDT45 GNP33:GNP45 GXL33:GXL45 HHH33:HHH45 HRD33:HRD45 IAZ33:IAZ45 IKV33:IKV45 IUR33:IUR45 JEN33:JEN45 JOJ33:JOJ45 JYF33:JYF45 KIB33:KIB45 KRX33:KRX45 LBT33:LBT45 LLP33:LLP45 LVL33:LVL45 MFH33:MFH45 MPD33:MPD45 MYZ33:MYZ45 NIV33:NIV45 NSR33:NSR45 OCN33:OCN45 OMJ33:OMJ45 OWF33:OWF45 PGB33:PGB45 PPX33:PPX45 PZT33:PZT45 QJP33:QJP45 QTL33:QTL45 RDH33:RDH45 RND33:RND45 RWZ33:RWZ45 SGV33:SGV45 SQR33:SQR45 TAN33:TAN45 TKJ33:TKJ45 TUF33:TUF45 UEB33:UEB45 UNX33:UNX45 UXT33:UXT45 VHP33:VHP45 VRL33:VRL45 WBH33:WBH45 WLD33:WLD45 WUZ33:WUZ45 E65728:E65736 IN65728:IN65736 SJ65728:SJ65736 ACF65728:ACF65736 AMB65728:AMB65736 AVX65728:AVX65736 BFT65728:BFT65736 BPP65728:BPP65736 BZL65728:BZL65736 CJH65728:CJH65736 CTD65728:CTD65736 DCZ65728:DCZ65736 DMV65728:DMV65736 DWR65728:DWR65736 EGN65728:EGN65736 EQJ65728:EQJ65736 FAF65728:FAF65736 FKB65728:FKB65736 FTX65728:FTX65736 GDT65728:GDT65736 GNP65728:GNP65736 GXL65728:GXL65736 HHH65728:HHH65736 HRD65728:HRD65736 IAZ65728:IAZ65736 IKV65728:IKV65736 IUR65728:IUR65736 JEN65728:JEN65736 JOJ65728:JOJ65736 JYF65728:JYF65736 KIB65728:KIB65736 KRX65728:KRX65736 LBT65728:LBT65736 LLP65728:LLP65736 LVL65728:LVL65736 MFH65728:MFH65736 MPD65728:MPD65736 MYZ65728:MYZ65736 NIV65728:NIV65736 NSR65728:NSR65736 OCN65728:OCN65736 OMJ65728:OMJ65736 OWF65728:OWF65736 PGB65728:PGB65736 PPX65728:PPX65736 PZT65728:PZT65736 QJP65728:QJP65736 QTL65728:QTL65736 RDH65728:RDH65736 RND65728:RND65736 RWZ65728:RWZ65736 SGV65728:SGV65736 SQR65728:SQR65736 TAN65728:TAN65736 TKJ65728:TKJ65736 TUF65728:TUF65736 UEB65728:UEB65736 UNX65728:UNX65736 UXT65728:UXT65736 VHP65728:VHP65736 VRL65728:VRL65736 WBH65728:WBH65736 WLD65728:WLD65736 WUZ65728:WUZ65736 E131264:E131272 IN131264:IN131272 SJ131264:SJ131272 ACF131264:ACF131272 AMB131264:AMB131272 AVX131264:AVX131272 BFT131264:BFT131272 BPP131264:BPP131272 BZL131264:BZL131272 CJH131264:CJH131272 CTD131264:CTD131272 DCZ131264:DCZ131272 DMV131264:DMV131272 DWR131264:DWR131272 EGN131264:EGN131272 EQJ131264:EQJ131272 FAF131264:FAF131272 FKB131264:FKB131272 FTX131264:FTX131272 GDT131264:GDT131272 GNP131264:GNP131272 GXL131264:GXL131272 HHH131264:HHH131272 HRD131264:HRD131272 IAZ131264:IAZ131272 IKV131264:IKV131272 IUR131264:IUR131272 JEN131264:JEN131272 JOJ131264:JOJ131272 JYF131264:JYF131272 KIB131264:KIB131272 KRX131264:KRX131272 LBT131264:LBT131272 LLP131264:LLP131272 LVL131264:LVL131272 MFH131264:MFH131272 MPD131264:MPD131272 MYZ131264:MYZ131272 NIV131264:NIV131272 NSR131264:NSR131272 OCN131264:OCN131272 OMJ131264:OMJ131272 OWF131264:OWF131272 PGB131264:PGB131272 PPX131264:PPX131272 PZT131264:PZT131272 QJP131264:QJP131272 QTL131264:QTL131272 RDH131264:RDH131272 RND131264:RND131272 RWZ131264:RWZ131272 SGV131264:SGV131272 SQR131264:SQR131272 TAN131264:TAN131272 TKJ131264:TKJ131272 TUF131264:TUF131272 UEB131264:UEB131272 UNX131264:UNX131272 UXT131264:UXT131272 VHP131264:VHP131272 VRL131264:VRL131272 WBH131264:WBH131272 WLD131264:WLD131272 WUZ131264:WUZ131272 E196800:E196808 IN196800:IN196808 SJ196800:SJ196808 ACF196800:ACF196808 AMB196800:AMB196808 AVX196800:AVX196808 BFT196800:BFT196808 BPP196800:BPP196808 BZL196800:BZL196808 CJH196800:CJH196808 CTD196800:CTD196808 DCZ196800:DCZ196808 DMV196800:DMV196808 DWR196800:DWR196808 EGN196800:EGN196808 EQJ196800:EQJ196808 FAF196800:FAF196808 FKB196800:FKB196808 FTX196800:FTX196808 GDT196800:GDT196808 GNP196800:GNP196808 GXL196800:GXL196808 HHH196800:HHH196808 HRD196800:HRD196808 IAZ196800:IAZ196808 IKV196800:IKV196808 IUR196800:IUR196808 JEN196800:JEN196808 JOJ196800:JOJ196808 JYF196800:JYF196808 KIB196800:KIB196808 KRX196800:KRX196808 LBT196800:LBT196808 LLP196800:LLP196808 LVL196800:LVL196808 MFH196800:MFH196808 MPD196800:MPD196808 MYZ196800:MYZ196808 NIV196800:NIV196808 NSR196800:NSR196808 OCN196800:OCN196808 OMJ196800:OMJ196808 OWF196800:OWF196808 PGB196800:PGB196808 PPX196800:PPX196808 PZT196800:PZT196808 QJP196800:QJP196808 QTL196800:QTL196808 RDH196800:RDH196808 RND196800:RND196808 RWZ196800:RWZ196808 SGV196800:SGV196808 SQR196800:SQR196808 TAN196800:TAN196808 TKJ196800:TKJ196808 TUF196800:TUF196808 UEB196800:UEB196808 UNX196800:UNX196808 UXT196800:UXT196808 VHP196800:VHP196808 VRL196800:VRL196808 WBH196800:WBH196808 WLD196800:WLD196808 WUZ196800:WUZ196808 E262336:E262344 IN262336:IN262344 SJ262336:SJ262344 ACF262336:ACF262344 AMB262336:AMB262344 AVX262336:AVX262344 BFT262336:BFT262344 BPP262336:BPP262344 BZL262336:BZL262344 CJH262336:CJH262344 CTD262336:CTD262344 DCZ262336:DCZ262344 DMV262336:DMV262344 DWR262336:DWR262344 EGN262336:EGN262344 EQJ262336:EQJ262344 FAF262336:FAF262344 FKB262336:FKB262344 FTX262336:FTX262344 GDT262336:GDT262344 GNP262336:GNP262344 GXL262336:GXL262344 HHH262336:HHH262344 HRD262336:HRD262344 IAZ262336:IAZ262344 IKV262336:IKV262344 IUR262336:IUR262344 JEN262336:JEN262344 JOJ262336:JOJ262344 JYF262336:JYF262344 KIB262336:KIB262344 KRX262336:KRX262344 LBT262336:LBT262344 LLP262336:LLP262344 LVL262336:LVL262344 MFH262336:MFH262344 MPD262336:MPD262344 MYZ262336:MYZ262344 NIV262336:NIV262344 NSR262336:NSR262344 OCN262336:OCN262344 OMJ262336:OMJ262344 OWF262336:OWF262344 PGB262336:PGB262344 PPX262336:PPX262344 PZT262336:PZT262344 QJP262336:QJP262344 QTL262336:QTL262344 RDH262336:RDH262344 RND262336:RND262344 RWZ262336:RWZ262344 SGV262336:SGV262344 SQR262336:SQR262344 TAN262336:TAN262344 TKJ262336:TKJ262344 TUF262336:TUF262344 UEB262336:UEB262344 UNX262336:UNX262344 UXT262336:UXT262344 VHP262336:VHP262344 VRL262336:VRL262344 WBH262336:WBH262344 WLD262336:WLD262344 WUZ262336:WUZ262344 E327872:E327880 IN327872:IN327880 SJ327872:SJ327880 ACF327872:ACF327880 AMB327872:AMB327880 AVX327872:AVX327880 BFT327872:BFT327880 BPP327872:BPP327880 BZL327872:BZL327880 CJH327872:CJH327880 CTD327872:CTD327880 DCZ327872:DCZ327880 DMV327872:DMV327880 DWR327872:DWR327880 EGN327872:EGN327880 EQJ327872:EQJ327880 FAF327872:FAF327880 FKB327872:FKB327880 FTX327872:FTX327880 GDT327872:GDT327880 GNP327872:GNP327880 GXL327872:GXL327880 HHH327872:HHH327880 HRD327872:HRD327880 IAZ327872:IAZ327880 IKV327872:IKV327880 IUR327872:IUR327880 JEN327872:JEN327880 JOJ327872:JOJ327880 JYF327872:JYF327880 KIB327872:KIB327880 KRX327872:KRX327880 LBT327872:LBT327880 LLP327872:LLP327880 LVL327872:LVL327880 MFH327872:MFH327880 MPD327872:MPD327880 MYZ327872:MYZ327880 NIV327872:NIV327880 NSR327872:NSR327880 OCN327872:OCN327880 OMJ327872:OMJ327880 OWF327872:OWF327880 PGB327872:PGB327880 PPX327872:PPX327880 PZT327872:PZT327880 QJP327872:QJP327880 QTL327872:QTL327880 RDH327872:RDH327880 RND327872:RND327880 RWZ327872:RWZ327880 SGV327872:SGV327880 SQR327872:SQR327880 TAN327872:TAN327880 TKJ327872:TKJ327880 TUF327872:TUF327880 UEB327872:UEB327880 UNX327872:UNX327880 UXT327872:UXT327880 VHP327872:VHP327880 VRL327872:VRL327880 WBH327872:WBH327880 WLD327872:WLD327880 WUZ327872:WUZ327880 E393408:E393416 IN393408:IN393416 SJ393408:SJ393416 ACF393408:ACF393416 AMB393408:AMB393416 AVX393408:AVX393416 BFT393408:BFT393416 BPP393408:BPP393416 BZL393408:BZL393416 CJH393408:CJH393416 CTD393408:CTD393416 DCZ393408:DCZ393416 DMV393408:DMV393416 DWR393408:DWR393416 EGN393408:EGN393416 EQJ393408:EQJ393416 FAF393408:FAF393416 FKB393408:FKB393416 FTX393408:FTX393416 GDT393408:GDT393416 GNP393408:GNP393416 GXL393408:GXL393416 HHH393408:HHH393416 HRD393408:HRD393416 IAZ393408:IAZ393416 IKV393408:IKV393416 IUR393408:IUR393416 JEN393408:JEN393416 JOJ393408:JOJ393416 JYF393408:JYF393416 KIB393408:KIB393416 KRX393408:KRX393416 LBT393408:LBT393416 LLP393408:LLP393416 LVL393408:LVL393416 MFH393408:MFH393416 MPD393408:MPD393416 MYZ393408:MYZ393416 NIV393408:NIV393416 NSR393408:NSR393416 OCN393408:OCN393416 OMJ393408:OMJ393416 OWF393408:OWF393416 PGB393408:PGB393416 PPX393408:PPX393416 PZT393408:PZT393416 QJP393408:QJP393416 QTL393408:QTL393416 RDH393408:RDH393416 RND393408:RND393416 RWZ393408:RWZ393416 SGV393408:SGV393416 SQR393408:SQR393416 TAN393408:TAN393416 TKJ393408:TKJ393416 TUF393408:TUF393416 UEB393408:UEB393416 UNX393408:UNX393416 UXT393408:UXT393416 VHP393408:VHP393416 VRL393408:VRL393416 WBH393408:WBH393416 WLD393408:WLD393416 WUZ393408:WUZ393416 E458944:E458952 IN458944:IN458952 SJ458944:SJ458952 ACF458944:ACF458952 AMB458944:AMB458952 AVX458944:AVX458952 BFT458944:BFT458952 BPP458944:BPP458952 BZL458944:BZL458952 CJH458944:CJH458952 CTD458944:CTD458952 DCZ458944:DCZ458952 DMV458944:DMV458952 DWR458944:DWR458952 EGN458944:EGN458952 EQJ458944:EQJ458952 FAF458944:FAF458952 FKB458944:FKB458952 FTX458944:FTX458952 GDT458944:GDT458952 GNP458944:GNP458952 GXL458944:GXL458952 HHH458944:HHH458952 HRD458944:HRD458952 IAZ458944:IAZ458952 IKV458944:IKV458952 IUR458944:IUR458952 JEN458944:JEN458952 JOJ458944:JOJ458952 JYF458944:JYF458952 KIB458944:KIB458952 KRX458944:KRX458952 LBT458944:LBT458952 LLP458944:LLP458952 LVL458944:LVL458952 MFH458944:MFH458952 MPD458944:MPD458952 MYZ458944:MYZ458952 NIV458944:NIV458952 NSR458944:NSR458952 OCN458944:OCN458952 OMJ458944:OMJ458952 OWF458944:OWF458952 PGB458944:PGB458952 PPX458944:PPX458952 PZT458944:PZT458952 QJP458944:QJP458952 QTL458944:QTL458952 RDH458944:RDH458952 RND458944:RND458952 RWZ458944:RWZ458952 SGV458944:SGV458952 SQR458944:SQR458952 TAN458944:TAN458952 TKJ458944:TKJ458952 TUF458944:TUF458952 UEB458944:UEB458952 UNX458944:UNX458952 UXT458944:UXT458952 VHP458944:VHP458952 VRL458944:VRL458952 WBH458944:WBH458952 WLD458944:WLD458952 WUZ458944:WUZ458952 E524480:E524488 IN524480:IN524488 SJ524480:SJ524488 ACF524480:ACF524488 AMB524480:AMB524488 AVX524480:AVX524488 BFT524480:BFT524488 BPP524480:BPP524488 BZL524480:BZL524488 CJH524480:CJH524488 CTD524480:CTD524488 DCZ524480:DCZ524488 DMV524480:DMV524488 DWR524480:DWR524488 EGN524480:EGN524488 EQJ524480:EQJ524488 FAF524480:FAF524488 FKB524480:FKB524488 FTX524480:FTX524488 GDT524480:GDT524488 GNP524480:GNP524488 GXL524480:GXL524488 HHH524480:HHH524488 HRD524480:HRD524488 IAZ524480:IAZ524488 IKV524480:IKV524488 IUR524480:IUR524488 JEN524480:JEN524488 JOJ524480:JOJ524488 JYF524480:JYF524488 KIB524480:KIB524488 KRX524480:KRX524488 LBT524480:LBT524488 LLP524480:LLP524488 LVL524480:LVL524488 MFH524480:MFH524488 MPD524480:MPD524488 MYZ524480:MYZ524488 NIV524480:NIV524488 NSR524480:NSR524488 OCN524480:OCN524488 OMJ524480:OMJ524488 OWF524480:OWF524488 PGB524480:PGB524488 PPX524480:PPX524488 PZT524480:PZT524488 QJP524480:QJP524488 QTL524480:QTL524488 RDH524480:RDH524488 RND524480:RND524488 RWZ524480:RWZ524488 SGV524480:SGV524488 SQR524480:SQR524488 TAN524480:TAN524488 TKJ524480:TKJ524488 TUF524480:TUF524488 UEB524480:UEB524488 UNX524480:UNX524488 UXT524480:UXT524488 VHP524480:VHP524488 VRL524480:VRL524488 WBH524480:WBH524488 WLD524480:WLD524488 WUZ524480:WUZ524488 E590016:E590024 IN590016:IN590024 SJ590016:SJ590024 ACF590016:ACF590024 AMB590016:AMB590024 AVX590016:AVX590024 BFT590016:BFT590024 BPP590016:BPP590024 BZL590016:BZL590024 CJH590016:CJH590024 CTD590016:CTD590024 DCZ590016:DCZ590024 DMV590016:DMV590024 DWR590016:DWR590024 EGN590016:EGN590024 EQJ590016:EQJ590024 FAF590016:FAF590024 FKB590016:FKB590024 FTX590016:FTX590024 GDT590016:GDT590024 GNP590016:GNP590024 GXL590016:GXL590024 HHH590016:HHH590024 HRD590016:HRD590024 IAZ590016:IAZ590024 IKV590016:IKV590024 IUR590016:IUR590024 JEN590016:JEN590024 JOJ590016:JOJ590024 JYF590016:JYF590024 KIB590016:KIB590024 KRX590016:KRX590024 LBT590016:LBT590024 LLP590016:LLP590024 LVL590016:LVL590024 MFH590016:MFH590024 MPD590016:MPD590024 MYZ590016:MYZ590024 NIV590016:NIV590024 NSR590016:NSR590024 OCN590016:OCN590024 OMJ590016:OMJ590024 OWF590016:OWF590024 PGB590016:PGB590024 PPX590016:PPX590024 PZT590016:PZT590024 QJP590016:QJP590024 QTL590016:QTL590024 RDH590016:RDH590024 RND590016:RND590024 RWZ590016:RWZ590024 SGV590016:SGV590024 SQR590016:SQR590024 TAN590016:TAN590024 TKJ590016:TKJ590024 TUF590016:TUF590024 UEB590016:UEB590024 UNX590016:UNX590024 UXT590016:UXT590024 VHP590016:VHP590024 VRL590016:VRL590024 WBH590016:WBH590024 WLD590016:WLD590024 WUZ590016:WUZ590024 E655552:E655560 IN655552:IN655560 SJ655552:SJ655560 ACF655552:ACF655560 AMB655552:AMB655560 AVX655552:AVX655560 BFT655552:BFT655560 BPP655552:BPP655560 BZL655552:BZL655560 CJH655552:CJH655560 CTD655552:CTD655560 DCZ655552:DCZ655560 DMV655552:DMV655560 DWR655552:DWR655560 EGN655552:EGN655560 EQJ655552:EQJ655560 FAF655552:FAF655560 FKB655552:FKB655560 FTX655552:FTX655560 GDT655552:GDT655560 GNP655552:GNP655560 GXL655552:GXL655560 HHH655552:HHH655560 HRD655552:HRD655560 IAZ655552:IAZ655560 IKV655552:IKV655560 IUR655552:IUR655560 JEN655552:JEN655560 JOJ655552:JOJ655560 JYF655552:JYF655560 KIB655552:KIB655560 KRX655552:KRX655560 LBT655552:LBT655560 LLP655552:LLP655560 LVL655552:LVL655560 MFH655552:MFH655560 MPD655552:MPD655560 MYZ655552:MYZ655560 NIV655552:NIV655560 NSR655552:NSR655560 OCN655552:OCN655560 OMJ655552:OMJ655560 OWF655552:OWF655560 PGB655552:PGB655560 PPX655552:PPX655560 PZT655552:PZT655560 QJP655552:QJP655560 QTL655552:QTL655560 RDH655552:RDH655560 RND655552:RND655560 RWZ655552:RWZ655560 SGV655552:SGV655560 SQR655552:SQR655560 TAN655552:TAN655560 TKJ655552:TKJ655560 TUF655552:TUF655560 UEB655552:UEB655560 UNX655552:UNX655560 UXT655552:UXT655560 VHP655552:VHP655560 VRL655552:VRL655560 WBH655552:WBH655560 WLD655552:WLD655560 WUZ655552:WUZ655560 E721088:E721096 IN721088:IN721096 SJ721088:SJ721096 ACF721088:ACF721096 AMB721088:AMB721096 AVX721088:AVX721096 BFT721088:BFT721096 BPP721088:BPP721096 BZL721088:BZL721096 CJH721088:CJH721096 CTD721088:CTD721096 DCZ721088:DCZ721096 DMV721088:DMV721096 DWR721088:DWR721096 EGN721088:EGN721096 EQJ721088:EQJ721096 FAF721088:FAF721096 FKB721088:FKB721096 FTX721088:FTX721096 GDT721088:GDT721096 GNP721088:GNP721096 GXL721088:GXL721096 HHH721088:HHH721096 HRD721088:HRD721096 IAZ721088:IAZ721096 IKV721088:IKV721096 IUR721088:IUR721096 JEN721088:JEN721096 JOJ721088:JOJ721096 JYF721088:JYF721096 KIB721088:KIB721096 KRX721088:KRX721096 LBT721088:LBT721096 LLP721088:LLP721096 LVL721088:LVL721096 MFH721088:MFH721096 MPD721088:MPD721096 MYZ721088:MYZ721096 NIV721088:NIV721096 NSR721088:NSR721096 OCN721088:OCN721096 OMJ721088:OMJ721096 OWF721088:OWF721096 PGB721088:PGB721096 PPX721088:PPX721096 PZT721088:PZT721096 QJP721088:QJP721096 QTL721088:QTL721096 RDH721088:RDH721096 RND721088:RND721096 RWZ721088:RWZ721096 SGV721088:SGV721096 SQR721088:SQR721096 TAN721088:TAN721096 TKJ721088:TKJ721096 TUF721088:TUF721096 UEB721088:UEB721096 UNX721088:UNX721096 UXT721088:UXT721096 VHP721088:VHP721096 VRL721088:VRL721096 WBH721088:WBH721096 WLD721088:WLD721096 WUZ721088:WUZ721096 E786624:E786632 IN786624:IN786632 SJ786624:SJ786632 ACF786624:ACF786632 AMB786624:AMB786632 AVX786624:AVX786632 BFT786624:BFT786632 BPP786624:BPP786632 BZL786624:BZL786632 CJH786624:CJH786632 CTD786624:CTD786632 DCZ786624:DCZ786632 DMV786624:DMV786632 DWR786624:DWR786632 EGN786624:EGN786632 EQJ786624:EQJ786632 FAF786624:FAF786632 FKB786624:FKB786632 FTX786624:FTX786632 GDT786624:GDT786632 GNP786624:GNP786632 GXL786624:GXL786632 HHH786624:HHH786632 HRD786624:HRD786632 IAZ786624:IAZ786632 IKV786624:IKV786632 IUR786624:IUR786632 JEN786624:JEN786632 JOJ786624:JOJ786632 JYF786624:JYF786632 KIB786624:KIB786632 KRX786624:KRX786632 LBT786624:LBT786632 LLP786624:LLP786632 LVL786624:LVL786632 MFH786624:MFH786632 MPD786624:MPD786632 MYZ786624:MYZ786632 NIV786624:NIV786632 NSR786624:NSR786632 OCN786624:OCN786632 OMJ786624:OMJ786632 OWF786624:OWF786632 PGB786624:PGB786632 PPX786624:PPX786632 PZT786624:PZT786632 QJP786624:QJP786632 QTL786624:QTL786632 RDH786624:RDH786632 RND786624:RND786632 RWZ786624:RWZ786632 SGV786624:SGV786632 SQR786624:SQR786632 TAN786624:TAN786632 TKJ786624:TKJ786632 TUF786624:TUF786632 UEB786624:UEB786632 UNX786624:UNX786632 UXT786624:UXT786632 VHP786624:VHP786632 VRL786624:VRL786632 WBH786624:WBH786632 WLD786624:WLD786632 WUZ786624:WUZ786632 E852160:E852168 IN852160:IN852168 SJ852160:SJ852168 ACF852160:ACF852168 AMB852160:AMB852168 AVX852160:AVX852168 BFT852160:BFT852168 BPP852160:BPP852168 BZL852160:BZL852168 CJH852160:CJH852168 CTD852160:CTD852168 DCZ852160:DCZ852168 DMV852160:DMV852168 DWR852160:DWR852168 EGN852160:EGN852168 EQJ852160:EQJ852168 FAF852160:FAF852168 FKB852160:FKB852168 FTX852160:FTX852168 GDT852160:GDT852168 GNP852160:GNP852168 GXL852160:GXL852168 HHH852160:HHH852168 HRD852160:HRD852168 IAZ852160:IAZ852168 IKV852160:IKV852168 IUR852160:IUR852168 JEN852160:JEN852168 JOJ852160:JOJ852168 JYF852160:JYF852168 KIB852160:KIB852168 KRX852160:KRX852168 LBT852160:LBT852168 LLP852160:LLP852168 LVL852160:LVL852168 MFH852160:MFH852168 MPD852160:MPD852168 MYZ852160:MYZ852168 NIV852160:NIV852168 NSR852160:NSR852168 OCN852160:OCN852168 OMJ852160:OMJ852168 OWF852160:OWF852168 PGB852160:PGB852168 PPX852160:PPX852168 PZT852160:PZT852168 QJP852160:QJP852168 QTL852160:QTL852168 RDH852160:RDH852168 RND852160:RND852168 RWZ852160:RWZ852168 SGV852160:SGV852168 SQR852160:SQR852168 TAN852160:TAN852168 TKJ852160:TKJ852168 TUF852160:TUF852168 UEB852160:UEB852168 UNX852160:UNX852168 UXT852160:UXT852168 VHP852160:VHP852168 VRL852160:VRL852168 WBH852160:WBH852168 WLD852160:WLD852168 WUZ852160:WUZ852168 E917696:E917704 IN917696:IN917704 SJ917696:SJ917704 ACF917696:ACF917704 AMB917696:AMB917704 AVX917696:AVX917704 BFT917696:BFT917704 BPP917696:BPP917704 BZL917696:BZL917704 CJH917696:CJH917704 CTD917696:CTD917704 DCZ917696:DCZ917704 DMV917696:DMV917704 DWR917696:DWR917704 EGN917696:EGN917704 EQJ917696:EQJ917704 FAF917696:FAF917704 FKB917696:FKB917704 FTX917696:FTX917704 GDT917696:GDT917704 GNP917696:GNP917704 GXL917696:GXL917704 HHH917696:HHH917704 HRD917696:HRD917704 IAZ917696:IAZ917704 IKV917696:IKV917704 IUR917696:IUR917704 JEN917696:JEN917704 JOJ917696:JOJ917704 JYF917696:JYF917704 KIB917696:KIB917704 KRX917696:KRX917704 LBT917696:LBT917704 LLP917696:LLP917704 LVL917696:LVL917704 MFH917696:MFH917704 MPD917696:MPD917704 MYZ917696:MYZ917704 NIV917696:NIV917704 NSR917696:NSR917704 OCN917696:OCN917704 OMJ917696:OMJ917704 OWF917696:OWF917704 PGB917696:PGB917704 PPX917696:PPX917704 PZT917696:PZT917704 QJP917696:QJP917704 QTL917696:QTL917704 RDH917696:RDH917704 RND917696:RND917704 RWZ917696:RWZ917704 SGV917696:SGV917704 SQR917696:SQR917704 TAN917696:TAN917704 TKJ917696:TKJ917704 TUF917696:TUF917704 UEB917696:UEB917704 UNX917696:UNX917704 UXT917696:UXT917704 VHP917696:VHP917704 VRL917696:VRL917704 WBH917696:WBH917704 WLD917696:WLD917704 WUZ917696:WUZ917704 E983232:E983240 IN983232:IN983240 SJ983232:SJ983240 ACF983232:ACF983240 AMB983232:AMB983240 AVX983232:AVX983240 BFT983232:BFT983240 BPP983232:BPP983240 BZL983232:BZL983240 CJH983232:CJH983240 CTD983232:CTD983240 DCZ983232:DCZ983240 DMV983232:DMV983240 DWR983232:DWR983240 EGN983232:EGN983240 EQJ983232:EQJ983240 FAF983232:FAF983240 FKB983232:FKB983240 FTX983232:FTX983240 GDT983232:GDT983240 GNP983232:GNP983240 GXL983232:GXL983240 HHH983232:HHH983240 HRD983232:HRD983240 IAZ983232:IAZ983240 IKV983232:IKV983240 IUR983232:IUR983240 JEN983232:JEN983240 JOJ983232:JOJ983240 JYF983232:JYF983240 KIB983232:KIB983240 KRX983232:KRX983240 LBT983232:LBT983240 LLP983232:LLP983240 LVL983232:LVL983240 MFH983232:MFH983240 MPD983232:MPD983240 MYZ983232:MYZ983240 NIV983232:NIV983240 NSR983232:NSR983240 OCN983232:OCN983240 OMJ983232:OMJ983240 OWF983232:OWF983240 PGB983232:PGB983240 PPX983232:PPX983240 PZT983232:PZT983240 QJP983232:QJP983240 QTL983232:QTL983240 RDH983232:RDH983240 RND983232:RND983240 RWZ983232:RWZ983240 SGV983232:SGV983240 SQR983232:SQR983240 TAN983232:TAN983240 TKJ983232:TKJ983240 TUF983232:TUF983240 UEB983232:UEB983240 UNX983232:UNX983240 UXT983232:UXT983240 VHP983232:VHP983240 VRL983232:VRL983240 WBH983232:WBH983240 WLD983232:WLD983240 WUZ983232:WUZ983240 E25 IN25:IN26 SJ25:SJ26 ACF25:ACF26 AMB25:AMB26 AVX25:AVX26 BFT25:BFT26 BPP25:BPP26 BZL25:BZL26 CJH25:CJH26 CTD25:CTD26 DCZ25:DCZ26 DMV25:DMV26 DWR25:DWR26 EGN25:EGN26 EQJ25:EQJ26 FAF25:FAF26 FKB25:FKB26 FTX25:FTX26 GDT25:GDT26 GNP25:GNP26 GXL25:GXL26 HHH25:HHH26 HRD25:HRD26 IAZ25:IAZ26 IKV25:IKV26 IUR25:IUR26 JEN25:JEN26 JOJ25:JOJ26 JYF25:JYF26 KIB25:KIB26 KRX25:KRX26 LBT25:LBT26 LLP25:LLP26 LVL25:LVL26 MFH25:MFH26 MPD25:MPD26 MYZ25:MYZ26 NIV25:NIV26 NSR25:NSR26 OCN25:OCN26 OMJ25:OMJ26 OWF25:OWF26 PGB25:PGB26 PPX25:PPX26 PZT25:PZT26 QJP25:QJP26 QTL25:QTL26 RDH25:RDH26 RND25:RND26 RWZ25:RWZ26 SGV25:SGV26 SQR25:SQR26 TAN25:TAN26 TKJ25:TKJ26 TUF25:TUF26 UEB25:UEB26 UNX25:UNX26 UXT25:UXT26 VHP25:VHP26 VRL25:VRL26 WBH25:WBH26 WLD25:WLD26 WUZ25:WUZ26 E65723 IN65723 SJ65723 ACF65723 AMB65723 AVX65723 BFT65723 BPP65723 BZL65723 CJH65723 CTD65723 DCZ65723 DMV65723 DWR65723 EGN65723 EQJ65723 FAF65723 FKB65723 FTX65723 GDT65723 GNP65723 GXL65723 HHH65723 HRD65723 IAZ65723 IKV65723 IUR65723 JEN65723 JOJ65723 JYF65723 KIB65723 KRX65723 LBT65723 LLP65723 LVL65723 MFH65723 MPD65723 MYZ65723 NIV65723 NSR65723 OCN65723 OMJ65723 OWF65723 PGB65723 PPX65723 PZT65723 QJP65723 QTL65723 RDH65723 RND65723 RWZ65723 SGV65723 SQR65723 TAN65723 TKJ65723 TUF65723 UEB65723 UNX65723 UXT65723 VHP65723 VRL65723 WBH65723 WLD65723 WUZ65723 E131259 IN131259 SJ131259 ACF131259 AMB131259 AVX131259 BFT131259 BPP131259 BZL131259 CJH131259 CTD131259 DCZ131259 DMV131259 DWR131259 EGN131259 EQJ131259 FAF131259 FKB131259 FTX131259 GDT131259 GNP131259 GXL131259 HHH131259 HRD131259 IAZ131259 IKV131259 IUR131259 JEN131259 JOJ131259 JYF131259 KIB131259 KRX131259 LBT131259 LLP131259 LVL131259 MFH131259 MPD131259 MYZ131259 NIV131259 NSR131259 OCN131259 OMJ131259 OWF131259 PGB131259 PPX131259 PZT131259 QJP131259 QTL131259 RDH131259 RND131259 RWZ131259 SGV131259 SQR131259 TAN131259 TKJ131259 TUF131259 UEB131259 UNX131259 UXT131259 VHP131259 VRL131259 WBH131259 WLD131259 WUZ131259 E196795 IN196795 SJ196795 ACF196795 AMB196795 AVX196795 BFT196795 BPP196795 BZL196795 CJH196795 CTD196795 DCZ196795 DMV196795 DWR196795 EGN196795 EQJ196795 FAF196795 FKB196795 FTX196795 GDT196795 GNP196795 GXL196795 HHH196795 HRD196795 IAZ196795 IKV196795 IUR196795 JEN196795 JOJ196795 JYF196795 KIB196795 KRX196795 LBT196795 LLP196795 LVL196795 MFH196795 MPD196795 MYZ196795 NIV196795 NSR196795 OCN196795 OMJ196795 OWF196795 PGB196795 PPX196795 PZT196795 QJP196795 QTL196795 RDH196795 RND196795 RWZ196795 SGV196795 SQR196795 TAN196795 TKJ196795 TUF196795 UEB196795 UNX196795 UXT196795 VHP196795 VRL196795 WBH196795 WLD196795 WUZ196795 E262331 IN262331 SJ262331 ACF262331 AMB262331 AVX262331 BFT262331 BPP262331 BZL262331 CJH262331 CTD262331 DCZ262331 DMV262331 DWR262331 EGN262331 EQJ262331 FAF262331 FKB262331 FTX262331 GDT262331 GNP262331 GXL262331 HHH262331 HRD262331 IAZ262331 IKV262331 IUR262331 JEN262331 JOJ262331 JYF262331 KIB262331 KRX262331 LBT262331 LLP262331 LVL262331 MFH262331 MPD262331 MYZ262331 NIV262331 NSR262331 OCN262331 OMJ262331 OWF262331 PGB262331 PPX262331 PZT262331 QJP262331 QTL262331 RDH262331 RND262331 RWZ262331 SGV262331 SQR262331 TAN262331 TKJ262331 TUF262331 UEB262331 UNX262331 UXT262331 VHP262331 VRL262331 WBH262331 WLD262331 WUZ262331 E327867 IN327867 SJ327867 ACF327867 AMB327867 AVX327867 BFT327867 BPP327867 BZL327867 CJH327867 CTD327867 DCZ327867 DMV327867 DWR327867 EGN327867 EQJ327867 FAF327867 FKB327867 FTX327867 GDT327867 GNP327867 GXL327867 HHH327867 HRD327867 IAZ327867 IKV327867 IUR327867 JEN327867 JOJ327867 JYF327867 KIB327867 KRX327867 LBT327867 LLP327867 LVL327867 MFH327867 MPD327867 MYZ327867 NIV327867 NSR327867 OCN327867 OMJ327867 OWF327867 PGB327867 PPX327867 PZT327867 QJP327867 QTL327867 RDH327867 RND327867 RWZ327867 SGV327867 SQR327867 TAN327867 TKJ327867 TUF327867 UEB327867 UNX327867 UXT327867 VHP327867 VRL327867 WBH327867 WLD327867 WUZ327867 E393403 IN393403 SJ393403 ACF393403 AMB393403 AVX393403 BFT393403 BPP393403 BZL393403 CJH393403 CTD393403 DCZ393403 DMV393403 DWR393403 EGN393403 EQJ393403 FAF393403 FKB393403 FTX393403 GDT393403 GNP393403 GXL393403 HHH393403 HRD393403 IAZ393403 IKV393403 IUR393403 JEN393403 JOJ393403 JYF393403 KIB393403 KRX393403 LBT393403 LLP393403 LVL393403 MFH393403 MPD393403 MYZ393403 NIV393403 NSR393403 OCN393403 OMJ393403 OWF393403 PGB393403 PPX393403 PZT393403 QJP393403 QTL393403 RDH393403 RND393403 RWZ393403 SGV393403 SQR393403 TAN393403 TKJ393403 TUF393403 UEB393403 UNX393403 UXT393403 VHP393403 VRL393403 WBH393403 WLD393403 WUZ393403 E458939 IN458939 SJ458939 ACF458939 AMB458939 AVX458939 BFT458939 BPP458939 BZL458939 CJH458939 CTD458939 DCZ458939 DMV458939 DWR458939 EGN458939 EQJ458939 FAF458939 FKB458939 FTX458939 GDT458939 GNP458939 GXL458939 HHH458939 HRD458939 IAZ458939 IKV458939 IUR458939 JEN458939 JOJ458939 JYF458939 KIB458939 KRX458939 LBT458939 LLP458939 LVL458939 MFH458939 MPD458939 MYZ458939 NIV458939 NSR458939 OCN458939 OMJ458939 OWF458939 PGB458939 PPX458939 PZT458939 QJP458939 QTL458939 RDH458939 RND458939 RWZ458939 SGV458939 SQR458939 TAN458939 TKJ458939 TUF458939 UEB458939 UNX458939 UXT458939 VHP458939 VRL458939 WBH458939 WLD458939 WUZ458939 E524475 IN524475 SJ524475 ACF524475 AMB524475 AVX524475 BFT524475 BPP524475 BZL524475 CJH524475 CTD524475 DCZ524475 DMV524475 DWR524475 EGN524475 EQJ524475 FAF524475 FKB524475 FTX524475 GDT524475 GNP524475 GXL524475 HHH524475 HRD524475 IAZ524475 IKV524475 IUR524475 JEN524475 JOJ524475 JYF524475 KIB524475 KRX524475 LBT524475 LLP524475 LVL524475 MFH524475 MPD524475 MYZ524475 NIV524475 NSR524475 OCN524475 OMJ524475 OWF524475 PGB524475 PPX524475 PZT524475 QJP524475 QTL524475 RDH524475 RND524475 RWZ524475 SGV524475 SQR524475 TAN524475 TKJ524475 TUF524475 UEB524475 UNX524475 UXT524475 VHP524475 VRL524475 WBH524475 WLD524475 WUZ524475 E590011 IN590011 SJ590011 ACF590011 AMB590011 AVX590011 BFT590011 BPP590011 BZL590011 CJH590011 CTD590011 DCZ590011 DMV590011 DWR590011 EGN590011 EQJ590011 FAF590011 FKB590011 FTX590011 GDT590011 GNP590011 GXL590011 HHH590011 HRD590011 IAZ590011 IKV590011 IUR590011 JEN590011 JOJ590011 JYF590011 KIB590011 KRX590011 LBT590011 LLP590011 LVL590011 MFH590011 MPD590011 MYZ590011 NIV590011 NSR590011 OCN590011 OMJ590011 OWF590011 PGB590011 PPX590011 PZT590011 QJP590011 QTL590011 RDH590011 RND590011 RWZ590011 SGV590011 SQR590011 TAN590011 TKJ590011 TUF590011 UEB590011 UNX590011 UXT590011 VHP590011 VRL590011 WBH590011 WLD590011 WUZ590011 E655547 IN655547 SJ655547 ACF655547 AMB655547 AVX655547 BFT655547 BPP655547 BZL655547 CJH655547 CTD655547 DCZ655547 DMV655547 DWR655547 EGN655547 EQJ655547 FAF655547 FKB655547 FTX655547 GDT655547 GNP655547 GXL655547 HHH655547 HRD655547 IAZ655547 IKV655547 IUR655547 JEN655547 JOJ655547 JYF655547 KIB655547 KRX655547 LBT655547 LLP655547 LVL655547 MFH655547 MPD655547 MYZ655547 NIV655547 NSR655547 OCN655547 OMJ655547 OWF655547 PGB655547 PPX655547 PZT655547 QJP655547 QTL655547 RDH655547 RND655547 RWZ655547 SGV655547 SQR655547 TAN655547 TKJ655547 TUF655547 UEB655547 UNX655547 UXT655547 VHP655547 VRL655547 WBH655547 WLD655547 WUZ655547 E721083 IN721083 SJ721083 ACF721083 AMB721083 AVX721083 BFT721083 BPP721083 BZL721083 CJH721083 CTD721083 DCZ721083 DMV721083 DWR721083 EGN721083 EQJ721083 FAF721083 FKB721083 FTX721083 GDT721083 GNP721083 GXL721083 HHH721083 HRD721083 IAZ721083 IKV721083 IUR721083 JEN721083 JOJ721083 JYF721083 KIB721083 KRX721083 LBT721083 LLP721083 LVL721083 MFH721083 MPD721083 MYZ721083 NIV721083 NSR721083 OCN721083 OMJ721083 OWF721083 PGB721083 PPX721083 PZT721083 QJP721083 QTL721083 RDH721083 RND721083 RWZ721083 SGV721083 SQR721083 TAN721083 TKJ721083 TUF721083 UEB721083 UNX721083 UXT721083 VHP721083 VRL721083 WBH721083 WLD721083 WUZ721083 E786619 IN786619 SJ786619 ACF786619 AMB786619 AVX786619 BFT786619 BPP786619 BZL786619 CJH786619 CTD786619 DCZ786619 DMV786619 DWR786619 EGN786619 EQJ786619 FAF786619 FKB786619 FTX786619 GDT786619 GNP786619 GXL786619 HHH786619 HRD786619 IAZ786619 IKV786619 IUR786619 JEN786619 JOJ786619 JYF786619 KIB786619 KRX786619 LBT786619 LLP786619 LVL786619 MFH786619 MPD786619 MYZ786619 NIV786619 NSR786619 OCN786619 OMJ786619 OWF786619 PGB786619 PPX786619 PZT786619 QJP786619 QTL786619 RDH786619 RND786619 RWZ786619 SGV786619 SQR786619 TAN786619 TKJ786619 TUF786619 UEB786619 UNX786619 UXT786619 VHP786619 VRL786619 WBH786619 WLD786619 WUZ786619 E852155 IN852155 SJ852155 ACF852155 AMB852155 AVX852155 BFT852155 BPP852155 BZL852155 CJH852155 CTD852155 DCZ852155 DMV852155 DWR852155 EGN852155 EQJ852155 FAF852155 FKB852155 FTX852155 GDT852155 GNP852155 GXL852155 HHH852155 HRD852155 IAZ852155 IKV852155 IUR852155 JEN852155 JOJ852155 JYF852155 KIB852155 KRX852155 LBT852155 LLP852155 LVL852155 MFH852155 MPD852155 MYZ852155 NIV852155 NSR852155 OCN852155 OMJ852155 OWF852155 PGB852155 PPX852155 PZT852155 QJP852155 QTL852155 RDH852155 RND852155 RWZ852155 SGV852155 SQR852155 TAN852155 TKJ852155 TUF852155 UEB852155 UNX852155 UXT852155 VHP852155 VRL852155 WBH852155 WLD852155 WUZ852155 E917691 IN917691 SJ917691 ACF917691 AMB917691 AVX917691 BFT917691 BPP917691 BZL917691 CJH917691 CTD917691 DCZ917691 DMV917691 DWR917691 EGN917691 EQJ917691 FAF917691 FKB917691 FTX917691 GDT917691 GNP917691 GXL917691 HHH917691 HRD917691 IAZ917691 IKV917691 IUR917691 JEN917691 JOJ917691 JYF917691 KIB917691 KRX917691 LBT917691 LLP917691 LVL917691 MFH917691 MPD917691 MYZ917691 NIV917691 NSR917691 OCN917691 OMJ917691 OWF917691 PGB917691 PPX917691 PZT917691 QJP917691 QTL917691 RDH917691 RND917691 RWZ917691 SGV917691 SQR917691 TAN917691 TKJ917691 TUF917691 UEB917691 UNX917691 UXT917691 VHP917691 VRL917691 WBH917691 WLD917691 WUZ917691 E983227 IN983227 SJ983227 ACF983227 AMB983227 AVX983227 BFT983227 BPP983227 BZL983227 CJH983227 CTD983227 DCZ983227 DMV983227 DWR983227 EGN983227 EQJ983227 FAF983227 FKB983227 FTX983227 GDT983227 GNP983227 GXL983227 HHH983227 HRD983227 IAZ983227 IKV983227 IUR983227 JEN983227 JOJ983227 JYF983227 KIB983227 KRX983227 LBT983227 LLP983227 LVL983227 MFH983227 MPD983227 MYZ983227 NIV983227 NSR983227 OCN983227 OMJ983227 OWF983227 PGB983227 PPX983227 PZT983227 QJP983227 QTL983227 RDH983227 RND983227 RWZ983227 SGV983227 SQR983227 TAN983227 TKJ983227 TUF983227 UEB983227 UNX983227 UXT983227 VHP983227 VRL983227 WBH983227 WLD983227 E33:E36 E59">
      <formula1>"mm,mil"</formula1>
    </dataValidation>
    <dataValidation type="list" showInputMessage="1" showErrorMessage="1" sqref="WUZ983241 IN46:IN48 SJ46:SJ48 ACF46:ACF48 AMB46:AMB48 AVX46:AVX48 BFT46:BFT48 BPP46:BPP48 BZL46:BZL48 CJH46:CJH48 CTD46:CTD48 DCZ46:DCZ48 DMV46:DMV48 DWR46:DWR48 EGN46:EGN48 EQJ46:EQJ48 FAF46:FAF48 FKB46:FKB48 FTX46:FTX48 GDT46:GDT48 GNP46:GNP48 GXL46:GXL48 HHH46:HHH48 HRD46:HRD48 IAZ46:IAZ48 IKV46:IKV48 IUR46:IUR48 JEN46:JEN48 JOJ46:JOJ48 JYF46:JYF48 KIB46:KIB48 KRX46:KRX48 LBT46:LBT48 LLP46:LLP48 LVL46:LVL48 MFH46:MFH48 MPD46:MPD48 MYZ46:MYZ48 NIV46:NIV48 NSR46:NSR48 OCN46:OCN48 OMJ46:OMJ48 OWF46:OWF48 PGB46:PGB48 PPX46:PPX48 PZT46:PZT48 QJP46:QJP48 QTL46:QTL48 RDH46:RDH48 RND46:RND48 RWZ46:RWZ48 SGV46:SGV48 SQR46:SQR48 TAN46:TAN48 TKJ46:TKJ48 TUF46:TUF48 UEB46:UEB48 UNX46:UNX48 UXT46:UXT48 VHP46:VHP48 VRL46:VRL48 WBH46:WBH48 WLD46:WLD48 WUZ46:WUZ48 E65737 IN65737 SJ65737 ACF65737 AMB65737 AVX65737 BFT65737 BPP65737 BZL65737 CJH65737 CTD65737 DCZ65737 DMV65737 DWR65737 EGN65737 EQJ65737 FAF65737 FKB65737 FTX65737 GDT65737 GNP65737 GXL65737 HHH65737 HRD65737 IAZ65737 IKV65737 IUR65737 JEN65737 JOJ65737 JYF65737 KIB65737 KRX65737 LBT65737 LLP65737 LVL65737 MFH65737 MPD65737 MYZ65737 NIV65737 NSR65737 OCN65737 OMJ65737 OWF65737 PGB65737 PPX65737 PZT65737 QJP65737 QTL65737 RDH65737 RND65737 RWZ65737 SGV65737 SQR65737 TAN65737 TKJ65737 TUF65737 UEB65737 UNX65737 UXT65737 VHP65737 VRL65737 WBH65737 WLD65737 WUZ65737 E131273 IN131273 SJ131273 ACF131273 AMB131273 AVX131273 BFT131273 BPP131273 BZL131273 CJH131273 CTD131273 DCZ131273 DMV131273 DWR131273 EGN131273 EQJ131273 FAF131273 FKB131273 FTX131273 GDT131273 GNP131273 GXL131273 HHH131273 HRD131273 IAZ131273 IKV131273 IUR131273 JEN131273 JOJ131273 JYF131273 KIB131273 KRX131273 LBT131273 LLP131273 LVL131273 MFH131273 MPD131273 MYZ131273 NIV131273 NSR131273 OCN131273 OMJ131273 OWF131273 PGB131273 PPX131273 PZT131273 QJP131273 QTL131273 RDH131273 RND131273 RWZ131273 SGV131273 SQR131273 TAN131273 TKJ131273 TUF131273 UEB131273 UNX131273 UXT131273 VHP131273 VRL131273 WBH131273 WLD131273 WUZ131273 E196809 IN196809 SJ196809 ACF196809 AMB196809 AVX196809 BFT196809 BPP196809 BZL196809 CJH196809 CTD196809 DCZ196809 DMV196809 DWR196809 EGN196809 EQJ196809 FAF196809 FKB196809 FTX196809 GDT196809 GNP196809 GXL196809 HHH196809 HRD196809 IAZ196809 IKV196809 IUR196809 JEN196809 JOJ196809 JYF196809 KIB196809 KRX196809 LBT196809 LLP196809 LVL196809 MFH196809 MPD196809 MYZ196809 NIV196809 NSR196809 OCN196809 OMJ196809 OWF196809 PGB196809 PPX196809 PZT196809 QJP196809 QTL196809 RDH196809 RND196809 RWZ196809 SGV196809 SQR196809 TAN196809 TKJ196809 TUF196809 UEB196809 UNX196809 UXT196809 VHP196809 VRL196809 WBH196809 WLD196809 WUZ196809 E262345 IN262345 SJ262345 ACF262345 AMB262345 AVX262345 BFT262345 BPP262345 BZL262345 CJH262345 CTD262345 DCZ262345 DMV262345 DWR262345 EGN262345 EQJ262345 FAF262345 FKB262345 FTX262345 GDT262345 GNP262345 GXL262345 HHH262345 HRD262345 IAZ262345 IKV262345 IUR262345 JEN262345 JOJ262345 JYF262345 KIB262345 KRX262345 LBT262345 LLP262345 LVL262345 MFH262345 MPD262345 MYZ262345 NIV262345 NSR262345 OCN262345 OMJ262345 OWF262345 PGB262345 PPX262345 PZT262345 QJP262345 QTL262345 RDH262345 RND262345 RWZ262345 SGV262345 SQR262345 TAN262345 TKJ262345 TUF262345 UEB262345 UNX262345 UXT262345 VHP262345 VRL262345 WBH262345 WLD262345 WUZ262345 E327881 IN327881 SJ327881 ACF327881 AMB327881 AVX327881 BFT327881 BPP327881 BZL327881 CJH327881 CTD327881 DCZ327881 DMV327881 DWR327881 EGN327881 EQJ327881 FAF327881 FKB327881 FTX327881 GDT327881 GNP327881 GXL327881 HHH327881 HRD327881 IAZ327881 IKV327881 IUR327881 JEN327881 JOJ327881 JYF327881 KIB327881 KRX327881 LBT327881 LLP327881 LVL327881 MFH327881 MPD327881 MYZ327881 NIV327881 NSR327881 OCN327881 OMJ327881 OWF327881 PGB327881 PPX327881 PZT327881 QJP327881 QTL327881 RDH327881 RND327881 RWZ327881 SGV327881 SQR327881 TAN327881 TKJ327881 TUF327881 UEB327881 UNX327881 UXT327881 VHP327881 VRL327881 WBH327881 WLD327881 WUZ327881 E393417 IN393417 SJ393417 ACF393417 AMB393417 AVX393417 BFT393417 BPP393417 BZL393417 CJH393417 CTD393417 DCZ393417 DMV393417 DWR393417 EGN393417 EQJ393417 FAF393417 FKB393417 FTX393417 GDT393417 GNP393417 GXL393417 HHH393417 HRD393417 IAZ393417 IKV393417 IUR393417 JEN393417 JOJ393417 JYF393417 KIB393417 KRX393417 LBT393417 LLP393417 LVL393417 MFH393417 MPD393417 MYZ393417 NIV393417 NSR393417 OCN393417 OMJ393417 OWF393417 PGB393417 PPX393417 PZT393417 QJP393417 QTL393417 RDH393417 RND393417 RWZ393417 SGV393417 SQR393417 TAN393417 TKJ393417 TUF393417 UEB393417 UNX393417 UXT393417 VHP393417 VRL393417 WBH393417 WLD393417 WUZ393417 E458953 IN458953 SJ458953 ACF458953 AMB458953 AVX458953 BFT458953 BPP458953 BZL458953 CJH458953 CTD458953 DCZ458953 DMV458953 DWR458953 EGN458953 EQJ458953 FAF458953 FKB458953 FTX458953 GDT458953 GNP458953 GXL458953 HHH458953 HRD458953 IAZ458953 IKV458953 IUR458953 JEN458953 JOJ458953 JYF458953 KIB458953 KRX458953 LBT458953 LLP458953 LVL458953 MFH458953 MPD458953 MYZ458953 NIV458953 NSR458953 OCN458953 OMJ458953 OWF458953 PGB458953 PPX458953 PZT458953 QJP458953 QTL458953 RDH458953 RND458953 RWZ458953 SGV458953 SQR458953 TAN458953 TKJ458953 TUF458953 UEB458953 UNX458953 UXT458953 VHP458953 VRL458953 WBH458953 WLD458953 WUZ458953 E524489 IN524489 SJ524489 ACF524489 AMB524489 AVX524489 BFT524489 BPP524489 BZL524489 CJH524489 CTD524489 DCZ524489 DMV524489 DWR524489 EGN524489 EQJ524489 FAF524489 FKB524489 FTX524489 GDT524489 GNP524489 GXL524489 HHH524489 HRD524489 IAZ524489 IKV524489 IUR524489 JEN524489 JOJ524489 JYF524489 KIB524489 KRX524489 LBT524489 LLP524489 LVL524489 MFH524489 MPD524489 MYZ524489 NIV524489 NSR524489 OCN524489 OMJ524489 OWF524489 PGB524489 PPX524489 PZT524489 QJP524489 QTL524489 RDH524489 RND524489 RWZ524489 SGV524489 SQR524489 TAN524489 TKJ524489 TUF524489 UEB524489 UNX524489 UXT524489 VHP524489 VRL524489 WBH524489 WLD524489 WUZ524489 E590025 IN590025 SJ590025 ACF590025 AMB590025 AVX590025 BFT590025 BPP590025 BZL590025 CJH590025 CTD590025 DCZ590025 DMV590025 DWR590025 EGN590025 EQJ590025 FAF590025 FKB590025 FTX590025 GDT590025 GNP590025 GXL590025 HHH590025 HRD590025 IAZ590025 IKV590025 IUR590025 JEN590025 JOJ590025 JYF590025 KIB590025 KRX590025 LBT590025 LLP590025 LVL590025 MFH590025 MPD590025 MYZ590025 NIV590025 NSR590025 OCN590025 OMJ590025 OWF590025 PGB590025 PPX590025 PZT590025 QJP590025 QTL590025 RDH590025 RND590025 RWZ590025 SGV590025 SQR590025 TAN590025 TKJ590025 TUF590025 UEB590025 UNX590025 UXT590025 VHP590025 VRL590025 WBH590025 WLD590025 WUZ590025 E655561 IN655561 SJ655561 ACF655561 AMB655561 AVX655561 BFT655561 BPP655561 BZL655561 CJH655561 CTD655561 DCZ655561 DMV655561 DWR655561 EGN655561 EQJ655561 FAF655561 FKB655561 FTX655561 GDT655561 GNP655561 GXL655561 HHH655561 HRD655561 IAZ655561 IKV655561 IUR655561 JEN655561 JOJ655561 JYF655561 KIB655561 KRX655561 LBT655561 LLP655561 LVL655561 MFH655561 MPD655561 MYZ655561 NIV655561 NSR655561 OCN655561 OMJ655561 OWF655561 PGB655561 PPX655561 PZT655561 QJP655561 QTL655561 RDH655561 RND655561 RWZ655561 SGV655561 SQR655561 TAN655561 TKJ655561 TUF655561 UEB655561 UNX655561 UXT655561 VHP655561 VRL655561 WBH655561 WLD655561 WUZ655561 E721097 IN721097 SJ721097 ACF721097 AMB721097 AVX721097 BFT721097 BPP721097 BZL721097 CJH721097 CTD721097 DCZ721097 DMV721097 DWR721097 EGN721097 EQJ721097 FAF721097 FKB721097 FTX721097 GDT721097 GNP721097 GXL721097 HHH721097 HRD721097 IAZ721097 IKV721097 IUR721097 JEN721097 JOJ721097 JYF721097 KIB721097 KRX721097 LBT721097 LLP721097 LVL721097 MFH721097 MPD721097 MYZ721097 NIV721097 NSR721097 OCN721097 OMJ721097 OWF721097 PGB721097 PPX721097 PZT721097 QJP721097 QTL721097 RDH721097 RND721097 RWZ721097 SGV721097 SQR721097 TAN721097 TKJ721097 TUF721097 UEB721097 UNX721097 UXT721097 VHP721097 VRL721097 WBH721097 WLD721097 WUZ721097 E786633 IN786633 SJ786633 ACF786633 AMB786633 AVX786633 BFT786633 BPP786633 BZL786633 CJH786633 CTD786633 DCZ786633 DMV786633 DWR786633 EGN786633 EQJ786633 FAF786633 FKB786633 FTX786633 GDT786633 GNP786633 GXL786633 HHH786633 HRD786633 IAZ786633 IKV786633 IUR786633 JEN786633 JOJ786633 JYF786633 KIB786633 KRX786633 LBT786633 LLP786633 LVL786633 MFH786633 MPD786633 MYZ786633 NIV786633 NSR786633 OCN786633 OMJ786633 OWF786633 PGB786633 PPX786633 PZT786633 QJP786633 QTL786633 RDH786633 RND786633 RWZ786633 SGV786633 SQR786633 TAN786633 TKJ786633 TUF786633 UEB786633 UNX786633 UXT786633 VHP786633 VRL786633 WBH786633 WLD786633 WUZ786633 E852169 IN852169 SJ852169 ACF852169 AMB852169 AVX852169 BFT852169 BPP852169 BZL852169 CJH852169 CTD852169 DCZ852169 DMV852169 DWR852169 EGN852169 EQJ852169 FAF852169 FKB852169 FTX852169 GDT852169 GNP852169 GXL852169 HHH852169 HRD852169 IAZ852169 IKV852169 IUR852169 JEN852169 JOJ852169 JYF852169 KIB852169 KRX852169 LBT852169 LLP852169 LVL852169 MFH852169 MPD852169 MYZ852169 NIV852169 NSR852169 OCN852169 OMJ852169 OWF852169 PGB852169 PPX852169 PZT852169 QJP852169 QTL852169 RDH852169 RND852169 RWZ852169 SGV852169 SQR852169 TAN852169 TKJ852169 TUF852169 UEB852169 UNX852169 UXT852169 VHP852169 VRL852169 WBH852169 WLD852169 WUZ852169 E917705 IN917705 SJ917705 ACF917705 AMB917705 AVX917705 BFT917705 BPP917705 BZL917705 CJH917705 CTD917705 DCZ917705 DMV917705 DWR917705 EGN917705 EQJ917705 FAF917705 FKB917705 FTX917705 GDT917705 GNP917705 GXL917705 HHH917705 HRD917705 IAZ917705 IKV917705 IUR917705 JEN917705 JOJ917705 JYF917705 KIB917705 KRX917705 LBT917705 LLP917705 LVL917705 MFH917705 MPD917705 MYZ917705 NIV917705 NSR917705 OCN917705 OMJ917705 OWF917705 PGB917705 PPX917705 PZT917705 QJP917705 QTL917705 RDH917705 RND917705 RWZ917705 SGV917705 SQR917705 TAN917705 TKJ917705 TUF917705 UEB917705 UNX917705 UXT917705 VHP917705 VRL917705 WBH917705 WLD917705 WUZ917705 E983241 IN983241 SJ983241 ACF983241 AMB983241 AVX983241 BFT983241 BPP983241 BZL983241 CJH983241 CTD983241 DCZ983241 DMV983241 DWR983241 EGN983241 EQJ983241 FAF983241 FKB983241 FTX983241 GDT983241 GNP983241 GXL983241 HHH983241 HRD983241 IAZ983241 IKV983241 IUR983241 JEN983241 JOJ983241 JYF983241 KIB983241 KRX983241 LBT983241 LLP983241 LVL983241 MFH983241 MPD983241 MYZ983241 NIV983241 NSR983241 OCN983241 OMJ983241 OWF983241 PGB983241 PPX983241 PZT983241 QJP983241 QTL983241 RDH983241 RND983241 RWZ983241 SGV983241 SQR983241 TAN983241 TKJ983241 TUF983241 UEB983241 UNX983241 UXT983241 VHP983241 VRL983241 WBH983241 WLD983241 E46">
      <formula1>"mm,mil,oz-Cu"</formula1>
    </dataValidation>
    <dataValidation type="list" allowBlank="1" showInputMessage="1" showErrorMessage="1" errorTitle="Too Many layers" error="This tool can only calculate up to 8 Layers." sqref="D23 IM23 SI23 ACE23 AMA23 AVW23 BFS23 BPO23 BZK23 CJG23 CTC23 DCY23 DMU23 DWQ23 EGM23 EQI23 FAE23 FKA23 FTW23 GDS23 GNO23 GXK23 HHG23 HRC23 IAY23 IKU23 IUQ23 JEM23 JOI23 JYE23 KIA23 KRW23 LBS23 LLO23 LVK23 MFG23 MPC23 MYY23 NIU23 NSQ23 OCM23 OMI23 OWE23 PGA23 PPW23 PZS23 QJO23 QTK23 RDG23 RNC23 RWY23 SGU23 SQQ23 TAM23 TKI23 TUE23 UEA23 UNW23 UXS23 VHO23 VRK23 WBG23 WLC23 WUY23 D65721 IM65721 SI65721 ACE65721 AMA65721 AVW65721 BFS65721 BPO65721 BZK65721 CJG65721 CTC65721 DCY65721 DMU65721 DWQ65721 EGM65721 EQI65721 FAE65721 FKA65721 FTW65721 GDS65721 GNO65721 GXK65721 HHG65721 HRC65721 IAY65721 IKU65721 IUQ65721 JEM65721 JOI65721 JYE65721 KIA65721 KRW65721 LBS65721 LLO65721 LVK65721 MFG65721 MPC65721 MYY65721 NIU65721 NSQ65721 OCM65721 OMI65721 OWE65721 PGA65721 PPW65721 PZS65721 QJO65721 QTK65721 RDG65721 RNC65721 RWY65721 SGU65721 SQQ65721 TAM65721 TKI65721 TUE65721 UEA65721 UNW65721 UXS65721 VHO65721 VRK65721 WBG65721 WLC65721 WUY65721 D131257 IM131257 SI131257 ACE131257 AMA131257 AVW131257 BFS131257 BPO131257 BZK131257 CJG131257 CTC131257 DCY131257 DMU131257 DWQ131257 EGM131257 EQI131257 FAE131257 FKA131257 FTW131257 GDS131257 GNO131257 GXK131257 HHG131257 HRC131257 IAY131257 IKU131257 IUQ131257 JEM131257 JOI131257 JYE131257 KIA131257 KRW131257 LBS131257 LLO131257 LVK131257 MFG131257 MPC131257 MYY131257 NIU131257 NSQ131257 OCM131257 OMI131257 OWE131257 PGA131257 PPW131257 PZS131257 QJO131257 QTK131257 RDG131257 RNC131257 RWY131257 SGU131257 SQQ131257 TAM131257 TKI131257 TUE131257 UEA131257 UNW131257 UXS131257 VHO131257 VRK131257 WBG131257 WLC131257 WUY131257 D196793 IM196793 SI196793 ACE196793 AMA196793 AVW196793 BFS196793 BPO196793 BZK196793 CJG196793 CTC196793 DCY196793 DMU196793 DWQ196793 EGM196793 EQI196793 FAE196793 FKA196793 FTW196793 GDS196793 GNO196793 GXK196793 HHG196793 HRC196793 IAY196793 IKU196793 IUQ196793 JEM196793 JOI196793 JYE196793 KIA196793 KRW196793 LBS196793 LLO196793 LVK196793 MFG196793 MPC196793 MYY196793 NIU196793 NSQ196793 OCM196793 OMI196793 OWE196793 PGA196793 PPW196793 PZS196793 QJO196793 QTK196793 RDG196793 RNC196793 RWY196793 SGU196793 SQQ196793 TAM196793 TKI196793 TUE196793 UEA196793 UNW196793 UXS196793 VHO196793 VRK196793 WBG196793 WLC196793 WUY196793 D262329 IM262329 SI262329 ACE262329 AMA262329 AVW262329 BFS262329 BPO262329 BZK262329 CJG262329 CTC262329 DCY262329 DMU262329 DWQ262329 EGM262329 EQI262329 FAE262329 FKA262329 FTW262329 GDS262329 GNO262329 GXK262329 HHG262329 HRC262329 IAY262329 IKU262329 IUQ262329 JEM262329 JOI262329 JYE262329 KIA262329 KRW262329 LBS262329 LLO262329 LVK262329 MFG262329 MPC262329 MYY262329 NIU262329 NSQ262329 OCM262329 OMI262329 OWE262329 PGA262329 PPW262329 PZS262329 QJO262329 QTK262329 RDG262329 RNC262329 RWY262329 SGU262329 SQQ262329 TAM262329 TKI262329 TUE262329 UEA262329 UNW262329 UXS262329 VHO262329 VRK262329 WBG262329 WLC262329 WUY262329 D327865 IM327865 SI327865 ACE327865 AMA327865 AVW327865 BFS327865 BPO327865 BZK327865 CJG327865 CTC327865 DCY327865 DMU327865 DWQ327865 EGM327865 EQI327865 FAE327865 FKA327865 FTW327865 GDS327865 GNO327865 GXK327865 HHG327865 HRC327865 IAY327865 IKU327865 IUQ327865 JEM327865 JOI327865 JYE327865 KIA327865 KRW327865 LBS327865 LLO327865 LVK327865 MFG327865 MPC327865 MYY327865 NIU327865 NSQ327865 OCM327865 OMI327865 OWE327865 PGA327865 PPW327865 PZS327865 QJO327865 QTK327865 RDG327865 RNC327865 RWY327865 SGU327865 SQQ327865 TAM327865 TKI327865 TUE327865 UEA327865 UNW327865 UXS327865 VHO327865 VRK327865 WBG327865 WLC327865 WUY327865 D393401 IM393401 SI393401 ACE393401 AMA393401 AVW393401 BFS393401 BPO393401 BZK393401 CJG393401 CTC393401 DCY393401 DMU393401 DWQ393401 EGM393401 EQI393401 FAE393401 FKA393401 FTW393401 GDS393401 GNO393401 GXK393401 HHG393401 HRC393401 IAY393401 IKU393401 IUQ393401 JEM393401 JOI393401 JYE393401 KIA393401 KRW393401 LBS393401 LLO393401 LVK393401 MFG393401 MPC393401 MYY393401 NIU393401 NSQ393401 OCM393401 OMI393401 OWE393401 PGA393401 PPW393401 PZS393401 QJO393401 QTK393401 RDG393401 RNC393401 RWY393401 SGU393401 SQQ393401 TAM393401 TKI393401 TUE393401 UEA393401 UNW393401 UXS393401 VHO393401 VRK393401 WBG393401 WLC393401 WUY393401 D458937 IM458937 SI458937 ACE458937 AMA458937 AVW458937 BFS458937 BPO458937 BZK458937 CJG458937 CTC458937 DCY458937 DMU458937 DWQ458937 EGM458937 EQI458937 FAE458937 FKA458937 FTW458937 GDS458937 GNO458937 GXK458937 HHG458937 HRC458937 IAY458937 IKU458937 IUQ458937 JEM458937 JOI458937 JYE458937 KIA458937 KRW458937 LBS458937 LLO458937 LVK458937 MFG458937 MPC458937 MYY458937 NIU458937 NSQ458937 OCM458937 OMI458937 OWE458937 PGA458937 PPW458937 PZS458937 QJO458937 QTK458937 RDG458937 RNC458937 RWY458937 SGU458937 SQQ458937 TAM458937 TKI458937 TUE458937 UEA458937 UNW458937 UXS458937 VHO458937 VRK458937 WBG458937 WLC458937 WUY458937 D524473 IM524473 SI524473 ACE524473 AMA524473 AVW524473 BFS524473 BPO524473 BZK524473 CJG524473 CTC524473 DCY524473 DMU524473 DWQ524473 EGM524473 EQI524473 FAE524473 FKA524473 FTW524473 GDS524473 GNO524473 GXK524473 HHG524473 HRC524473 IAY524473 IKU524473 IUQ524473 JEM524473 JOI524473 JYE524473 KIA524473 KRW524473 LBS524473 LLO524473 LVK524473 MFG524473 MPC524473 MYY524473 NIU524473 NSQ524473 OCM524473 OMI524473 OWE524473 PGA524473 PPW524473 PZS524473 QJO524473 QTK524473 RDG524473 RNC524473 RWY524473 SGU524473 SQQ524473 TAM524473 TKI524473 TUE524473 UEA524473 UNW524473 UXS524473 VHO524473 VRK524473 WBG524473 WLC524473 WUY524473 D590009 IM590009 SI590009 ACE590009 AMA590009 AVW590009 BFS590009 BPO590009 BZK590009 CJG590009 CTC590009 DCY590009 DMU590009 DWQ590009 EGM590009 EQI590009 FAE590009 FKA590009 FTW590009 GDS590009 GNO590009 GXK590009 HHG590009 HRC590009 IAY590009 IKU590009 IUQ590009 JEM590009 JOI590009 JYE590009 KIA590009 KRW590009 LBS590009 LLO590009 LVK590009 MFG590009 MPC590009 MYY590009 NIU590009 NSQ590009 OCM590009 OMI590009 OWE590009 PGA590009 PPW590009 PZS590009 QJO590009 QTK590009 RDG590009 RNC590009 RWY590009 SGU590009 SQQ590009 TAM590009 TKI590009 TUE590009 UEA590009 UNW590009 UXS590009 VHO590009 VRK590009 WBG590009 WLC590009 WUY590009 D655545 IM655545 SI655545 ACE655545 AMA655545 AVW655545 BFS655545 BPO655545 BZK655545 CJG655545 CTC655545 DCY655545 DMU655545 DWQ655545 EGM655545 EQI655545 FAE655545 FKA655545 FTW655545 GDS655545 GNO655545 GXK655545 HHG655545 HRC655545 IAY655545 IKU655545 IUQ655545 JEM655545 JOI655545 JYE655545 KIA655545 KRW655545 LBS655545 LLO655545 LVK655545 MFG655545 MPC655545 MYY655545 NIU655545 NSQ655545 OCM655545 OMI655545 OWE655545 PGA655545 PPW655545 PZS655545 QJO655545 QTK655545 RDG655545 RNC655545 RWY655545 SGU655545 SQQ655545 TAM655545 TKI655545 TUE655545 UEA655545 UNW655545 UXS655545 VHO655545 VRK655545 WBG655545 WLC655545 WUY655545 D721081 IM721081 SI721081 ACE721081 AMA721081 AVW721081 BFS721081 BPO721081 BZK721081 CJG721081 CTC721081 DCY721081 DMU721081 DWQ721081 EGM721081 EQI721081 FAE721081 FKA721081 FTW721081 GDS721081 GNO721081 GXK721081 HHG721081 HRC721081 IAY721081 IKU721081 IUQ721081 JEM721081 JOI721081 JYE721081 KIA721081 KRW721081 LBS721081 LLO721081 LVK721081 MFG721081 MPC721081 MYY721081 NIU721081 NSQ721081 OCM721081 OMI721081 OWE721081 PGA721081 PPW721081 PZS721081 QJO721081 QTK721081 RDG721081 RNC721081 RWY721081 SGU721081 SQQ721081 TAM721081 TKI721081 TUE721081 UEA721081 UNW721081 UXS721081 VHO721081 VRK721081 WBG721081 WLC721081 WUY721081 D786617 IM786617 SI786617 ACE786617 AMA786617 AVW786617 BFS786617 BPO786617 BZK786617 CJG786617 CTC786617 DCY786617 DMU786617 DWQ786617 EGM786617 EQI786617 FAE786617 FKA786617 FTW786617 GDS786617 GNO786617 GXK786617 HHG786617 HRC786617 IAY786617 IKU786617 IUQ786617 JEM786617 JOI786617 JYE786617 KIA786617 KRW786617 LBS786617 LLO786617 LVK786617 MFG786617 MPC786617 MYY786617 NIU786617 NSQ786617 OCM786617 OMI786617 OWE786617 PGA786617 PPW786617 PZS786617 QJO786617 QTK786617 RDG786617 RNC786617 RWY786617 SGU786617 SQQ786617 TAM786617 TKI786617 TUE786617 UEA786617 UNW786617 UXS786617 VHO786617 VRK786617 WBG786617 WLC786617 WUY786617 D852153 IM852153 SI852153 ACE852153 AMA852153 AVW852153 BFS852153 BPO852153 BZK852153 CJG852153 CTC852153 DCY852153 DMU852153 DWQ852153 EGM852153 EQI852153 FAE852153 FKA852153 FTW852153 GDS852153 GNO852153 GXK852153 HHG852153 HRC852153 IAY852153 IKU852153 IUQ852153 JEM852153 JOI852153 JYE852153 KIA852153 KRW852153 LBS852153 LLO852153 LVK852153 MFG852153 MPC852153 MYY852153 NIU852153 NSQ852153 OCM852153 OMI852153 OWE852153 PGA852153 PPW852153 PZS852153 QJO852153 QTK852153 RDG852153 RNC852153 RWY852153 SGU852153 SQQ852153 TAM852153 TKI852153 TUE852153 UEA852153 UNW852153 UXS852153 VHO852153 VRK852153 WBG852153 WLC852153 WUY852153 D917689 IM917689 SI917689 ACE917689 AMA917689 AVW917689 BFS917689 BPO917689 BZK917689 CJG917689 CTC917689 DCY917689 DMU917689 DWQ917689 EGM917689 EQI917689 FAE917689 FKA917689 FTW917689 GDS917689 GNO917689 GXK917689 HHG917689 HRC917689 IAY917689 IKU917689 IUQ917689 JEM917689 JOI917689 JYE917689 KIA917689 KRW917689 LBS917689 LLO917689 LVK917689 MFG917689 MPC917689 MYY917689 NIU917689 NSQ917689 OCM917689 OMI917689 OWE917689 PGA917689 PPW917689 PZS917689 QJO917689 QTK917689 RDG917689 RNC917689 RWY917689 SGU917689 SQQ917689 TAM917689 TKI917689 TUE917689 UEA917689 UNW917689 UXS917689 VHO917689 VRK917689 WBG917689 WLC917689 WUY917689 D983225 IM983225 SI983225 ACE983225 AMA983225 AVW983225 BFS983225 BPO983225 BZK983225 CJG983225 CTC983225 DCY983225 DMU983225 DWQ983225 EGM983225 EQI983225 FAE983225 FKA983225 FTW983225 GDS983225 GNO983225 GXK983225 HHG983225 HRC983225 IAY983225 IKU983225 IUQ983225 JEM983225 JOI983225 JYE983225 KIA983225 KRW983225 LBS983225 LLO983225 LVK983225 MFG983225 MPC983225 MYY983225 NIU983225 NSQ983225 OCM983225 OMI983225 OWE983225 PGA983225 PPW983225 PZS983225 QJO983225 QTK983225 RDG983225 RNC983225 RWY983225 SGU983225 SQQ983225 TAM983225 TKI983225 TUE983225 UEA983225 UNW983225 UXS983225 VHO983225 VRK983225 WBG983225 WLC983225 WUY983225">
      <formula1>"1,2,3,4,5,6,7,8"</formula1>
    </dataValidation>
    <dataValidation showInputMessage="1" showErrorMessage="1" sqref="E54:E55 IN54:IN55 SJ54:SJ55 ACF54:ACF55 AMB54:AMB55 AVX54:AVX55 BFT54:BFT55 BPP54:BPP55 BZL54:BZL55 CJH54:CJH55 CTD54:CTD55 DCZ54:DCZ55 DMV54:DMV55 DWR54:DWR55 EGN54:EGN55 EQJ54:EQJ55 FAF54:FAF55 FKB54:FKB55 FTX54:FTX55 GDT54:GDT55 GNP54:GNP55 GXL54:GXL55 HHH54:HHH55 HRD54:HRD55 IAZ54:IAZ55 IKV54:IKV55 IUR54:IUR55 JEN54:JEN55 JOJ54:JOJ55 JYF54:JYF55 KIB54:KIB55 KRX54:KRX55 LBT54:LBT55 LLP54:LLP55 LVL54:LVL55 MFH54:MFH55 MPD54:MPD55 MYZ54:MYZ55 NIV54:NIV55 NSR54:NSR55 OCN54:OCN55 OMJ54:OMJ55 OWF54:OWF55 PGB54:PGB55 PPX54:PPX55 PZT54:PZT55 QJP54:QJP55 QTL54:QTL55 RDH54:RDH55 RND54:RND55 RWZ54:RWZ55 SGV54:SGV55 SQR54:SQR55 TAN54:TAN55 TKJ54:TKJ55 TUF54:TUF55 UEB54:UEB55 UNX54:UNX55 UXT54:UXT55 VHP54:VHP55 VRL54:VRL55 WBH54:WBH55 WLD54:WLD55 WUZ54:WUZ55 E65743:E65744 IN65743:IN65744 SJ65743:SJ65744 ACF65743:ACF65744 AMB65743:AMB65744 AVX65743:AVX65744 BFT65743:BFT65744 BPP65743:BPP65744 BZL65743:BZL65744 CJH65743:CJH65744 CTD65743:CTD65744 DCZ65743:DCZ65744 DMV65743:DMV65744 DWR65743:DWR65744 EGN65743:EGN65744 EQJ65743:EQJ65744 FAF65743:FAF65744 FKB65743:FKB65744 FTX65743:FTX65744 GDT65743:GDT65744 GNP65743:GNP65744 GXL65743:GXL65744 HHH65743:HHH65744 HRD65743:HRD65744 IAZ65743:IAZ65744 IKV65743:IKV65744 IUR65743:IUR65744 JEN65743:JEN65744 JOJ65743:JOJ65744 JYF65743:JYF65744 KIB65743:KIB65744 KRX65743:KRX65744 LBT65743:LBT65744 LLP65743:LLP65744 LVL65743:LVL65744 MFH65743:MFH65744 MPD65743:MPD65744 MYZ65743:MYZ65744 NIV65743:NIV65744 NSR65743:NSR65744 OCN65743:OCN65744 OMJ65743:OMJ65744 OWF65743:OWF65744 PGB65743:PGB65744 PPX65743:PPX65744 PZT65743:PZT65744 QJP65743:QJP65744 QTL65743:QTL65744 RDH65743:RDH65744 RND65743:RND65744 RWZ65743:RWZ65744 SGV65743:SGV65744 SQR65743:SQR65744 TAN65743:TAN65744 TKJ65743:TKJ65744 TUF65743:TUF65744 UEB65743:UEB65744 UNX65743:UNX65744 UXT65743:UXT65744 VHP65743:VHP65744 VRL65743:VRL65744 WBH65743:WBH65744 WLD65743:WLD65744 WUZ65743:WUZ65744 E131279:E131280 IN131279:IN131280 SJ131279:SJ131280 ACF131279:ACF131280 AMB131279:AMB131280 AVX131279:AVX131280 BFT131279:BFT131280 BPP131279:BPP131280 BZL131279:BZL131280 CJH131279:CJH131280 CTD131279:CTD131280 DCZ131279:DCZ131280 DMV131279:DMV131280 DWR131279:DWR131280 EGN131279:EGN131280 EQJ131279:EQJ131280 FAF131279:FAF131280 FKB131279:FKB131280 FTX131279:FTX131280 GDT131279:GDT131280 GNP131279:GNP131280 GXL131279:GXL131280 HHH131279:HHH131280 HRD131279:HRD131280 IAZ131279:IAZ131280 IKV131279:IKV131280 IUR131279:IUR131280 JEN131279:JEN131280 JOJ131279:JOJ131280 JYF131279:JYF131280 KIB131279:KIB131280 KRX131279:KRX131280 LBT131279:LBT131280 LLP131279:LLP131280 LVL131279:LVL131280 MFH131279:MFH131280 MPD131279:MPD131280 MYZ131279:MYZ131280 NIV131279:NIV131280 NSR131279:NSR131280 OCN131279:OCN131280 OMJ131279:OMJ131280 OWF131279:OWF131280 PGB131279:PGB131280 PPX131279:PPX131280 PZT131279:PZT131280 QJP131279:QJP131280 QTL131279:QTL131280 RDH131279:RDH131280 RND131279:RND131280 RWZ131279:RWZ131280 SGV131279:SGV131280 SQR131279:SQR131280 TAN131279:TAN131280 TKJ131279:TKJ131280 TUF131279:TUF131280 UEB131279:UEB131280 UNX131279:UNX131280 UXT131279:UXT131280 VHP131279:VHP131280 VRL131279:VRL131280 WBH131279:WBH131280 WLD131279:WLD131280 WUZ131279:WUZ131280 E196815:E196816 IN196815:IN196816 SJ196815:SJ196816 ACF196815:ACF196816 AMB196815:AMB196816 AVX196815:AVX196816 BFT196815:BFT196816 BPP196815:BPP196816 BZL196815:BZL196816 CJH196815:CJH196816 CTD196815:CTD196816 DCZ196815:DCZ196816 DMV196815:DMV196816 DWR196815:DWR196816 EGN196815:EGN196816 EQJ196815:EQJ196816 FAF196815:FAF196816 FKB196815:FKB196816 FTX196815:FTX196816 GDT196815:GDT196816 GNP196815:GNP196816 GXL196815:GXL196816 HHH196815:HHH196816 HRD196815:HRD196816 IAZ196815:IAZ196816 IKV196815:IKV196816 IUR196815:IUR196816 JEN196815:JEN196816 JOJ196815:JOJ196816 JYF196815:JYF196816 KIB196815:KIB196816 KRX196815:KRX196816 LBT196815:LBT196816 LLP196815:LLP196816 LVL196815:LVL196816 MFH196815:MFH196816 MPD196815:MPD196816 MYZ196815:MYZ196816 NIV196815:NIV196816 NSR196815:NSR196816 OCN196815:OCN196816 OMJ196815:OMJ196816 OWF196815:OWF196816 PGB196815:PGB196816 PPX196815:PPX196816 PZT196815:PZT196816 QJP196815:QJP196816 QTL196815:QTL196816 RDH196815:RDH196816 RND196815:RND196816 RWZ196815:RWZ196816 SGV196815:SGV196816 SQR196815:SQR196816 TAN196815:TAN196816 TKJ196815:TKJ196816 TUF196815:TUF196816 UEB196815:UEB196816 UNX196815:UNX196816 UXT196815:UXT196816 VHP196815:VHP196816 VRL196815:VRL196816 WBH196815:WBH196816 WLD196815:WLD196816 WUZ196815:WUZ196816 E262351:E262352 IN262351:IN262352 SJ262351:SJ262352 ACF262351:ACF262352 AMB262351:AMB262352 AVX262351:AVX262352 BFT262351:BFT262352 BPP262351:BPP262352 BZL262351:BZL262352 CJH262351:CJH262352 CTD262351:CTD262352 DCZ262351:DCZ262352 DMV262351:DMV262352 DWR262351:DWR262352 EGN262351:EGN262352 EQJ262351:EQJ262352 FAF262351:FAF262352 FKB262351:FKB262352 FTX262351:FTX262352 GDT262351:GDT262352 GNP262351:GNP262352 GXL262351:GXL262352 HHH262351:HHH262352 HRD262351:HRD262352 IAZ262351:IAZ262352 IKV262351:IKV262352 IUR262351:IUR262352 JEN262351:JEN262352 JOJ262351:JOJ262352 JYF262351:JYF262352 KIB262351:KIB262352 KRX262351:KRX262352 LBT262351:LBT262352 LLP262351:LLP262352 LVL262351:LVL262352 MFH262351:MFH262352 MPD262351:MPD262352 MYZ262351:MYZ262352 NIV262351:NIV262352 NSR262351:NSR262352 OCN262351:OCN262352 OMJ262351:OMJ262352 OWF262351:OWF262352 PGB262351:PGB262352 PPX262351:PPX262352 PZT262351:PZT262352 QJP262351:QJP262352 QTL262351:QTL262352 RDH262351:RDH262352 RND262351:RND262352 RWZ262351:RWZ262352 SGV262351:SGV262352 SQR262351:SQR262352 TAN262351:TAN262352 TKJ262351:TKJ262352 TUF262351:TUF262352 UEB262351:UEB262352 UNX262351:UNX262352 UXT262351:UXT262352 VHP262351:VHP262352 VRL262351:VRL262352 WBH262351:WBH262352 WLD262351:WLD262352 WUZ262351:WUZ262352 E327887:E327888 IN327887:IN327888 SJ327887:SJ327888 ACF327887:ACF327888 AMB327887:AMB327888 AVX327887:AVX327888 BFT327887:BFT327888 BPP327887:BPP327888 BZL327887:BZL327888 CJH327887:CJH327888 CTD327887:CTD327888 DCZ327887:DCZ327888 DMV327887:DMV327888 DWR327887:DWR327888 EGN327887:EGN327888 EQJ327887:EQJ327888 FAF327887:FAF327888 FKB327887:FKB327888 FTX327887:FTX327888 GDT327887:GDT327888 GNP327887:GNP327888 GXL327887:GXL327888 HHH327887:HHH327888 HRD327887:HRD327888 IAZ327887:IAZ327888 IKV327887:IKV327888 IUR327887:IUR327888 JEN327887:JEN327888 JOJ327887:JOJ327888 JYF327887:JYF327888 KIB327887:KIB327888 KRX327887:KRX327888 LBT327887:LBT327888 LLP327887:LLP327888 LVL327887:LVL327888 MFH327887:MFH327888 MPD327887:MPD327888 MYZ327887:MYZ327888 NIV327887:NIV327888 NSR327887:NSR327888 OCN327887:OCN327888 OMJ327887:OMJ327888 OWF327887:OWF327888 PGB327887:PGB327888 PPX327887:PPX327888 PZT327887:PZT327888 QJP327887:QJP327888 QTL327887:QTL327888 RDH327887:RDH327888 RND327887:RND327888 RWZ327887:RWZ327888 SGV327887:SGV327888 SQR327887:SQR327888 TAN327887:TAN327888 TKJ327887:TKJ327888 TUF327887:TUF327888 UEB327887:UEB327888 UNX327887:UNX327888 UXT327887:UXT327888 VHP327887:VHP327888 VRL327887:VRL327888 WBH327887:WBH327888 WLD327887:WLD327888 WUZ327887:WUZ327888 E393423:E393424 IN393423:IN393424 SJ393423:SJ393424 ACF393423:ACF393424 AMB393423:AMB393424 AVX393423:AVX393424 BFT393423:BFT393424 BPP393423:BPP393424 BZL393423:BZL393424 CJH393423:CJH393424 CTD393423:CTD393424 DCZ393423:DCZ393424 DMV393423:DMV393424 DWR393423:DWR393424 EGN393423:EGN393424 EQJ393423:EQJ393424 FAF393423:FAF393424 FKB393423:FKB393424 FTX393423:FTX393424 GDT393423:GDT393424 GNP393423:GNP393424 GXL393423:GXL393424 HHH393423:HHH393424 HRD393423:HRD393424 IAZ393423:IAZ393424 IKV393423:IKV393424 IUR393423:IUR393424 JEN393423:JEN393424 JOJ393423:JOJ393424 JYF393423:JYF393424 KIB393423:KIB393424 KRX393423:KRX393424 LBT393423:LBT393424 LLP393423:LLP393424 LVL393423:LVL393424 MFH393423:MFH393424 MPD393423:MPD393424 MYZ393423:MYZ393424 NIV393423:NIV393424 NSR393423:NSR393424 OCN393423:OCN393424 OMJ393423:OMJ393424 OWF393423:OWF393424 PGB393423:PGB393424 PPX393423:PPX393424 PZT393423:PZT393424 QJP393423:QJP393424 QTL393423:QTL393424 RDH393423:RDH393424 RND393423:RND393424 RWZ393423:RWZ393424 SGV393423:SGV393424 SQR393423:SQR393424 TAN393423:TAN393424 TKJ393423:TKJ393424 TUF393423:TUF393424 UEB393423:UEB393424 UNX393423:UNX393424 UXT393423:UXT393424 VHP393423:VHP393424 VRL393423:VRL393424 WBH393423:WBH393424 WLD393423:WLD393424 WUZ393423:WUZ393424 E458959:E458960 IN458959:IN458960 SJ458959:SJ458960 ACF458959:ACF458960 AMB458959:AMB458960 AVX458959:AVX458960 BFT458959:BFT458960 BPP458959:BPP458960 BZL458959:BZL458960 CJH458959:CJH458960 CTD458959:CTD458960 DCZ458959:DCZ458960 DMV458959:DMV458960 DWR458959:DWR458960 EGN458959:EGN458960 EQJ458959:EQJ458960 FAF458959:FAF458960 FKB458959:FKB458960 FTX458959:FTX458960 GDT458959:GDT458960 GNP458959:GNP458960 GXL458959:GXL458960 HHH458959:HHH458960 HRD458959:HRD458960 IAZ458959:IAZ458960 IKV458959:IKV458960 IUR458959:IUR458960 JEN458959:JEN458960 JOJ458959:JOJ458960 JYF458959:JYF458960 KIB458959:KIB458960 KRX458959:KRX458960 LBT458959:LBT458960 LLP458959:LLP458960 LVL458959:LVL458960 MFH458959:MFH458960 MPD458959:MPD458960 MYZ458959:MYZ458960 NIV458959:NIV458960 NSR458959:NSR458960 OCN458959:OCN458960 OMJ458959:OMJ458960 OWF458959:OWF458960 PGB458959:PGB458960 PPX458959:PPX458960 PZT458959:PZT458960 QJP458959:QJP458960 QTL458959:QTL458960 RDH458959:RDH458960 RND458959:RND458960 RWZ458959:RWZ458960 SGV458959:SGV458960 SQR458959:SQR458960 TAN458959:TAN458960 TKJ458959:TKJ458960 TUF458959:TUF458960 UEB458959:UEB458960 UNX458959:UNX458960 UXT458959:UXT458960 VHP458959:VHP458960 VRL458959:VRL458960 WBH458959:WBH458960 WLD458959:WLD458960 WUZ458959:WUZ458960 E524495:E524496 IN524495:IN524496 SJ524495:SJ524496 ACF524495:ACF524496 AMB524495:AMB524496 AVX524495:AVX524496 BFT524495:BFT524496 BPP524495:BPP524496 BZL524495:BZL524496 CJH524495:CJH524496 CTD524495:CTD524496 DCZ524495:DCZ524496 DMV524495:DMV524496 DWR524495:DWR524496 EGN524495:EGN524496 EQJ524495:EQJ524496 FAF524495:FAF524496 FKB524495:FKB524496 FTX524495:FTX524496 GDT524495:GDT524496 GNP524495:GNP524496 GXL524495:GXL524496 HHH524495:HHH524496 HRD524495:HRD524496 IAZ524495:IAZ524496 IKV524495:IKV524496 IUR524495:IUR524496 JEN524495:JEN524496 JOJ524495:JOJ524496 JYF524495:JYF524496 KIB524495:KIB524496 KRX524495:KRX524496 LBT524495:LBT524496 LLP524495:LLP524496 LVL524495:LVL524496 MFH524495:MFH524496 MPD524495:MPD524496 MYZ524495:MYZ524496 NIV524495:NIV524496 NSR524495:NSR524496 OCN524495:OCN524496 OMJ524495:OMJ524496 OWF524495:OWF524496 PGB524495:PGB524496 PPX524495:PPX524496 PZT524495:PZT524496 QJP524495:QJP524496 QTL524495:QTL524496 RDH524495:RDH524496 RND524495:RND524496 RWZ524495:RWZ524496 SGV524495:SGV524496 SQR524495:SQR524496 TAN524495:TAN524496 TKJ524495:TKJ524496 TUF524495:TUF524496 UEB524495:UEB524496 UNX524495:UNX524496 UXT524495:UXT524496 VHP524495:VHP524496 VRL524495:VRL524496 WBH524495:WBH524496 WLD524495:WLD524496 WUZ524495:WUZ524496 E590031:E590032 IN590031:IN590032 SJ590031:SJ590032 ACF590031:ACF590032 AMB590031:AMB590032 AVX590031:AVX590032 BFT590031:BFT590032 BPP590031:BPP590032 BZL590031:BZL590032 CJH590031:CJH590032 CTD590031:CTD590032 DCZ590031:DCZ590032 DMV590031:DMV590032 DWR590031:DWR590032 EGN590031:EGN590032 EQJ590031:EQJ590032 FAF590031:FAF590032 FKB590031:FKB590032 FTX590031:FTX590032 GDT590031:GDT590032 GNP590031:GNP590032 GXL590031:GXL590032 HHH590031:HHH590032 HRD590031:HRD590032 IAZ590031:IAZ590032 IKV590031:IKV590032 IUR590031:IUR590032 JEN590031:JEN590032 JOJ590031:JOJ590032 JYF590031:JYF590032 KIB590031:KIB590032 KRX590031:KRX590032 LBT590031:LBT590032 LLP590031:LLP590032 LVL590031:LVL590032 MFH590031:MFH590032 MPD590031:MPD590032 MYZ590031:MYZ590032 NIV590031:NIV590032 NSR590031:NSR590032 OCN590031:OCN590032 OMJ590031:OMJ590032 OWF590031:OWF590032 PGB590031:PGB590032 PPX590031:PPX590032 PZT590031:PZT590032 QJP590031:QJP590032 QTL590031:QTL590032 RDH590031:RDH590032 RND590031:RND590032 RWZ590031:RWZ590032 SGV590031:SGV590032 SQR590031:SQR590032 TAN590031:TAN590032 TKJ590031:TKJ590032 TUF590031:TUF590032 UEB590031:UEB590032 UNX590031:UNX590032 UXT590031:UXT590032 VHP590031:VHP590032 VRL590031:VRL590032 WBH590031:WBH590032 WLD590031:WLD590032 WUZ590031:WUZ590032 E655567:E655568 IN655567:IN655568 SJ655567:SJ655568 ACF655567:ACF655568 AMB655567:AMB655568 AVX655567:AVX655568 BFT655567:BFT655568 BPP655567:BPP655568 BZL655567:BZL655568 CJH655567:CJH655568 CTD655567:CTD655568 DCZ655567:DCZ655568 DMV655567:DMV655568 DWR655567:DWR655568 EGN655567:EGN655568 EQJ655567:EQJ655568 FAF655567:FAF655568 FKB655567:FKB655568 FTX655567:FTX655568 GDT655567:GDT655568 GNP655567:GNP655568 GXL655567:GXL655568 HHH655567:HHH655568 HRD655567:HRD655568 IAZ655567:IAZ655568 IKV655567:IKV655568 IUR655567:IUR655568 JEN655567:JEN655568 JOJ655567:JOJ655568 JYF655567:JYF655568 KIB655567:KIB655568 KRX655567:KRX655568 LBT655567:LBT655568 LLP655567:LLP655568 LVL655567:LVL655568 MFH655567:MFH655568 MPD655567:MPD655568 MYZ655567:MYZ655568 NIV655567:NIV655568 NSR655567:NSR655568 OCN655567:OCN655568 OMJ655567:OMJ655568 OWF655567:OWF655568 PGB655567:PGB655568 PPX655567:PPX655568 PZT655567:PZT655568 QJP655567:QJP655568 QTL655567:QTL655568 RDH655567:RDH655568 RND655567:RND655568 RWZ655567:RWZ655568 SGV655567:SGV655568 SQR655567:SQR655568 TAN655567:TAN655568 TKJ655567:TKJ655568 TUF655567:TUF655568 UEB655567:UEB655568 UNX655567:UNX655568 UXT655567:UXT655568 VHP655567:VHP655568 VRL655567:VRL655568 WBH655567:WBH655568 WLD655567:WLD655568 WUZ655567:WUZ655568 E721103:E721104 IN721103:IN721104 SJ721103:SJ721104 ACF721103:ACF721104 AMB721103:AMB721104 AVX721103:AVX721104 BFT721103:BFT721104 BPP721103:BPP721104 BZL721103:BZL721104 CJH721103:CJH721104 CTD721103:CTD721104 DCZ721103:DCZ721104 DMV721103:DMV721104 DWR721103:DWR721104 EGN721103:EGN721104 EQJ721103:EQJ721104 FAF721103:FAF721104 FKB721103:FKB721104 FTX721103:FTX721104 GDT721103:GDT721104 GNP721103:GNP721104 GXL721103:GXL721104 HHH721103:HHH721104 HRD721103:HRD721104 IAZ721103:IAZ721104 IKV721103:IKV721104 IUR721103:IUR721104 JEN721103:JEN721104 JOJ721103:JOJ721104 JYF721103:JYF721104 KIB721103:KIB721104 KRX721103:KRX721104 LBT721103:LBT721104 LLP721103:LLP721104 LVL721103:LVL721104 MFH721103:MFH721104 MPD721103:MPD721104 MYZ721103:MYZ721104 NIV721103:NIV721104 NSR721103:NSR721104 OCN721103:OCN721104 OMJ721103:OMJ721104 OWF721103:OWF721104 PGB721103:PGB721104 PPX721103:PPX721104 PZT721103:PZT721104 QJP721103:QJP721104 QTL721103:QTL721104 RDH721103:RDH721104 RND721103:RND721104 RWZ721103:RWZ721104 SGV721103:SGV721104 SQR721103:SQR721104 TAN721103:TAN721104 TKJ721103:TKJ721104 TUF721103:TUF721104 UEB721103:UEB721104 UNX721103:UNX721104 UXT721103:UXT721104 VHP721103:VHP721104 VRL721103:VRL721104 WBH721103:WBH721104 WLD721103:WLD721104 WUZ721103:WUZ721104 E786639:E786640 IN786639:IN786640 SJ786639:SJ786640 ACF786639:ACF786640 AMB786639:AMB786640 AVX786639:AVX786640 BFT786639:BFT786640 BPP786639:BPP786640 BZL786639:BZL786640 CJH786639:CJH786640 CTD786639:CTD786640 DCZ786639:DCZ786640 DMV786639:DMV786640 DWR786639:DWR786640 EGN786639:EGN786640 EQJ786639:EQJ786640 FAF786639:FAF786640 FKB786639:FKB786640 FTX786639:FTX786640 GDT786639:GDT786640 GNP786639:GNP786640 GXL786639:GXL786640 HHH786639:HHH786640 HRD786639:HRD786640 IAZ786639:IAZ786640 IKV786639:IKV786640 IUR786639:IUR786640 JEN786639:JEN786640 JOJ786639:JOJ786640 JYF786639:JYF786640 KIB786639:KIB786640 KRX786639:KRX786640 LBT786639:LBT786640 LLP786639:LLP786640 LVL786639:LVL786640 MFH786639:MFH786640 MPD786639:MPD786640 MYZ786639:MYZ786640 NIV786639:NIV786640 NSR786639:NSR786640 OCN786639:OCN786640 OMJ786639:OMJ786640 OWF786639:OWF786640 PGB786639:PGB786640 PPX786639:PPX786640 PZT786639:PZT786640 QJP786639:QJP786640 QTL786639:QTL786640 RDH786639:RDH786640 RND786639:RND786640 RWZ786639:RWZ786640 SGV786639:SGV786640 SQR786639:SQR786640 TAN786639:TAN786640 TKJ786639:TKJ786640 TUF786639:TUF786640 UEB786639:UEB786640 UNX786639:UNX786640 UXT786639:UXT786640 VHP786639:VHP786640 VRL786639:VRL786640 WBH786639:WBH786640 WLD786639:WLD786640 WUZ786639:WUZ786640 E852175:E852176 IN852175:IN852176 SJ852175:SJ852176 ACF852175:ACF852176 AMB852175:AMB852176 AVX852175:AVX852176 BFT852175:BFT852176 BPP852175:BPP852176 BZL852175:BZL852176 CJH852175:CJH852176 CTD852175:CTD852176 DCZ852175:DCZ852176 DMV852175:DMV852176 DWR852175:DWR852176 EGN852175:EGN852176 EQJ852175:EQJ852176 FAF852175:FAF852176 FKB852175:FKB852176 FTX852175:FTX852176 GDT852175:GDT852176 GNP852175:GNP852176 GXL852175:GXL852176 HHH852175:HHH852176 HRD852175:HRD852176 IAZ852175:IAZ852176 IKV852175:IKV852176 IUR852175:IUR852176 JEN852175:JEN852176 JOJ852175:JOJ852176 JYF852175:JYF852176 KIB852175:KIB852176 KRX852175:KRX852176 LBT852175:LBT852176 LLP852175:LLP852176 LVL852175:LVL852176 MFH852175:MFH852176 MPD852175:MPD852176 MYZ852175:MYZ852176 NIV852175:NIV852176 NSR852175:NSR852176 OCN852175:OCN852176 OMJ852175:OMJ852176 OWF852175:OWF852176 PGB852175:PGB852176 PPX852175:PPX852176 PZT852175:PZT852176 QJP852175:QJP852176 QTL852175:QTL852176 RDH852175:RDH852176 RND852175:RND852176 RWZ852175:RWZ852176 SGV852175:SGV852176 SQR852175:SQR852176 TAN852175:TAN852176 TKJ852175:TKJ852176 TUF852175:TUF852176 UEB852175:UEB852176 UNX852175:UNX852176 UXT852175:UXT852176 VHP852175:VHP852176 VRL852175:VRL852176 WBH852175:WBH852176 WLD852175:WLD852176 WUZ852175:WUZ852176 E917711:E917712 IN917711:IN917712 SJ917711:SJ917712 ACF917711:ACF917712 AMB917711:AMB917712 AVX917711:AVX917712 BFT917711:BFT917712 BPP917711:BPP917712 BZL917711:BZL917712 CJH917711:CJH917712 CTD917711:CTD917712 DCZ917711:DCZ917712 DMV917711:DMV917712 DWR917711:DWR917712 EGN917711:EGN917712 EQJ917711:EQJ917712 FAF917711:FAF917712 FKB917711:FKB917712 FTX917711:FTX917712 GDT917711:GDT917712 GNP917711:GNP917712 GXL917711:GXL917712 HHH917711:HHH917712 HRD917711:HRD917712 IAZ917711:IAZ917712 IKV917711:IKV917712 IUR917711:IUR917712 JEN917711:JEN917712 JOJ917711:JOJ917712 JYF917711:JYF917712 KIB917711:KIB917712 KRX917711:KRX917712 LBT917711:LBT917712 LLP917711:LLP917712 LVL917711:LVL917712 MFH917711:MFH917712 MPD917711:MPD917712 MYZ917711:MYZ917712 NIV917711:NIV917712 NSR917711:NSR917712 OCN917711:OCN917712 OMJ917711:OMJ917712 OWF917711:OWF917712 PGB917711:PGB917712 PPX917711:PPX917712 PZT917711:PZT917712 QJP917711:QJP917712 QTL917711:QTL917712 RDH917711:RDH917712 RND917711:RND917712 RWZ917711:RWZ917712 SGV917711:SGV917712 SQR917711:SQR917712 TAN917711:TAN917712 TKJ917711:TKJ917712 TUF917711:TUF917712 UEB917711:UEB917712 UNX917711:UNX917712 UXT917711:UXT917712 VHP917711:VHP917712 VRL917711:VRL917712 WBH917711:WBH917712 WLD917711:WLD917712 WUZ917711:WUZ917712 E983247:E983248 IN983247:IN983248 SJ983247:SJ983248 ACF983247:ACF983248 AMB983247:AMB983248 AVX983247:AVX983248 BFT983247:BFT983248 BPP983247:BPP983248 BZL983247:BZL983248 CJH983247:CJH983248 CTD983247:CTD983248 DCZ983247:DCZ983248 DMV983247:DMV983248 DWR983247:DWR983248 EGN983247:EGN983248 EQJ983247:EQJ983248 FAF983247:FAF983248 FKB983247:FKB983248 FTX983247:FTX983248 GDT983247:GDT983248 GNP983247:GNP983248 GXL983247:GXL983248 HHH983247:HHH983248 HRD983247:HRD983248 IAZ983247:IAZ983248 IKV983247:IKV983248 IUR983247:IUR983248 JEN983247:JEN983248 JOJ983247:JOJ983248 JYF983247:JYF983248 KIB983247:KIB983248 KRX983247:KRX983248 LBT983247:LBT983248 LLP983247:LLP983248 LVL983247:LVL983248 MFH983247:MFH983248 MPD983247:MPD983248 MYZ983247:MYZ983248 NIV983247:NIV983248 NSR983247:NSR983248 OCN983247:OCN983248 OMJ983247:OMJ983248 OWF983247:OWF983248 PGB983247:PGB983248 PPX983247:PPX983248 PZT983247:PZT983248 QJP983247:QJP983248 QTL983247:QTL983248 RDH983247:RDH983248 RND983247:RND983248 RWZ983247:RWZ983248 SGV983247:SGV983248 SQR983247:SQR983248 TAN983247:TAN983248 TKJ983247:TKJ983248 TUF983247:TUF983248 UEB983247:UEB983248 UNX983247:UNX983248 UXT983247:UXT983248 VHP983247:VHP983248 VRL983247:VRL983248 WBH983247:WBH983248 WLD983247:WLD983248 WUZ983247:WUZ983248 E37 E47:E48 E26:E32"/>
    <dataValidation type="list" allowBlank="1" showInputMessage="1" showErrorMessage="1" sqref="D208">
      <formula1>$D$210:$D$220</formula1>
    </dataValidation>
    <dataValidation allowBlank="1" showDropDown="1" showInputMessage="1" showErrorMessage="1" sqref="B303"/>
    <dataValidation type="decimal" errorStyle="warning" allowBlank="1" showInputMessage="1" showErrorMessage="1" errorTitle="Extreme Value" error="Please verify the value is correct, note the units are μH, pF, and MHz." sqref="C294:C295">
      <formula1>0.001</formula1>
      <formula2>1000000</formula2>
    </dataValidation>
    <dataValidation type="decimal" operator="greaterThan" allowBlank="1" showInputMessage="1" showErrorMessage="1" sqref="C299:C301">
      <formula1>0</formula1>
    </dataValidation>
    <dataValidation type="list" allowBlank="1" showInputMessage="1" showErrorMessage="1" sqref="B302">
      <formula1>"Rs,Rp"</formula1>
    </dataValidation>
    <dataValidation type="list" allowBlank="1" showInputMessage="1" showErrorMessage="1" sqref="B296">
      <formula1>"fsensor,L,C"</formula1>
    </dataValidation>
    <dataValidation type="decimal" allowBlank="1" showInputMessage="1" showErrorMessage="1" errorTitle="Invalid" error="The permitted range of values is 0.0001 to 1000. " sqref="D221">
      <formula1>0.0001</formula1>
      <formula2>1000</formula2>
    </dataValidation>
    <dataValidation type="decimal" allowBlank="1" showInputMessage="1" showErrorMessage="1" sqref="D222">
      <formula1>0</formula1>
      <formula2>1000</formula2>
    </dataValidation>
  </dataValidations>
  <hyperlinks>
    <hyperlink ref="E15"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41" r:id="rId5" name="Button 17">
              <controlPr defaultSize="0" print="0" autoFill="0" autoPict="0" macro="[0]!run_FEMM">
                <anchor moveWithCells="1" sizeWithCells="1">
                  <from>
                    <xdr:col>5</xdr:col>
                    <xdr:colOff>342900</xdr:colOff>
                    <xdr:row>247</xdr:row>
                    <xdr:rowOff>106680</xdr:rowOff>
                  </from>
                  <to>
                    <xdr:col>5</xdr:col>
                    <xdr:colOff>2156460</xdr:colOff>
                    <xdr:row>273</xdr:row>
                    <xdr:rowOff>129540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5</xdr:col>
                    <xdr:colOff>358140</xdr:colOff>
                    <xdr:row>274</xdr:row>
                    <xdr:rowOff>60960</xdr:rowOff>
                  </from>
                  <to>
                    <xdr:col>5</xdr:col>
                    <xdr:colOff>2164080</xdr:colOff>
                    <xdr:row>275</xdr:row>
                    <xdr:rowOff>83820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5</xdr:col>
                    <xdr:colOff>350520</xdr:colOff>
                    <xdr:row>275</xdr:row>
                    <xdr:rowOff>106680</xdr:rowOff>
                  </from>
                  <to>
                    <xdr:col>5</xdr:col>
                    <xdr:colOff>1592580</xdr:colOff>
                    <xdr:row>276</xdr:row>
                    <xdr:rowOff>137160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C6:F40"/>
  <sheetViews>
    <sheetView workbookViewId="0">
      <selection activeCell="E28" sqref="E28"/>
    </sheetView>
  </sheetViews>
  <sheetFormatPr baseColWidth="10" defaultColWidth="8.88671875" defaultRowHeight="14.4" x14ac:dyDescent="0.3"/>
  <cols>
    <col min="3" max="3" width="21.21875" customWidth="1"/>
    <col min="5" max="5" width="10.77734375" bestFit="1" customWidth="1"/>
  </cols>
  <sheetData>
    <row r="6" spans="5:6" x14ac:dyDescent="0.3">
      <c r="E6">
        <v>5.7000000000000003E-5</v>
      </c>
      <c r="F6" t="s">
        <v>344</v>
      </c>
    </row>
    <row r="7" spans="5:6" x14ac:dyDescent="0.3">
      <c r="E7">
        <v>100</v>
      </c>
      <c r="F7" t="s">
        <v>346</v>
      </c>
    </row>
    <row r="8" spans="5:6" x14ac:dyDescent="0.3">
      <c r="E8">
        <f>E7*E6</f>
        <v>5.7000000000000002E-3</v>
      </c>
      <c r="F8" t="s">
        <v>345</v>
      </c>
    </row>
    <row r="9" spans="5:6" x14ac:dyDescent="0.3">
      <c r="E9">
        <f>1/E8</f>
        <v>175.43859649122805</v>
      </c>
      <c r="F9" t="s">
        <v>347</v>
      </c>
    </row>
    <row r="17" spans="3:5" x14ac:dyDescent="0.3">
      <c r="C17" t="s">
        <v>343</v>
      </c>
    </row>
    <row r="18" spans="3:5" x14ac:dyDescent="0.3">
      <c r="C18" s="217" t="s">
        <v>97</v>
      </c>
      <c r="D18">
        <v>3.3185564969440384</v>
      </c>
      <c r="E18">
        <v>3.16859</v>
      </c>
    </row>
    <row r="19" spans="3:5" x14ac:dyDescent="0.3">
      <c r="C19" s="217" t="s">
        <v>244</v>
      </c>
      <c r="D19">
        <v>3.3133044907510896</v>
      </c>
    </row>
    <row r="20" spans="3:5" x14ac:dyDescent="0.3">
      <c r="C20" s="217" t="s">
        <v>249</v>
      </c>
      <c r="D20">
        <v>27.159778267581647</v>
      </c>
    </row>
    <row r="21" spans="3:5" ht="15.6" x14ac:dyDescent="0.3">
      <c r="C21" s="124" t="s">
        <v>332</v>
      </c>
      <c r="D21">
        <v>5.8374277000851356</v>
      </c>
      <c r="E21">
        <v>5.9739708461052716</v>
      </c>
    </row>
    <row r="22" spans="3:5" ht="15.6" x14ac:dyDescent="0.3">
      <c r="C22" s="26" t="s">
        <v>341</v>
      </c>
      <c r="D22">
        <v>1E-3</v>
      </c>
    </row>
    <row r="23" spans="3:5" ht="15.6" x14ac:dyDescent="0.3">
      <c r="C23" s="26" t="s">
        <v>342</v>
      </c>
      <c r="D23">
        <v>5.8381898801003826</v>
      </c>
    </row>
    <row r="24" spans="3:5" ht="15.6" x14ac:dyDescent="0.3">
      <c r="C24" s="26" t="s">
        <v>335</v>
      </c>
      <c r="D24">
        <v>130.56778677296495</v>
      </c>
    </row>
    <row r="30" spans="3:5" x14ac:dyDescent="0.3">
      <c r="C30" s="226">
        <v>16000000</v>
      </c>
    </row>
    <row r="31" spans="3:5" x14ac:dyDescent="0.3">
      <c r="C31" s="226">
        <v>2000</v>
      </c>
    </row>
    <row r="32" spans="3:5" x14ac:dyDescent="0.3">
      <c r="C32" s="226">
        <f>C30/C31</f>
        <v>8000</v>
      </c>
    </row>
    <row r="33" spans="3:3" x14ac:dyDescent="0.3">
      <c r="C33" s="227">
        <f>C32/16</f>
        <v>500</v>
      </c>
    </row>
    <row r="34" spans="3:3" x14ac:dyDescent="0.3">
      <c r="C34" t="str">
        <f>DEC2HEX(C33)</f>
        <v>1F4</v>
      </c>
    </row>
    <row r="37" spans="3:3" x14ac:dyDescent="0.3">
      <c r="C37">
        <v>400</v>
      </c>
    </row>
    <row r="38" spans="3:3" x14ac:dyDescent="0.3">
      <c r="C38">
        <f>HEX2DEC("400")</f>
        <v>1024</v>
      </c>
    </row>
    <row r="39" spans="3:3" x14ac:dyDescent="0.3">
      <c r="C39">
        <f>C38*16</f>
        <v>16384</v>
      </c>
    </row>
    <row r="40" spans="3:3" x14ac:dyDescent="0.3">
      <c r="C40">
        <f>16000000/C39</f>
        <v>976.5625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Spiral_Inductor_Designer</vt:lpstr>
      <vt:lpstr>Sheet1</vt:lpstr>
    </vt:vector>
  </TitlesOfParts>
  <Company>Texas Instruments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Oberhauser</dc:creator>
  <cp:lastModifiedBy>Simon</cp:lastModifiedBy>
  <dcterms:created xsi:type="dcterms:W3CDTF">2018-05-02T17:07:44Z</dcterms:created>
  <dcterms:modified xsi:type="dcterms:W3CDTF">2020-03-18T17:11:22Z</dcterms:modified>
</cp:coreProperties>
</file>