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embeddings/oleObject3.bin" ContentType="application/vnd.openxmlformats-officedocument.oleObject"/>
  <Override PartName="/xl/comments1.xml" ContentType="application/vnd.openxmlformats-officedocument.spreadsheetml.comment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embeddings/oleObject4.bin" ContentType="application/vnd.openxmlformats-officedocument.oleObject"/>
  <Override PartName="/xl/ctrlProps/ctrlProp9.xml" ContentType="application/vnd.ms-excel.controlproperties+xml"/>
  <Override PartName="/xl/ctrlProps/ctrlProp10.xml" ContentType="application/vnd.ms-excel.controlproperties+xml"/>
  <Override PartName="/xl/comments2.xml" ContentType="application/vnd.openxmlformats-officedocument.spreadsheetml.comments+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embeddings/oleObject5.bin" ContentType="application/vnd.openxmlformats-officedocument.oleObject"/>
  <Override PartName="/xl/drawings/drawing11.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comments3.xml" ContentType="application/vnd.openxmlformats-officedocument.spreadsheetml.comments+xml"/>
  <Override PartName="/xl/comments4.xml" ContentType="application/vnd.openxmlformats-officedocument.spreadsheetml.comments+xml"/>
  <Override PartName="/xl/drawings/drawing12.xml" ContentType="application/vnd.openxmlformats-officedocument.drawing+xml"/>
  <Override PartName="/xl/comments5.xml" ContentType="application/vnd.openxmlformats-officedocument.spreadsheetml.comments+xml"/>
  <Override PartName="/xl/drawings/drawing13.xml" ContentType="application/vnd.openxmlformats-officedocument.drawing+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4515\Desktop\"/>
    </mc:Choice>
  </mc:AlternateContent>
  <bookViews>
    <workbookView xWindow="0" yWindow="0" windowWidth="19170" windowHeight="6630" tabRatio="888" firstSheet="1" activeTab="5"/>
  </bookViews>
  <sheets>
    <sheet name="Rev History" sheetId="28" r:id="rId1"/>
    <sheet name="Contents" sheetId="11" r:id="rId2"/>
    <sheet name="Spiral_Inductor_Designer" sheetId="27" r:id="rId3"/>
    <sheet name="LDC2114_Config_tool" sheetId="34" r:id="rId4"/>
    <sheet name="LDC0851_calc" sheetId="26" r:id="rId5"/>
    <sheet name="LDC131x-LDC161x_Config" sheetId="35" r:id="rId6"/>
    <sheet name="Encoder_Calc_Tool" sheetId="37" r:id="rId7"/>
    <sheet name="Dial_Calc_Tool" sheetId="39" r:id="rId8"/>
    <sheet name="LDC1101_Calc" sheetId="33" r:id="rId9"/>
    <sheet name="LDC1000_Tools" sheetId="36" r:id="rId10"/>
    <sheet name="SkinDepth" sheetId="14" r:id="rId11"/>
    <sheet name="Metal_Deflection" sheetId="31" r:id="rId12"/>
    <sheet name="Spring Sensor" sheetId="9" r:id="rId13"/>
  </sheets>
  <definedNames>
    <definedName name="abr_units" localSheetId="11">Metal_Deflection!$F$9</definedName>
    <definedName name="ac" localSheetId="7">#REF!</definedName>
    <definedName name="ac" localSheetId="9">#REF!</definedName>
    <definedName name="ac" localSheetId="8">#REF!</definedName>
    <definedName name="ac" localSheetId="5">#REF!</definedName>
    <definedName name="ac" localSheetId="3">#REF!</definedName>
    <definedName name="ac" localSheetId="11">Metal_Deflection!$E$25</definedName>
    <definedName name="ac">#REF!</definedName>
    <definedName name="alphac" localSheetId="7">#REF!</definedName>
    <definedName name="alphac" localSheetId="9">#REF!</definedName>
    <definedName name="alphac" localSheetId="8">#REF!</definedName>
    <definedName name="alphac" localSheetId="5">#REF!</definedName>
    <definedName name="alphac" localSheetId="3">#REF!</definedName>
    <definedName name="alphac" localSheetId="11">Metal_Deflection!#REF!</definedName>
    <definedName name="alphac">#REF!</definedName>
    <definedName name="alphap" localSheetId="11">Metal_Deflection!$E$35</definedName>
    <definedName name="alphar" localSheetId="7">#REF!</definedName>
    <definedName name="alphar" localSheetId="9">#REF!</definedName>
    <definedName name="alphar" localSheetId="8">#REF!</definedName>
    <definedName name="alphar" localSheetId="5">#REF!</definedName>
    <definedName name="alphar" localSheetId="3">#REF!</definedName>
    <definedName name="alphar" localSheetId="11">Metal_Deflection!#REF!</definedName>
    <definedName name="alphar">#REF!</definedName>
    <definedName name="alphau" localSheetId="11">Metal_Deflection!$E$34</definedName>
    <definedName name="ar" localSheetId="7">#REF!</definedName>
    <definedName name="ar" localSheetId="9">#REF!</definedName>
    <definedName name="ar" localSheetId="8">#REF!</definedName>
    <definedName name="ar" localSheetId="5">#REF!</definedName>
    <definedName name="ar" localSheetId="3">#REF!</definedName>
    <definedName name="ar" localSheetId="11">Metal_Deflection!$E$26</definedName>
    <definedName name="ar">#REF!</definedName>
    <definedName name="area" localSheetId="7">#REF!</definedName>
    <definedName name="area" localSheetId="9">#REF!</definedName>
    <definedName name="area" localSheetId="8">#REF!</definedName>
    <definedName name="area" localSheetId="5">#REF!</definedName>
    <definedName name="area" localSheetId="3">#REF!</definedName>
    <definedName name="area" localSheetId="11">Metal_Deflection!$E$32</definedName>
    <definedName name="area">#REF!</definedName>
    <definedName name="area_c" localSheetId="11">Metal_Deflection!$E$30</definedName>
    <definedName name="area_r" localSheetId="11">Metal_Deflection!$E$31</definedName>
    <definedName name="boa" localSheetId="7">#REF!</definedName>
    <definedName name="boa" localSheetId="9">#REF!</definedName>
    <definedName name="boa" localSheetId="8">#REF!</definedName>
    <definedName name="boa" localSheetId="5">#REF!</definedName>
    <definedName name="boa" localSheetId="3">#REF!</definedName>
    <definedName name="boa" localSheetId="11">Metal_Deflection!$E$28</definedName>
    <definedName name="boa">#REF!</definedName>
    <definedName name="br" localSheetId="7">#REF!</definedName>
    <definedName name="br" localSheetId="9">#REF!</definedName>
    <definedName name="br" localSheetId="8">#REF!</definedName>
    <definedName name="br" localSheetId="5">#REF!</definedName>
    <definedName name="br" localSheetId="3">#REF!</definedName>
    <definedName name="br" localSheetId="11">Metal_Deflection!$E$27</definedName>
    <definedName name="br">#REF!</definedName>
    <definedName name="button_materials" localSheetId="7">#REF!</definedName>
    <definedName name="button_materials" localSheetId="9">#REF!</definedName>
    <definedName name="button_materials" localSheetId="8">#REF!</definedName>
    <definedName name="button_materials" localSheetId="5">#REF!</definedName>
    <definedName name="button_materials" localSheetId="3">#REF!</definedName>
    <definedName name="button_materials">#REF!</definedName>
    <definedName name="button_shapes" localSheetId="7">#REF!</definedName>
    <definedName name="button_shapes" localSheetId="9">#REF!</definedName>
    <definedName name="button_shapes" localSheetId="8">#REF!</definedName>
    <definedName name="button_shapes" localSheetId="5">#REF!</definedName>
    <definedName name="button_shapes" localSheetId="3">#REF!</definedName>
    <definedName name="button_shapes">#REF!</definedName>
    <definedName name="CMAX" localSheetId="7">#REF!</definedName>
    <definedName name="CMAX" localSheetId="9">#REF!</definedName>
    <definedName name="CMAX" localSheetId="8">#REF!</definedName>
    <definedName name="CMAX" localSheetId="5">#REF!</definedName>
    <definedName name="CMAX" localSheetId="3">#REF!</definedName>
    <definedName name="CMAX">#REF!</definedName>
    <definedName name="CMIN" localSheetId="7">#REF!</definedName>
    <definedName name="CMIN" localSheetId="9">#REF!</definedName>
    <definedName name="CMIN" localSheetId="8">#REF!</definedName>
    <definedName name="CMIN" localSheetId="5">#REF!</definedName>
    <definedName name="CMIN" localSheetId="3">#REF!</definedName>
    <definedName name="CMIN">#REF!</definedName>
    <definedName name="D" localSheetId="11">Metal_Deflection!$E$33</definedName>
    <definedName name="Dc_units" localSheetId="11">Metal_Deflection!$F$8</definedName>
    <definedName name="E" localSheetId="7">#REF!</definedName>
    <definedName name="E" localSheetId="9">#REF!</definedName>
    <definedName name="E" localSheetId="8">#REF!</definedName>
    <definedName name="E" localSheetId="5">#REF!</definedName>
    <definedName name="E" localSheetId="3">#REF!</definedName>
    <definedName name="E" localSheetId="11">Metal_Deflection!$E$36</definedName>
    <definedName name="E">#REF!</definedName>
    <definedName name="F" localSheetId="11">Metal_Deflection!$E$37</definedName>
    <definedName name="force" localSheetId="11">Metal_Deflection!$E$21</definedName>
    <definedName name="force_functions" localSheetId="7">#REF!</definedName>
    <definedName name="force_functions" localSheetId="9">#REF!</definedName>
    <definedName name="force_functions" localSheetId="8">#REF!</definedName>
    <definedName name="force_functions" localSheetId="5">#REF!</definedName>
    <definedName name="force_functions" localSheetId="3">#REF!</definedName>
    <definedName name="force_functions" localSheetId="11">Metal_Deflection!#REF!</definedName>
    <definedName name="force_functions">#REF!</definedName>
    <definedName name="h" localSheetId="7">#REF!</definedName>
    <definedName name="h" localSheetId="9">#REF!</definedName>
    <definedName name="h" localSheetId="8">#REF!</definedName>
    <definedName name="h" localSheetId="5">#REF!</definedName>
    <definedName name="h" localSheetId="3">#REF!</definedName>
    <definedName name="h" localSheetId="11">Metal_Deflection!$E$29</definedName>
    <definedName name="h">#REF!</definedName>
    <definedName name="h_units" localSheetId="11">Metal_Deflection!$F$11</definedName>
    <definedName name="length_units" localSheetId="11">Metal_Deflection!#REF!</definedName>
    <definedName name="mat" localSheetId="11">Metal_Deflection!$E$12</definedName>
    <definedName name="Mega" localSheetId="7">#REF!</definedName>
    <definedName name="Mega" localSheetId="9">#REF!</definedName>
    <definedName name="Mega" localSheetId="8">LDC1101_Calc!$C$51</definedName>
    <definedName name="Mega" localSheetId="5">#REF!</definedName>
    <definedName name="Mega" localSheetId="3">#REF!</definedName>
    <definedName name="Mega" localSheetId="2">#REF!</definedName>
    <definedName name="Mega">#REF!</definedName>
    <definedName name="micro" localSheetId="7">#REF!</definedName>
    <definedName name="micro" localSheetId="9">#REF!</definedName>
    <definedName name="micro" localSheetId="8">LDC1101_Calc!$C$50</definedName>
    <definedName name="micro" localSheetId="5">#REF!</definedName>
    <definedName name="micro" localSheetId="3">#REF!</definedName>
    <definedName name="micro">#REF!</definedName>
    <definedName name="N" localSheetId="7">#REF!</definedName>
    <definedName name="N" localSheetId="9">#REF!</definedName>
    <definedName name="N" localSheetId="8">#REF!</definedName>
    <definedName name="N" localSheetId="5">#REF!</definedName>
    <definedName name="N" localSheetId="3">#REF!</definedName>
    <definedName name="N">#REF!</definedName>
    <definedName name="nu" localSheetId="7">#REF!</definedName>
    <definedName name="nu" localSheetId="9">#REF!</definedName>
    <definedName name="nu" localSheetId="8">#REF!</definedName>
    <definedName name="nu" localSheetId="5">#REF!</definedName>
    <definedName name="nu" localSheetId="3">#REF!</definedName>
    <definedName name="nu" localSheetId="11">Metal_Deflection!$E$14</definedName>
    <definedName name="nu">#REF!</definedName>
    <definedName name="pico" localSheetId="7">#REF!</definedName>
    <definedName name="pico" localSheetId="9">#REF!</definedName>
    <definedName name="pico" localSheetId="8">LDC1101_Calc!$C$49</definedName>
    <definedName name="pico" localSheetId="5">#REF!</definedName>
    <definedName name="pico" localSheetId="3">#REF!</definedName>
    <definedName name="pico" localSheetId="2">#REF!</definedName>
    <definedName name="pico">#REF!</definedName>
    <definedName name="q" localSheetId="11">Metal_Deflection!$E$38</definedName>
    <definedName name="shape" localSheetId="11">Metal_Deflection!$E$7</definedName>
    <definedName name="solver_adj" localSheetId="7" hidden="1">Dial_Calc_Tool!$U$88</definedName>
    <definedName name="solver_adj" localSheetId="4" hidden="1">LDC0851_calc!$C$25</definedName>
    <definedName name="solver_adj" localSheetId="2" hidden="1">Spiral_Inductor_Designer!$D$24</definedName>
    <definedName name="solver_cvg" localSheetId="7" hidden="1">0.0001</definedName>
    <definedName name="solver_cvg" localSheetId="4" hidden="1">0.0001</definedName>
    <definedName name="solver_cvg" localSheetId="2" hidden="1">0.0001</definedName>
    <definedName name="solver_drv" localSheetId="7" hidden="1">1</definedName>
    <definedName name="solver_drv" localSheetId="4" hidden="1">1</definedName>
    <definedName name="solver_drv" localSheetId="2" hidden="1">1</definedName>
    <definedName name="solver_eng" localSheetId="7" hidden="1">1</definedName>
    <definedName name="solver_eng" localSheetId="4" hidden="1">1</definedName>
    <definedName name="solver_eng" localSheetId="2" hidden="1">1</definedName>
    <definedName name="solver_est" localSheetId="7" hidden="1">1</definedName>
    <definedName name="solver_est" localSheetId="4" hidden="1">1</definedName>
    <definedName name="solver_est" localSheetId="2" hidden="1">1</definedName>
    <definedName name="solver_itr" localSheetId="7" hidden="1">2147483647</definedName>
    <definedName name="solver_itr" localSheetId="4" hidden="1">2147483647</definedName>
    <definedName name="solver_itr" localSheetId="2" hidden="1">2147483647</definedName>
    <definedName name="solver_mip" localSheetId="7" hidden="1">2147483647</definedName>
    <definedName name="solver_mip" localSheetId="4" hidden="1">2147483647</definedName>
    <definedName name="solver_mip" localSheetId="2" hidden="1">2147483647</definedName>
    <definedName name="solver_mni" localSheetId="7" hidden="1">30</definedName>
    <definedName name="solver_mni" localSheetId="4" hidden="1">30</definedName>
    <definedName name="solver_mni" localSheetId="2" hidden="1">30</definedName>
    <definedName name="solver_mrt" localSheetId="7" hidden="1">0.075</definedName>
    <definedName name="solver_mrt" localSheetId="4" hidden="1">0.075</definedName>
    <definedName name="solver_mrt" localSheetId="2" hidden="1">0.075</definedName>
    <definedName name="solver_msl" localSheetId="7" hidden="1">2</definedName>
    <definedName name="solver_msl" localSheetId="4" hidden="1">2</definedName>
    <definedName name="solver_msl" localSheetId="2" hidden="1">2</definedName>
    <definedName name="solver_neg" localSheetId="7" hidden="1">1</definedName>
    <definedName name="solver_neg" localSheetId="4" hidden="1">1</definedName>
    <definedName name="solver_neg" localSheetId="2" hidden="1">1</definedName>
    <definedName name="solver_nod" localSheetId="7" hidden="1">2147483647</definedName>
    <definedName name="solver_nod" localSheetId="4" hidden="1">2147483647</definedName>
    <definedName name="solver_nod" localSheetId="2" hidden="1">2147483647</definedName>
    <definedName name="solver_num" localSheetId="7" hidden="1">0</definedName>
    <definedName name="solver_num" localSheetId="4" hidden="1">0</definedName>
    <definedName name="solver_num" localSheetId="2" hidden="1">0</definedName>
    <definedName name="solver_nwt" localSheetId="7" hidden="1">1</definedName>
    <definedName name="solver_nwt" localSheetId="4" hidden="1">1</definedName>
    <definedName name="solver_nwt" localSheetId="2" hidden="1">1</definedName>
    <definedName name="solver_opt" localSheetId="7" hidden="1">Dial_Calc_Tool!$S$85</definedName>
    <definedName name="solver_opt" localSheetId="4" hidden="1">LDC0851_calc!$C$30</definedName>
    <definedName name="solver_opt" localSheetId="2" hidden="1">Spiral_Inductor_Designer!$D$204</definedName>
    <definedName name="solver_pre" localSheetId="7" hidden="1">0.000001</definedName>
    <definedName name="solver_pre" localSheetId="4" hidden="1">0.000001</definedName>
    <definedName name="solver_pre" localSheetId="2" hidden="1">0.000001</definedName>
    <definedName name="solver_rbv" localSheetId="7" hidden="1">1</definedName>
    <definedName name="solver_rbv" localSheetId="4" hidden="1">1</definedName>
    <definedName name="solver_rbv" localSheetId="2" hidden="1">1</definedName>
    <definedName name="solver_rlx" localSheetId="7" hidden="1">2</definedName>
    <definedName name="solver_rlx" localSheetId="4" hidden="1">2</definedName>
    <definedName name="solver_rlx" localSheetId="2" hidden="1">2</definedName>
    <definedName name="solver_rsd" localSheetId="7" hidden="1">0</definedName>
    <definedName name="solver_rsd" localSheetId="4" hidden="1">0</definedName>
    <definedName name="solver_rsd" localSheetId="2" hidden="1">0</definedName>
    <definedName name="solver_scl" localSheetId="7" hidden="1">1</definedName>
    <definedName name="solver_scl" localSheetId="4" hidden="1">1</definedName>
    <definedName name="solver_scl" localSheetId="2" hidden="1">1</definedName>
    <definedName name="solver_sho" localSheetId="7" hidden="1">2</definedName>
    <definedName name="solver_sho" localSheetId="4" hidden="1">2</definedName>
    <definedName name="solver_sho" localSheetId="2" hidden="1">2</definedName>
    <definedName name="solver_ssz" localSheetId="7" hidden="1">100</definedName>
    <definedName name="solver_ssz" localSheetId="4" hidden="1">100</definedName>
    <definedName name="solver_ssz" localSheetId="2" hidden="1">100</definedName>
    <definedName name="solver_tim" localSheetId="7" hidden="1">2147483647</definedName>
    <definedName name="solver_tim" localSheetId="4" hidden="1">2147483647</definedName>
    <definedName name="solver_tim" localSheetId="2" hidden="1">2147483647</definedName>
    <definedName name="solver_tol" localSheetId="7" hidden="1">0.01</definedName>
    <definedName name="solver_tol" localSheetId="4" hidden="1">0.01</definedName>
    <definedName name="solver_tol" localSheetId="2" hidden="1">0.01</definedName>
    <definedName name="solver_typ" localSheetId="7" hidden="1">2</definedName>
    <definedName name="solver_typ" localSheetId="4" hidden="1">3</definedName>
    <definedName name="solver_typ" localSheetId="2" hidden="1">1</definedName>
    <definedName name="solver_val" localSheetId="7" hidden="1">0</definedName>
    <definedName name="solver_val" localSheetId="4" hidden="1">2.09</definedName>
    <definedName name="solver_val" localSheetId="2" hidden="1">0</definedName>
    <definedName name="solver_ver" localSheetId="7" hidden="1">3</definedName>
    <definedName name="solver_ver" localSheetId="4" hidden="1">3</definedName>
    <definedName name="solver_ver" localSheetId="2" hidden="1">3</definedName>
    <definedName name="wpkcp" localSheetId="11">Metal_Deflection!$E$40</definedName>
    <definedName name="wpkcu" localSheetId="11">Metal_Deflection!$E$39</definedName>
    <definedName name="wpkrp" localSheetId="11">Metal_Deflection!$E$42</definedName>
    <definedName name="wpkru" localSheetId="11">Metal_Deflection!$E$41</definedName>
  </definedNames>
  <calcPr calcId="152511"/>
</workbook>
</file>

<file path=xl/calcChain.xml><?xml version="1.0" encoding="utf-8"?>
<calcChain xmlns="http://schemas.openxmlformats.org/spreadsheetml/2006/main">
  <c r="D75" i="34" l="1"/>
  <c r="D60" i="34"/>
  <c r="D58" i="34"/>
  <c r="D59" i="34" s="1"/>
  <c r="D85" i="27" l="1"/>
  <c r="D81" i="27" s="1"/>
  <c r="D86" i="27"/>
  <c r="D80" i="27" s="1"/>
  <c r="D87" i="27"/>
  <c r="D79" i="27" s="1"/>
  <c r="D88" i="27"/>
  <c r="D89" i="27"/>
  <c r="D77" i="27" s="1"/>
  <c r="D90" i="27"/>
  <c r="D78" i="27"/>
  <c r="D64" i="27"/>
  <c r="D65" i="27"/>
  <c r="D66" i="27"/>
  <c r="D67" i="27"/>
  <c r="D68" i="27"/>
  <c r="D69" i="27"/>
  <c r="D71" i="27"/>
  <c r="D63" i="27"/>
  <c r="D84" i="27" s="1"/>
  <c r="D76" i="27" l="1"/>
  <c r="D38" i="34"/>
  <c r="D42" i="34" s="1"/>
  <c r="D41" i="34" l="1"/>
  <c r="J38" i="34"/>
  <c r="H38" i="34"/>
  <c r="H41" i="34" s="1"/>
  <c r="F38" i="34"/>
  <c r="D40" i="34"/>
  <c r="D73" i="34"/>
  <c r="D69" i="34"/>
  <c r="D71" i="34"/>
  <c r="D70" i="34"/>
  <c r="D72" i="34"/>
  <c r="D68" i="34"/>
  <c r="D66" i="34"/>
  <c r="C158" i="39"/>
  <c r="N157" i="39"/>
  <c r="E157" i="39"/>
  <c r="J157" i="39" s="1"/>
  <c r="D157" i="39"/>
  <c r="M157" i="39" s="1"/>
  <c r="C157" i="39"/>
  <c r="C150" i="39"/>
  <c r="D148" i="39"/>
  <c r="D147" i="39"/>
  <c r="D146" i="39"/>
  <c r="N146" i="39" s="1"/>
  <c r="D145" i="39"/>
  <c r="C145" i="39"/>
  <c r="C146" i="39" s="1"/>
  <c r="C147" i="39" s="1"/>
  <c r="C148" i="39" s="1"/>
  <c r="C149" i="39" s="1"/>
  <c r="D149" i="39" s="1"/>
  <c r="N144" i="39"/>
  <c r="D144" i="39"/>
  <c r="M143" i="39"/>
  <c r="D143" i="39"/>
  <c r="D142" i="39"/>
  <c r="U141" i="39"/>
  <c r="N143" i="39" s="1"/>
  <c r="N141" i="39"/>
  <c r="C141" i="39"/>
  <c r="D141" i="39" s="1"/>
  <c r="C137" i="39"/>
  <c r="U91" i="39"/>
  <c r="N90" i="39"/>
  <c r="G90" i="39"/>
  <c r="K90" i="39" s="1"/>
  <c r="Q90" i="39" s="1"/>
  <c r="D90" i="39"/>
  <c r="M90" i="39" s="1"/>
  <c r="C90" i="39"/>
  <c r="C91" i="39" s="1"/>
  <c r="D89" i="39"/>
  <c r="N89" i="39" s="1"/>
  <c r="C89" i="39"/>
  <c r="N88" i="39"/>
  <c r="G88" i="39"/>
  <c r="K88" i="39" s="1"/>
  <c r="Q88" i="39" s="1"/>
  <c r="D88" i="39"/>
  <c r="M88" i="39" s="1"/>
  <c r="M87" i="39"/>
  <c r="J87" i="39"/>
  <c r="P87" i="39" s="1"/>
  <c r="E87" i="39"/>
  <c r="D87" i="39"/>
  <c r="N87" i="39" s="1"/>
  <c r="D86" i="39"/>
  <c r="N86" i="39" s="1"/>
  <c r="U85" i="39"/>
  <c r="C85" i="39"/>
  <c r="D85" i="39" s="1"/>
  <c r="C77" i="39"/>
  <c r="F27" i="39"/>
  <c r="C31" i="39" s="1"/>
  <c r="D27" i="39"/>
  <c r="C30" i="39" s="1"/>
  <c r="C17" i="39"/>
  <c r="D14" i="39"/>
  <c r="C14" i="39"/>
  <c r="D13" i="39"/>
  <c r="C13" i="39"/>
  <c r="D12" i="39"/>
  <c r="C12" i="39"/>
  <c r="D11" i="39"/>
  <c r="C11" i="39"/>
  <c r="J42" i="34" l="1"/>
  <c r="J41" i="34"/>
  <c r="H42" i="34"/>
  <c r="F41" i="34"/>
  <c r="F42" i="34"/>
  <c r="J40" i="34"/>
  <c r="F40" i="34"/>
  <c r="H40" i="34"/>
  <c r="C18" i="39"/>
  <c r="E149" i="39" s="1"/>
  <c r="J149" i="39" s="1"/>
  <c r="P149" i="39" s="1"/>
  <c r="N85" i="39"/>
  <c r="G85" i="39"/>
  <c r="K85" i="39" s="1"/>
  <c r="Q85" i="39" s="1"/>
  <c r="M85" i="39"/>
  <c r="E85" i="39"/>
  <c r="J85" i="39" s="1"/>
  <c r="P85" i="39" s="1"/>
  <c r="C92" i="39"/>
  <c r="D91" i="39"/>
  <c r="M149" i="39"/>
  <c r="N149" i="39"/>
  <c r="C22" i="39"/>
  <c r="C49" i="39" s="1"/>
  <c r="M142" i="39"/>
  <c r="E142" i="39"/>
  <c r="J142" i="39" s="1"/>
  <c r="P142" i="39" s="1"/>
  <c r="M145" i="39"/>
  <c r="E145" i="39"/>
  <c r="J145" i="39" s="1"/>
  <c r="P145" i="39" s="1"/>
  <c r="M147" i="39"/>
  <c r="E147" i="39"/>
  <c r="J147" i="39" s="1"/>
  <c r="P147" i="39" s="1"/>
  <c r="C151" i="39"/>
  <c r="D150" i="39"/>
  <c r="P157" i="39"/>
  <c r="U157" i="39"/>
  <c r="D17" i="39"/>
  <c r="D21" i="39" s="1"/>
  <c r="D48" i="39" s="1"/>
  <c r="E86" i="39"/>
  <c r="J86" i="39" s="1"/>
  <c r="P86" i="39" s="1"/>
  <c r="M86" i="39"/>
  <c r="E89" i="39"/>
  <c r="J89" i="39" s="1"/>
  <c r="P89" i="39" s="1"/>
  <c r="M89" i="39"/>
  <c r="M141" i="39"/>
  <c r="M144" i="39"/>
  <c r="D158" i="39"/>
  <c r="C159" i="39"/>
  <c r="G86" i="39"/>
  <c r="K86" i="39" s="1"/>
  <c r="Q86" i="39" s="1"/>
  <c r="G89" i="39"/>
  <c r="K89" i="39" s="1"/>
  <c r="Q89" i="39" s="1"/>
  <c r="E141" i="39"/>
  <c r="J141" i="39" s="1"/>
  <c r="P141" i="39" s="1"/>
  <c r="M146" i="39"/>
  <c r="E146" i="39"/>
  <c r="J146" i="39" s="1"/>
  <c r="P146" i="39" s="1"/>
  <c r="M148" i="39"/>
  <c r="N148" i="39"/>
  <c r="D18" i="39"/>
  <c r="G144" i="39" s="1"/>
  <c r="K144" i="39" s="1"/>
  <c r="Q144" i="39" s="1"/>
  <c r="G87" i="39"/>
  <c r="K87" i="39" s="1"/>
  <c r="Q87" i="39" s="1"/>
  <c r="E88" i="39"/>
  <c r="J88" i="39" s="1"/>
  <c r="P88" i="39" s="1"/>
  <c r="E90" i="39"/>
  <c r="J90" i="39" s="1"/>
  <c r="P90" i="39" s="1"/>
  <c r="N142" i="39"/>
  <c r="N145" i="39"/>
  <c r="N147" i="39"/>
  <c r="G157" i="39"/>
  <c r="K157" i="39" s="1"/>
  <c r="G145" i="39" l="1"/>
  <c r="K145" i="39" s="1"/>
  <c r="Q145" i="39" s="1"/>
  <c r="G143" i="39"/>
  <c r="K143" i="39" s="1"/>
  <c r="Q143" i="39" s="1"/>
  <c r="D24" i="39"/>
  <c r="D51" i="39" s="1"/>
  <c r="C23" i="39"/>
  <c r="C50" i="39" s="1"/>
  <c r="G146" i="39"/>
  <c r="K146" i="39" s="1"/>
  <c r="Q146" i="39" s="1"/>
  <c r="E148" i="39"/>
  <c r="J148" i="39" s="1"/>
  <c r="P148" i="39" s="1"/>
  <c r="C160" i="39"/>
  <c r="D159" i="39"/>
  <c r="E144" i="39"/>
  <c r="J144" i="39" s="1"/>
  <c r="P144" i="39" s="1"/>
  <c r="G142" i="39"/>
  <c r="K142" i="39" s="1"/>
  <c r="Q142" i="39" s="1"/>
  <c r="C34" i="39"/>
  <c r="C39" i="39" s="1"/>
  <c r="D22" i="39"/>
  <c r="D49" i="39" s="1"/>
  <c r="C54" i="39" s="1"/>
  <c r="C59" i="39" s="1"/>
  <c r="C21" i="39"/>
  <c r="C48" i="39" s="1"/>
  <c r="C53" i="39" s="1"/>
  <c r="C57" i="39" s="1"/>
  <c r="V157" i="39"/>
  <c r="W157" i="39" s="1"/>
  <c r="X157" i="39" s="1"/>
  <c r="Q157" i="39"/>
  <c r="S157" i="39"/>
  <c r="N158" i="39"/>
  <c r="E158" i="39"/>
  <c r="J158" i="39" s="1"/>
  <c r="M158" i="39"/>
  <c r="G158" i="39"/>
  <c r="K158" i="39" s="1"/>
  <c r="M150" i="39"/>
  <c r="E150" i="39"/>
  <c r="J150" i="39" s="1"/>
  <c r="P150" i="39" s="1"/>
  <c r="N150" i="39"/>
  <c r="G150" i="39"/>
  <c r="K150" i="39" s="1"/>
  <c r="Q150" i="39" s="1"/>
  <c r="C35" i="39"/>
  <c r="C40" i="39" s="1"/>
  <c r="G149" i="39"/>
  <c r="K149" i="39" s="1"/>
  <c r="Q149" i="39" s="1"/>
  <c r="D23" i="39"/>
  <c r="D50" i="39" s="1"/>
  <c r="N91" i="39"/>
  <c r="G91" i="39"/>
  <c r="K91" i="39" s="1"/>
  <c r="M91" i="39"/>
  <c r="E91" i="39"/>
  <c r="J91" i="39" s="1"/>
  <c r="G148" i="39"/>
  <c r="K148" i="39" s="1"/>
  <c r="Q148" i="39" s="1"/>
  <c r="E143" i="39"/>
  <c r="J143" i="39" s="1"/>
  <c r="P143" i="39" s="1"/>
  <c r="G147" i="39"/>
  <c r="K147" i="39" s="1"/>
  <c r="Q147" i="39" s="1"/>
  <c r="C152" i="39"/>
  <c r="D152" i="39" s="1"/>
  <c r="D151" i="39"/>
  <c r="C24" i="39"/>
  <c r="C51" i="39" s="1"/>
  <c r="C56" i="39" s="1"/>
  <c r="C60" i="39" s="1"/>
  <c r="D92" i="39"/>
  <c r="C93" i="39"/>
  <c r="G141" i="39"/>
  <c r="K141" i="39" s="1"/>
  <c r="Q141" i="39" s="1"/>
  <c r="M151" i="39" l="1"/>
  <c r="E151" i="39"/>
  <c r="J151" i="39" s="1"/>
  <c r="G151" i="39"/>
  <c r="K151" i="39" s="1"/>
  <c r="Q151" i="39" s="1"/>
  <c r="N151" i="39"/>
  <c r="Q158" i="39"/>
  <c r="V158" i="39"/>
  <c r="S158" i="39"/>
  <c r="C94" i="39"/>
  <c r="D93" i="39"/>
  <c r="M152" i="39"/>
  <c r="E152" i="39"/>
  <c r="J152" i="39" s="1"/>
  <c r="P152" i="39" s="1"/>
  <c r="N152" i="39"/>
  <c r="G152" i="39"/>
  <c r="K152" i="39" s="1"/>
  <c r="Q152" i="39" s="1"/>
  <c r="P91" i="39"/>
  <c r="M159" i="39"/>
  <c r="N159" i="39"/>
  <c r="E159" i="39"/>
  <c r="J159" i="39" s="1"/>
  <c r="G159" i="39"/>
  <c r="K159" i="39" s="1"/>
  <c r="C55" i="39"/>
  <c r="C58" i="39" s="1"/>
  <c r="C61" i="39" s="1"/>
  <c r="E92" i="39"/>
  <c r="J92" i="39" s="1"/>
  <c r="N92" i="39"/>
  <c r="G92" i="39"/>
  <c r="K92" i="39" s="1"/>
  <c r="M92" i="39"/>
  <c r="U158" i="39"/>
  <c r="P158" i="39"/>
  <c r="C62" i="39"/>
  <c r="C42" i="39"/>
  <c r="C43" i="39"/>
  <c r="C44" i="39" s="1"/>
  <c r="C161" i="39"/>
  <c r="D160" i="39"/>
  <c r="Q91" i="39"/>
  <c r="N160" i="39" l="1"/>
  <c r="G160" i="39"/>
  <c r="K160" i="39" s="1"/>
  <c r="E160" i="39"/>
  <c r="J160" i="39" s="1"/>
  <c r="M160" i="39"/>
  <c r="C63" i="39"/>
  <c r="C65" i="39" s="1"/>
  <c r="Q92" i="39"/>
  <c r="S159" i="39"/>
  <c r="V159" i="39"/>
  <c r="Q159" i="39"/>
  <c r="P151" i="39"/>
  <c r="S141" i="39" s="1"/>
  <c r="C162" i="39"/>
  <c r="D161" i="39"/>
  <c r="U159" i="39"/>
  <c r="P159" i="39"/>
  <c r="N93" i="39"/>
  <c r="G93" i="39"/>
  <c r="K93" i="39" s="1"/>
  <c r="M93" i="39"/>
  <c r="E93" i="39"/>
  <c r="J93" i="39" s="1"/>
  <c r="W158" i="39"/>
  <c r="X158" i="39" s="1"/>
  <c r="P92" i="39"/>
  <c r="D94" i="39"/>
  <c r="C95" i="39"/>
  <c r="C96" i="39" l="1"/>
  <c r="D96" i="39" s="1"/>
  <c r="D95" i="39"/>
  <c r="D162" i="39"/>
  <c r="C163" i="39"/>
  <c r="M94" i="39"/>
  <c r="N94" i="39"/>
  <c r="G94" i="39"/>
  <c r="K94" i="39" s="1"/>
  <c r="Q94" i="39" s="1"/>
  <c r="E94" i="39"/>
  <c r="J94" i="39" s="1"/>
  <c r="P93" i="39"/>
  <c r="U160" i="39"/>
  <c r="P160" i="39"/>
  <c r="W159" i="39"/>
  <c r="X159" i="39" s="1"/>
  <c r="Q160" i="39"/>
  <c r="V160" i="39"/>
  <c r="S160" i="39"/>
  <c r="Q93" i="39"/>
  <c r="G161" i="39"/>
  <c r="K161" i="39" s="1"/>
  <c r="N161" i="39"/>
  <c r="M161" i="39"/>
  <c r="E161" i="39"/>
  <c r="J161" i="39" s="1"/>
  <c r="V161" i="39" l="1"/>
  <c r="Q161" i="39"/>
  <c r="S161" i="39"/>
  <c r="M96" i="39"/>
  <c r="E96" i="39"/>
  <c r="J96" i="39" s="1"/>
  <c r="N96" i="39"/>
  <c r="G96" i="39"/>
  <c r="K96" i="39" s="1"/>
  <c r="N162" i="39"/>
  <c r="G162" i="39"/>
  <c r="K162" i="39" s="1"/>
  <c r="M162" i="39"/>
  <c r="E162" i="39"/>
  <c r="J162" i="39" s="1"/>
  <c r="W160" i="39"/>
  <c r="X160" i="39" s="1"/>
  <c r="N95" i="39"/>
  <c r="G95" i="39"/>
  <c r="K95" i="39" s="1"/>
  <c r="Q95" i="39" s="1"/>
  <c r="M95" i="39"/>
  <c r="E95" i="39"/>
  <c r="J95" i="39" s="1"/>
  <c r="P95" i="39" s="1"/>
  <c r="P161" i="39"/>
  <c r="U161" i="39"/>
  <c r="W161" i="39" s="1"/>
  <c r="X161" i="39" s="1"/>
  <c r="P94" i="39"/>
  <c r="C164" i="39"/>
  <c r="D163" i="39"/>
  <c r="C165" i="39" l="1"/>
  <c r="D164" i="39"/>
  <c r="U162" i="39"/>
  <c r="P162" i="39"/>
  <c r="Q96" i="39"/>
  <c r="M163" i="39"/>
  <c r="E163" i="39"/>
  <c r="J163" i="39" s="1"/>
  <c r="N163" i="39"/>
  <c r="G163" i="39"/>
  <c r="K163" i="39" s="1"/>
  <c r="Q162" i="39"/>
  <c r="S162" i="39"/>
  <c r="V162" i="39"/>
  <c r="P96" i="39"/>
  <c r="S163" i="39" l="1"/>
  <c r="Q163" i="39"/>
  <c r="V163" i="39"/>
  <c r="C166" i="39"/>
  <c r="D165" i="39"/>
  <c r="U163" i="39"/>
  <c r="W163" i="39" s="1"/>
  <c r="X163" i="39" s="1"/>
  <c r="P163" i="39"/>
  <c r="W162" i="39"/>
  <c r="X162" i="39" s="1"/>
  <c r="S85" i="39"/>
  <c r="N164" i="39"/>
  <c r="G164" i="39"/>
  <c r="K164" i="39" s="1"/>
  <c r="M164" i="39"/>
  <c r="E164" i="39"/>
  <c r="J164" i="39" s="1"/>
  <c r="D166" i="39" l="1"/>
  <c r="C167" i="39"/>
  <c r="V164" i="39"/>
  <c r="Q164" i="39"/>
  <c r="S164" i="39"/>
  <c r="U164" i="39"/>
  <c r="W164" i="39" s="1"/>
  <c r="X164" i="39" s="1"/>
  <c r="P164" i="39"/>
  <c r="N165" i="39"/>
  <c r="E165" i="39"/>
  <c r="J165" i="39" s="1"/>
  <c r="M165" i="39"/>
  <c r="G165" i="39"/>
  <c r="K165" i="39" s="1"/>
  <c r="V165" i="39" l="1"/>
  <c r="Q165" i="39"/>
  <c r="S165" i="39"/>
  <c r="C168" i="39"/>
  <c r="D167" i="39"/>
  <c r="P165" i="39"/>
  <c r="U165" i="39"/>
  <c r="G166" i="39"/>
  <c r="K166" i="39" s="1"/>
  <c r="N166" i="39"/>
  <c r="M166" i="39"/>
  <c r="E166" i="39"/>
  <c r="J166" i="39" s="1"/>
  <c r="Q166" i="39" l="1"/>
  <c r="S166" i="39"/>
  <c r="V166" i="39"/>
  <c r="C169" i="39"/>
  <c r="D168" i="39"/>
  <c r="P166" i="39"/>
  <c r="U166" i="39"/>
  <c r="W165" i="39"/>
  <c r="X165" i="39" s="1"/>
  <c r="M167" i="39"/>
  <c r="E167" i="39"/>
  <c r="J167" i="39" s="1"/>
  <c r="G167" i="39"/>
  <c r="K167" i="39" s="1"/>
  <c r="N167" i="39"/>
  <c r="D169" i="39" l="1"/>
  <c r="C170" i="39"/>
  <c r="S167" i="39"/>
  <c r="Q167" i="39"/>
  <c r="V167" i="39"/>
  <c r="W166" i="39"/>
  <c r="X166" i="39" s="1"/>
  <c r="U167" i="39"/>
  <c r="P167" i="39"/>
  <c r="N168" i="39"/>
  <c r="G168" i="39"/>
  <c r="K168" i="39" s="1"/>
  <c r="E168" i="39"/>
  <c r="J168" i="39" s="1"/>
  <c r="M168" i="39"/>
  <c r="U168" i="39" l="1"/>
  <c r="P168" i="39"/>
  <c r="W167" i="39"/>
  <c r="X167" i="39" s="1"/>
  <c r="S168" i="39"/>
  <c r="Q168" i="39"/>
  <c r="V168" i="39"/>
  <c r="D170" i="39"/>
  <c r="C171" i="39"/>
  <c r="M169" i="39"/>
  <c r="E169" i="39"/>
  <c r="J169" i="39" s="1"/>
  <c r="N169" i="39"/>
  <c r="G169" i="39"/>
  <c r="K169" i="39" s="1"/>
  <c r="P169" i="39" l="1"/>
  <c r="U169" i="39"/>
  <c r="W169" i="39" s="1"/>
  <c r="X169" i="39" s="1"/>
  <c r="V169" i="39"/>
  <c r="Q169" i="39"/>
  <c r="S169" i="39"/>
  <c r="C172" i="39"/>
  <c r="D171" i="39"/>
  <c r="N170" i="39"/>
  <c r="E170" i="39"/>
  <c r="J170" i="39" s="1"/>
  <c r="M170" i="39"/>
  <c r="G170" i="39"/>
  <c r="K170" i="39" s="1"/>
  <c r="W168" i="39"/>
  <c r="X168" i="39" s="1"/>
  <c r="Q170" i="39" l="1"/>
  <c r="V170" i="39"/>
  <c r="S170" i="39"/>
  <c r="M171" i="39"/>
  <c r="E171" i="39"/>
  <c r="J171" i="39" s="1"/>
  <c r="G171" i="39"/>
  <c r="K171" i="39" s="1"/>
  <c r="N171" i="39"/>
  <c r="C173" i="39"/>
  <c r="D172" i="39"/>
  <c r="P170" i="39"/>
  <c r="U170" i="39"/>
  <c r="C174" i="39" l="1"/>
  <c r="D173" i="39"/>
  <c r="W170" i="39"/>
  <c r="X170" i="39" s="1"/>
  <c r="S171" i="39"/>
  <c r="V171" i="39"/>
  <c r="Q171" i="39"/>
  <c r="N172" i="39"/>
  <c r="G172" i="39"/>
  <c r="K172" i="39" s="1"/>
  <c r="M172" i="39"/>
  <c r="E172" i="39"/>
  <c r="J172" i="39" s="1"/>
  <c r="P171" i="39"/>
  <c r="U171" i="39"/>
  <c r="W171" i="39" s="1"/>
  <c r="X171" i="39" s="1"/>
  <c r="Q172" i="39" l="1"/>
  <c r="S172" i="39"/>
  <c r="V172" i="39"/>
  <c r="U172" i="39"/>
  <c r="W172" i="39" s="1"/>
  <c r="X172" i="39" s="1"/>
  <c r="P172" i="39"/>
  <c r="M173" i="39"/>
  <c r="E173" i="39"/>
  <c r="J173" i="39" s="1"/>
  <c r="G173" i="39"/>
  <c r="K173" i="39" s="1"/>
  <c r="N173" i="39"/>
  <c r="D174" i="39"/>
  <c r="C175" i="39"/>
  <c r="D175" i="39" l="1"/>
  <c r="C176" i="39"/>
  <c r="P173" i="39"/>
  <c r="U173" i="39"/>
  <c r="V173" i="39"/>
  <c r="S173" i="39"/>
  <c r="Q173" i="39"/>
  <c r="M174" i="39"/>
  <c r="E174" i="39"/>
  <c r="J174" i="39" s="1"/>
  <c r="G174" i="39"/>
  <c r="K174" i="39" s="1"/>
  <c r="N174" i="39"/>
  <c r="W173" i="39" l="1"/>
  <c r="X173" i="39" s="1"/>
  <c r="U174" i="39"/>
  <c r="P174" i="39"/>
  <c r="M175" i="39"/>
  <c r="E175" i="39"/>
  <c r="J175" i="39" s="1"/>
  <c r="N175" i="39"/>
  <c r="G175" i="39"/>
  <c r="K175" i="39" s="1"/>
  <c r="Q174" i="39"/>
  <c r="V174" i="39"/>
  <c r="S174" i="39"/>
  <c r="C177" i="39"/>
  <c r="D176" i="39"/>
  <c r="W174" i="39" l="1"/>
  <c r="X174" i="39" s="1"/>
  <c r="N176" i="39"/>
  <c r="G176" i="39"/>
  <c r="K176" i="39" s="1"/>
  <c r="E176" i="39"/>
  <c r="J176" i="39" s="1"/>
  <c r="M176" i="39"/>
  <c r="C178" i="39"/>
  <c r="D177" i="39"/>
  <c r="S175" i="39"/>
  <c r="V175" i="39"/>
  <c r="Q175" i="39"/>
  <c r="U175" i="39"/>
  <c r="P175" i="39"/>
  <c r="U176" i="39" l="1"/>
  <c r="P176" i="39"/>
  <c r="W175" i="39"/>
  <c r="X175" i="39" s="1"/>
  <c r="G177" i="39"/>
  <c r="K177" i="39" s="1"/>
  <c r="E177" i="39"/>
  <c r="J177" i="39" s="1"/>
  <c r="M177" i="39"/>
  <c r="N177" i="39"/>
  <c r="S176" i="39"/>
  <c r="V176" i="39"/>
  <c r="Q176" i="39"/>
  <c r="D178" i="39"/>
  <c r="C179" i="39"/>
  <c r="C180" i="39" l="1"/>
  <c r="D179" i="39"/>
  <c r="V177" i="39"/>
  <c r="Q177" i="39"/>
  <c r="S177" i="39"/>
  <c r="E178" i="39"/>
  <c r="J178" i="39" s="1"/>
  <c r="M178" i="39"/>
  <c r="N178" i="39"/>
  <c r="G178" i="39"/>
  <c r="K178" i="39" s="1"/>
  <c r="P177" i="39"/>
  <c r="U177" i="39"/>
  <c r="W177" i="39" s="1"/>
  <c r="X177" i="39" s="1"/>
  <c r="W176" i="39"/>
  <c r="X176" i="39" s="1"/>
  <c r="P178" i="39" l="1"/>
  <c r="U178" i="39"/>
  <c r="W178" i="39" s="1"/>
  <c r="X178" i="39" s="1"/>
  <c r="M179" i="39"/>
  <c r="E179" i="39"/>
  <c r="J179" i="39" s="1"/>
  <c r="N179" i="39"/>
  <c r="G179" i="39"/>
  <c r="K179" i="39" s="1"/>
  <c r="Q178" i="39"/>
  <c r="S178" i="39"/>
  <c r="V178" i="39"/>
  <c r="C181" i="39"/>
  <c r="D181" i="39" s="1"/>
  <c r="D180" i="39"/>
  <c r="S179" i="39" l="1"/>
  <c r="V179" i="39"/>
  <c r="Q179" i="39"/>
  <c r="U179" i="39"/>
  <c r="P179" i="39"/>
  <c r="N180" i="39"/>
  <c r="G180" i="39"/>
  <c r="K180" i="39" s="1"/>
  <c r="M180" i="39"/>
  <c r="E180" i="39"/>
  <c r="J180" i="39" s="1"/>
  <c r="N181" i="39"/>
  <c r="E181" i="39"/>
  <c r="J181" i="39" s="1"/>
  <c r="M181" i="39"/>
  <c r="G181" i="39"/>
  <c r="K181" i="39" s="1"/>
  <c r="W179" i="39" l="1"/>
  <c r="X179" i="39" s="1"/>
  <c r="P181" i="39"/>
  <c r="U181" i="39"/>
  <c r="V180" i="39"/>
  <c r="S180" i="39"/>
  <c r="Q180" i="39"/>
  <c r="V181" i="39"/>
  <c r="S181" i="39"/>
  <c r="Q181" i="39"/>
  <c r="U180" i="39"/>
  <c r="P180" i="39"/>
  <c r="W181" i="39" l="1"/>
  <c r="X181" i="39" s="1"/>
  <c r="W180" i="39"/>
  <c r="X180" i="39" s="1"/>
  <c r="D134" i="35" l="1"/>
  <c r="D98" i="35"/>
  <c r="C207" i="27" l="1"/>
  <c r="D207" i="27" s="1"/>
  <c r="D208" i="27" s="1"/>
  <c r="F29" i="27" l="1"/>
  <c r="B25" i="27"/>
  <c r="E29" i="27"/>
  <c r="D30" i="27" s="1"/>
  <c r="C58" i="27"/>
  <c r="D58" i="27" s="1"/>
  <c r="C47" i="27"/>
  <c r="D47" i="27" s="1"/>
  <c r="D48" i="27" s="1"/>
  <c r="C37" i="27"/>
  <c r="D37" i="27" s="1"/>
  <c r="D38" i="27" s="1"/>
  <c r="C34" i="27"/>
  <c r="D34" i="27" s="1"/>
  <c r="D35" i="27" s="1"/>
  <c r="C26" i="27"/>
  <c r="D26" i="27" s="1"/>
  <c r="D27" i="27" s="1"/>
  <c r="D31" i="27" l="1"/>
  <c r="D32" i="27" s="1"/>
  <c r="D74" i="27"/>
  <c r="D125" i="27" s="1"/>
  <c r="D72" i="27"/>
  <c r="D91" i="27" s="1"/>
  <c r="D82" i="27"/>
  <c r="D116" i="27" l="1"/>
  <c r="D120" i="27"/>
  <c r="D121" i="27"/>
  <c r="D124" i="27"/>
  <c r="D104" i="27"/>
  <c r="D112" i="27"/>
  <c r="D105" i="27"/>
  <c r="D113" i="27"/>
  <c r="D100" i="27"/>
  <c r="D108" i="27"/>
  <c r="D101" i="27"/>
  <c r="D109" i="27"/>
  <c r="D117" i="27"/>
  <c r="D75" i="27"/>
  <c r="D182" i="27"/>
  <c r="D102" i="27"/>
  <c r="D106" i="27"/>
  <c r="D110" i="27"/>
  <c r="D114" i="27"/>
  <c r="D118" i="27"/>
  <c r="D122" i="27"/>
  <c r="D126" i="27"/>
  <c r="D131" i="27"/>
  <c r="D163" i="27"/>
  <c r="D99" i="27"/>
  <c r="D103" i="27"/>
  <c r="D107" i="27"/>
  <c r="D111" i="27"/>
  <c r="D115" i="27"/>
  <c r="D119" i="27"/>
  <c r="D123" i="27"/>
  <c r="D152" i="27"/>
  <c r="D190" i="27" l="1"/>
  <c r="D83" i="27"/>
  <c r="D128" i="27" s="1"/>
  <c r="D184" i="27"/>
  <c r="D162" i="27"/>
  <c r="D147" i="27"/>
  <c r="D129" i="27"/>
  <c r="D168" i="27"/>
  <c r="D177" i="27"/>
  <c r="D133" i="27"/>
  <c r="D161" i="27"/>
  <c r="D179" i="27"/>
  <c r="D150" i="27"/>
  <c r="D157" i="27"/>
  <c r="D180" i="27"/>
  <c r="D164" i="27"/>
  <c r="D148" i="27"/>
  <c r="D132" i="27"/>
  <c r="D175" i="27"/>
  <c r="D159" i="27"/>
  <c r="D143" i="27"/>
  <c r="D174" i="27"/>
  <c r="D142" i="27"/>
  <c r="D165" i="27"/>
  <c r="D188" i="27"/>
  <c r="D149" i="27"/>
  <c r="D153" i="27"/>
  <c r="D189" i="27"/>
  <c r="D176" i="27"/>
  <c r="D160" i="27"/>
  <c r="D144" i="27"/>
  <c r="D187" i="27"/>
  <c r="D171" i="27"/>
  <c r="D155" i="27"/>
  <c r="D139" i="27"/>
  <c r="D166" i="27"/>
  <c r="D134" i="27"/>
  <c r="D154" i="27"/>
  <c r="D181" i="27"/>
  <c r="D138" i="27"/>
  <c r="D185" i="27"/>
  <c r="D141" i="27"/>
  <c r="D169" i="27"/>
  <c r="D172" i="27"/>
  <c r="D156" i="27"/>
  <c r="D140" i="27"/>
  <c r="D183" i="27"/>
  <c r="D167" i="27"/>
  <c r="D151" i="27"/>
  <c r="D135" i="27"/>
  <c r="D158" i="27"/>
  <c r="D186" i="27"/>
  <c r="D145" i="27"/>
  <c r="D170" i="27"/>
  <c r="D178" i="27"/>
  <c r="D173" i="27"/>
  <c r="D130" i="27"/>
  <c r="D146" i="27"/>
  <c r="D92" i="27"/>
  <c r="D137" i="27" l="1"/>
  <c r="D136" i="27"/>
  <c r="D93" i="27"/>
  <c r="D95" i="27" l="1"/>
  <c r="D96" i="27" s="1"/>
  <c r="D22" i="37"/>
  <c r="C75" i="26" l="1"/>
  <c r="G83" i="26"/>
  <c r="G81" i="26"/>
  <c r="C39" i="26" l="1"/>
  <c r="C68" i="26"/>
  <c r="H86" i="26" s="1"/>
  <c r="G88" i="26" s="1"/>
  <c r="G89" i="26" s="1"/>
  <c r="R86" i="26" l="1"/>
  <c r="Q88" i="26" s="1"/>
  <c r="Q89" i="26" s="1"/>
  <c r="AB86" i="26"/>
  <c r="AA88" i="26" s="1"/>
  <c r="AA89" i="26" s="1"/>
  <c r="C80" i="26"/>
  <c r="C69" i="26"/>
  <c r="AC86" i="26" l="1"/>
  <c r="AE88" i="26"/>
  <c r="S86" i="26"/>
  <c r="U88" i="26"/>
  <c r="I86" i="26"/>
  <c r="G82" i="26"/>
  <c r="K88" i="26" l="1"/>
  <c r="AC88" i="26"/>
  <c r="AD88" i="26"/>
  <c r="T88" i="26"/>
  <c r="S88" i="26"/>
  <c r="J88" i="26"/>
  <c r="I88" i="26"/>
  <c r="E17" i="37"/>
  <c r="E18" i="37" s="1"/>
  <c r="D30" i="37" s="1"/>
  <c r="D27" i="37"/>
  <c r="D256" i="37"/>
  <c r="AD89" i="26" l="1"/>
  <c r="AC89" i="26"/>
  <c r="AE89" i="26"/>
  <c r="S89" i="26"/>
  <c r="T89" i="26"/>
  <c r="U89" i="26"/>
  <c r="D29" i="37"/>
  <c r="D81" i="37" s="1"/>
  <c r="D296" i="37"/>
  <c r="D196" i="37"/>
  <c r="D41" i="37" l="1"/>
  <c r="D234" i="37" s="1"/>
  <c r="D235" i="37" s="1"/>
  <c r="D297" i="37" l="1"/>
  <c r="D298" i="37" s="1"/>
  <c r="D77" i="37"/>
  <c r="D75" i="37"/>
  <c r="D74" i="37"/>
  <c r="D73" i="37"/>
  <c r="D72" i="37"/>
  <c r="D71" i="37"/>
  <c r="D79" i="37" s="1"/>
  <c r="D70" i="37"/>
  <c r="D183" i="37" s="1"/>
  <c r="D101" i="37" l="1"/>
  <c r="D112" i="37"/>
  <c r="D161" i="37"/>
  <c r="D172" i="37"/>
  <c r="D104" i="37"/>
  <c r="D115" i="37"/>
  <c r="D129" i="37"/>
  <c r="D153" i="37"/>
  <c r="D164" i="37"/>
  <c r="D174" i="37"/>
  <c r="D107" i="37"/>
  <c r="D117" i="37"/>
  <c r="D145" i="37"/>
  <c r="D156" i="37"/>
  <c r="D166" i="37"/>
  <c r="D177" i="37"/>
  <c r="D99" i="37"/>
  <c r="D109" i="37"/>
  <c r="D120" i="37"/>
  <c r="D137" i="37"/>
  <c r="D158" i="37"/>
  <c r="D169" i="37"/>
  <c r="D182" i="37"/>
  <c r="D113" i="37"/>
  <c r="D119" i="37"/>
  <c r="D128" i="37"/>
  <c r="D136" i="37"/>
  <c r="D146" i="37"/>
  <c r="D152" i="37"/>
  <c r="D157" i="37"/>
  <c r="D162" i="37"/>
  <c r="D168" i="37"/>
  <c r="D173" i="37"/>
  <c r="D178" i="37"/>
  <c r="D184" i="37"/>
  <c r="D180" i="37"/>
  <c r="D185" i="37"/>
  <c r="D100" i="37"/>
  <c r="D105" i="37"/>
  <c r="D111" i="37"/>
  <c r="D116" i="37"/>
  <c r="D121" i="37"/>
  <c r="D130" i="37"/>
  <c r="D138" i="37"/>
  <c r="D144" i="37"/>
  <c r="D154" i="37"/>
  <c r="D160" i="37"/>
  <c r="D165" i="37"/>
  <c r="D170" i="37"/>
  <c r="D176" i="37"/>
  <c r="D181" i="37"/>
  <c r="D186" i="37"/>
  <c r="D124" i="37"/>
  <c r="D98" i="37"/>
  <c r="D102" i="37"/>
  <c r="D106" i="37"/>
  <c r="D110" i="37"/>
  <c r="D114" i="37"/>
  <c r="D118" i="37"/>
  <c r="D122" i="37"/>
  <c r="D131" i="37"/>
  <c r="D139" i="37"/>
  <c r="D147" i="37"/>
  <c r="D155" i="37"/>
  <c r="D159" i="37"/>
  <c r="D163" i="37"/>
  <c r="D167" i="37"/>
  <c r="D171" i="37"/>
  <c r="D175" i="37"/>
  <c r="D179" i="37"/>
  <c r="D254" i="37"/>
  <c r="D258" i="37"/>
  <c r="D200" i="37"/>
  <c r="D33" i="37"/>
  <c r="D290" i="37" l="1"/>
  <c r="D291" i="37" s="1"/>
  <c r="D66" i="37" l="1"/>
  <c r="D32" i="37" l="1"/>
  <c r="D44" i="37" s="1"/>
  <c r="D31" i="37"/>
  <c r="D28" i="37"/>
  <c r="D26" i="37"/>
  <c r="D25" i="37"/>
  <c r="D24" i="37"/>
  <c r="D45" i="37" l="1"/>
  <c r="D82" i="37"/>
  <c r="D80" i="37"/>
  <c r="C28" i="37"/>
  <c r="D78" i="37" l="1"/>
  <c r="D95" i="37"/>
  <c r="D127" i="37"/>
  <c r="D126" i="37"/>
  <c r="D96" i="37"/>
  <c r="D97" i="37"/>
  <c r="D125" i="37"/>
  <c r="D76" i="37"/>
  <c r="D108" i="37"/>
  <c r="D103" i="37"/>
  <c r="D34" i="37"/>
  <c r="D328" i="37" s="1"/>
  <c r="D23" i="37"/>
  <c r="D36" i="37" s="1"/>
  <c r="D37" i="37" l="1"/>
  <c r="D47" i="37" s="1"/>
  <c r="D35" i="37"/>
  <c r="G6" i="37"/>
  <c r="D88" i="37"/>
  <c r="D150" i="37"/>
  <c r="D149" i="37"/>
  <c r="D148" i="37"/>
  <c r="D151" i="37"/>
  <c r="D143" i="37"/>
  <c r="D135" i="37"/>
  <c r="D140" i="37"/>
  <c r="D132" i="37"/>
  <c r="D134" i="37"/>
  <c r="D141" i="37"/>
  <c r="D133" i="37"/>
  <c r="D142" i="37"/>
  <c r="G8" i="37"/>
  <c r="D40" i="37" l="1"/>
  <c r="D43" i="37"/>
  <c r="D329" i="37" s="1"/>
  <c r="D327" i="37"/>
  <c r="D91" i="37"/>
  <c r="D38" i="37"/>
  <c r="D39" i="37" s="1"/>
  <c r="D56" i="37" s="1"/>
  <c r="E149" i="33"/>
  <c r="D52" i="37" l="1"/>
  <c r="D51" i="37"/>
  <c r="D48" i="37"/>
  <c r="D49" i="37"/>
  <c r="D50" i="37" s="1"/>
  <c r="D57" i="37"/>
  <c r="D46" i="37"/>
  <c r="H108" i="14"/>
  <c r="D53" i="37" l="1"/>
  <c r="D54" i="37" s="1"/>
  <c r="D330" i="37" s="1"/>
  <c r="D55" i="37" l="1"/>
  <c r="D59" i="37" s="1"/>
  <c r="D42" i="37"/>
  <c r="D68" i="37"/>
  <c r="D87" i="37" s="1"/>
  <c r="D92" i="37" s="1"/>
  <c r="D89" i="37"/>
  <c r="C32" i="26"/>
  <c r="C76" i="26"/>
  <c r="C73" i="26"/>
  <c r="D62" i="37" l="1"/>
  <c r="D67" i="37" s="1"/>
  <c r="D58" i="37"/>
  <c r="D60" i="37"/>
  <c r="D61" i="37" s="1"/>
  <c r="D69" i="37" s="1"/>
  <c r="D90" i="37" s="1"/>
  <c r="D188" i="37" s="1"/>
  <c r="D304" i="37" s="1"/>
  <c r="AI88" i="26"/>
  <c r="Y88" i="26"/>
  <c r="AI89" i="26"/>
  <c r="Y89" i="26"/>
  <c r="L88" i="26"/>
  <c r="V88" i="26"/>
  <c r="AF88" i="26"/>
  <c r="AF89" i="26"/>
  <c r="V89" i="26"/>
  <c r="O88" i="26"/>
  <c r="F32" i="35"/>
  <c r="W89" i="26" l="1"/>
  <c r="X89" i="26"/>
  <c r="AG89" i="26"/>
  <c r="AH89" i="26"/>
  <c r="W88" i="26"/>
  <c r="X88" i="26"/>
  <c r="AG88" i="26"/>
  <c r="AH88" i="26"/>
  <c r="N88" i="26"/>
  <c r="D93" i="37"/>
  <c r="D189" i="37" s="1"/>
  <c r="D261" i="37" s="1"/>
  <c r="D262" i="37" s="1"/>
  <c r="D331" i="37"/>
  <c r="D72" i="36"/>
  <c r="D73" i="36" s="1"/>
  <c r="D65" i="36"/>
  <c r="D64" i="36"/>
  <c r="D60" i="36"/>
  <c r="D59" i="36"/>
  <c r="C111" i="36"/>
  <c r="C112" i="36"/>
  <c r="C113" i="36"/>
  <c r="C114" i="36"/>
  <c r="C115" i="36"/>
  <c r="C116" i="36"/>
  <c r="C117" i="36"/>
  <c r="C118" i="36"/>
  <c r="C119" i="36"/>
  <c r="C120" i="36"/>
  <c r="C121" i="36"/>
  <c r="C122" i="36"/>
  <c r="C123" i="36"/>
  <c r="C124" i="36"/>
  <c r="C125" i="36"/>
  <c r="C126" i="36"/>
  <c r="C127" i="36"/>
  <c r="C128" i="36"/>
  <c r="C129" i="36"/>
  <c r="C130" i="36"/>
  <c r="C131" i="36"/>
  <c r="C132" i="36"/>
  <c r="C133" i="36"/>
  <c r="C134" i="36"/>
  <c r="C135" i="36"/>
  <c r="C136" i="36"/>
  <c r="C137" i="36"/>
  <c r="C138" i="36"/>
  <c r="C139" i="36"/>
  <c r="D14" i="36"/>
  <c r="D13" i="36"/>
  <c r="D15" i="36" s="1"/>
  <c r="E17" i="36" s="1"/>
  <c r="E18" i="36" s="1"/>
  <c r="D10" i="36"/>
  <c r="D8" i="36"/>
  <c r="C142" i="36"/>
  <c r="C141" i="36"/>
  <c r="C140" i="36"/>
  <c r="Q43" i="36"/>
  <c r="P43" i="36"/>
  <c r="D45" i="36"/>
  <c r="C44" i="36"/>
  <c r="D43" i="36"/>
  <c r="F42" i="36"/>
  <c r="F41" i="36"/>
  <c r="D34" i="36"/>
  <c r="D31" i="36"/>
  <c r="D29" i="36"/>
  <c r="D28" i="36"/>
  <c r="D32" i="36" s="1"/>
  <c r="C27" i="36"/>
  <c r="D20" i="36" l="1"/>
  <c r="D19" i="36"/>
  <c r="D17" i="36"/>
  <c r="D18" i="36" s="1"/>
  <c r="Z88" i="26"/>
  <c r="R88" i="26" s="1"/>
  <c r="AJ88" i="26"/>
  <c r="AB88" i="26" s="1"/>
  <c r="M88" i="26"/>
  <c r="D303" i="37"/>
  <c r="D307" i="37" s="1"/>
  <c r="D308" i="37" s="1"/>
  <c r="D305" i="37"/>
  <c r="D306" i="37" s="1"/>
  <c r="D332" i="37"/>
  <c r="D259" i="37"/>
  <c r="D74" i="36"/>
  <c r="D75" i="36" s="1"/>
  <c r="D76" i="36" s="1"/>
  <c r="D66" i="36"/>
  <c r="D67" i="36" s="1"/>
  <c r="D68" i="36" s="1"/>
  <c r="D35" i="36"/>
  <c r="D36" i="36" s="1"/>
  <c r="F44" i="36"/>
  <c r="F32" i="36"/>
  <c r="D37" i="36"/>
  <c r="D46" i="36"/>
  <c r="D47" i="36"/>
  <c r="D48" i="36" s="1"/>
  <c r="D217" i="35"/>
  <c r="D309" i="37" l="1"/>
  <c r="D311" i="37" s="1"/>
  <c r="D260" i="37"/>
  <c r="D57" i="35"/>
  <c r="D236" i="35" s="1"/>
  <c r="D41" i="35"/>
  <c r="F44" i="35" s="1"/>
  <c r="D46" i="35"/>
  <c r="F34" i="35"/>
  <c r="D310" i="37" l="1"/>
  <c r="D312" i="37" s="1"/>
  <c r="D313" i="37" s="1"/>
  <c r="D62" i="35"/>
  <c r="D63" i="35" s="1"/>
  <c r="E239" i="35"/>
  <c r="D67" i="35"/>
  <c r="D68" i="35" s="1"/>
  <c r="D239" i="35"/>
  <c r="D107" i="35"/>
  <c r="D110" i="35"/>
  <c r="D99" i="35"/>
  <c r="D314" i="37" l="1"/>
  <c r="D315" i="37" s="1"/>
  <c r="D316" i="37" s="1"/>
  <c r="D354" i="37"/>
  <c r="F106" i="35"/>
  <c r="C118" i="26"/>
  <c r="D324" i="37" l="1"/>
  <c r="D319" i="37"/>
  <c r="D320" i="37" s="1"/>
  <c r="C240" i="35"/>
  <c r="H244" i="35"/>
  <c r="H245" i="35" s="1"/>
  <c r="H239" i="35"/>
  <c r="H240" i="35" s="1"/>
  <c r="D321" i="37" l="1"/>
  <c r="D322" i="37" s="1"/>
  <c r="D356" i="37"/>
  <c r="D317" i="37"/>
  <c r="D355" i="37"/>
  <c r="C241" i="35"/>
  <c r="D240" i="35"/>
  <c r="E240" i="35"/>
  <c r="D325" i="37" l="1"/>
  <c r="D352" i="37"/>
  <c r="D318" i="37"/>
  <c r="D323" i="37" s="1"/>
  <c r="E352" i="37" s="1"/>
  <c r="C242" i="35"/>
  <c r="E241" i="35"/>
  <c r="D241" i="35"/>
  <c r="D11" i="35"/>
  <c r="D357" i="37" l="1"/>
  <c r="G324" i="37"/>
  <c r="C243" i="35"/>
  <c r="D242" i="35"/>
  <c r="E242" i="35"/>
  <c r="D27" i="35"/>
  <c r="C148" i="35"/>
  <c r="D24" i="35"/>
  <c r="D23" i="35"/>
  <c r="D22" i="35"/>
  <c r="D21" i="35"/>
  <c r="F37" i="35" s="1"/>
  <c r="D10" i="35"/>
  <c r="D8" i="35"/>
  <c r="C244" i="35" l="1"/>
  <c r="E243" i="35"/>
  <c r="D243" i="35"/>
  <c r="F9" i="35"/>
  <c r="D37" i="35"/>
  <c r="D35" i="35" s="1"/>
  <c r="D36" i="35" s="1"/>
  <c r="D38" i="35" s="1"/>
  <c r="D181" i="35" s="1"/>
  <c r="D184" i="35"/>
  <c r="D100" i="35"/>
  <c r="D143" i="35" s="1"/>
  <c r="C245" i="35" l="1"/>
  <c r="D244" i="35"/>
  <c r="E244" i="35"/>
  <c r="D10" i="33"/>
  <c r="C59" i="33" s="1"/>
  <c r="D24" i="33" s="1"/>
  <c r="D11" i="33"/>
  <c r="E10" i="33"/>
  <c r="C11" i="33"/>
  <c r="E11" i="33" s="1"/>
  <c r="C246" i="35" l="1"/>
  <c r="D245" i="35"/>
  <c r="E245" i="35"/>
  <c r="F22" i="33"/>
  <c r="C158" i="33"/>
  <c r="C156" i="33"/>
  <c r="C247" i="35" l="1"/>
  <c r="E246" i="35"/>
  <c r="D246" i="35"/>
  <c r="D133" i="33"/>
  <c r="D140" i="33"/>
  <c r="D129" i="33"/>
  <c r="D132" i="33" s="1"/>
  <c r="D134" i="33" s="1"/>
  <c r="D139" i="33" s="1"/>
  <c r="D147" i="33" s="1"/>
  <c r="D154" i="33"/>
  <c r="D163" i="33" s="1"/>
  <c r="D155" i="33"/>
  <c r="D157" i="33"/>
  <c r="D159" i="33"/>
  <c r="D160" i="33"/>
  <c r="D168" i="33"/>
  <c r="C169" i="33"/>
  <c r="D170" i="33"/>
  <c r="D171" i="33"/>
  <c r="D173" i="33"/>
  <c r="D174" i="33" s="1"/>
  <c r="D177" i="33"/>
  <c r="D178" i="33"/>
  <c r="C180" i="33"/>
  <c r="D181" i="33"/>
  <c r="C248" i="35" l="1"/>
  <c r="D247" i="35"/>
  <c r="E247" i="35"/>
  <c r="D182" i="33"/>
  <c r="D172" i="33"/>
  <c r="D175" i="33" s="1"/>
  <c r="D176" i="33" s="1"/>
  <c r="C249" i="35" l="1"/>
  <c r="E248" i="35"/>
  <c r="D248" i="35"/>
  <c r="D194" i="35"/>
  <c r="D190" i="35"/>
  <c r="D192" i="35" s="1"/>
  <c r="D189" i="35"/>
  <c r="D219" i="35"/>
  <c r="F220" i="35"/>
  <c r="D222" i="35"/>
  <c r="D224" i="35"/>
  <c r="C51" i="35"/>
  <c r="E50" i="35"/>
  <c r="C250" i="35" l="1"/>
  <c r="E249" i="35"/>
  <c r="D249" i="35"/>
  <c r="E51" i="35"/>
  <c r="D52" i="35"/>
  <c r="D191" i="35"/>
  <c r="D193" i="35" s="1"/>
  <c r="D199" i="35" s="1"/>
  <c r="D225" i="35"/>
  <c r="F226" i="35" s="1"/>
  <c r="F221" i="35"/>
  <c r="D18" i="34"/>
  <c r="F18" i="34"/>
  <c r="H18" i="34"/>
  <c r="J18" i="34"/>
  <c r="D19" i="34"/>
  <c r="F19" i="34"/>
  <c r="H19" i="34"/>
  <c r="J19" i="34"/>
  <c r="D207" i="35" l="1"/>
  <c r="C251" i="35"/>
  <c r="D250" i="35"/>
  <c r="E250" i="35"/>
  <c r="D230" i="35"/>
  <c r="C252" i="35" l="1"/>
  <c r="D251" i="35"/>
  <c r="E251" i="35"/>
  <c r="D195" i="35"/>
  <c r="D201" i="35"/>
  <c r="D229" i="35"/>
  <c r="F229" i="35" s="1"/>
  <c r="D15" i="33"/>
  <c r="D14" i="33"/>
  <c r="D116" i="35" l="1"/>
  <c r="D133" i="35" s="1"/>
  <c r="C253" i="35"/>
  <c r="D252" i="35"/>
  <c r="E252" i="35"/>
  <c r="D231" i="35"/>
  <c r="D232" i="35" s="1"/>
  <c r="D16" i="33"/>
  <c r="D17" i="33" s="1"/>
  <c r="D117" i="35" l="1"/>
  <c r="E168" i="35" s="1"/>
  <c r="D123" i="35"/>
  <c r="C254" i="35"/>
  <c r="D253" i="35"/>
  <c r="E253" i="35"/>
  <c r="D27" i="34"/>
  <c r="C255" i="35" l="1"/>
  <c r="E254" i="35"/>
  <c r="D254" i="35"/>
  <c r="R111" i="34"/>
  <c r="P111" i="34"/>
  <c r="V110" i="34"/>
  <c r="V111" i="34" s="1"/>
  <c r="U110" i="34"/>
  <c r="U111" i="34" s="1"/>
  <c r="T110" i="34"/>
  <c r="T111" i="34" s="1"/>
  <c r="R110" i="34"/>
  <c r="P110" i="34"/>
  <c r="C89" i="34"/>
  <c r="C88" i="34"/>
  <c r="D87" i="34"/>
  <c r="C87" i="34"/>
  <c r="D86" i="34"/>
  <c r="B86" i="34"/>
  <c r="D67" i="34"/>
  <c r="D65" i="34"/>
  <c r="J27" i="34"/>
  <c r="H27" i="34"/>
  <c r="F27" i="34"/>
  <c r="J20" i="34"/>
  <c r="J21" i="34" s="1"/>
  <c r="H22" i="34"/>
  <c r="H23" i="34" s="1"/>
  <c r="F20" i="34"/>
  <c r="F21" i="34" s="1"/>
  <c r="D22" i="34"/>
  <c r="D23" i="34" s="1"/>
  <c r="J14" i="34"/>
  <c r="J17" i="34" s="1"/>
  <c r="H14" i="34"/>
  <c r="H17" i="34" s="1"/>
  <c r="F14" i="34"/>
  <c r="F17" i="34" s="1"/>
  <c r="D14" i="34"/>
  <c r="D17" i="34" s="1"/>
  <c r="J12" i="34"/>
  <c r="H12" i="34"/>
  <c r="F12" i="34"/>
  <c r="D12" i="34"/>
  <c r="J11" i="34"/>
  <c r="H11" i="34"/>
  <c r="F11" i="34"/>
  <c r="D11" i="34"/>
  <c r="J10" i="34"/>
  <c r="H10" i="34"/>
  <c r="F10" i="34"/>
  <c r="D10" i="34"/>
  <c r="K7" i="34"/>
  <c r="C90" i="34" l="1"/>
  <c r="C91" i="34"/>
  <c r="C256" i="35"/>
  <c r="E255" i="35"/>
  <c r="D255" i="35"/>
  <c r="D77" i="34"/>
  <c r="D78" i="34" s="1"/>
  <c r="J22" i="34"/>
  <c r="J23" i="34" s="1"/>
  <c r="J25" i="34" s="1"/>
  <c r="J26" i="34" s="1"/>
  <c r="H77" i="34"/>
  <c r="D80" i="34" s="1"/>
  <c r="F22" i="34"/>
  <c r="F23" i="34" s="1"/>
  <c r="F25" i="34" s="1"/>
  <c r="F26" i="34" s="1"/>
  <c r="D48" i="34"/>
  <c r="D45" i="34"/>
  <c r="D46" i="34"/>
  <c r="K8" i="34"/>
  <c r="D49" i="34"/>
  <c r="H20" i="34"/>
  <c r="D20" i="34"/>
  <c r="D24" i="34" s="1"/>
  <c r="C257" i="35" l="1"/>
  <c r="E256" i="35"/>
  <c r="D256" i="35"/>
  <c r="D21" i="34"/>
  <c r="D28" i="34"/>
  <c r="H24" i="34"/>
  <c r="H28" i="34" s="1"/>
  <c r="H21" i="34"/>
  <c r="J24" i="34"/>
  <c r="J28" i="34" s="1"/>
  <c r="J77" i="34"/>
  <c r="D81" i="34" s="1"/>
  <c r="F24" i="34"/>
  <c r="F28" i="34" s="1"/>
  <c r="F77" i="34"/>
  <c r="D79" i="34" s="1"/>
  <c r="D64" i="34"/>
  <c r="D74" i="34"/>
  <c r="D25" i="34"/>
  <c r="D26" i="34" s="1"/>
  <c r="H25" i="34"/>
  <c r="H26" i="34" s="1"/>
  <c r="C258" i="35" l="1"/>
  <c r="D257" i="35"/>
  <c r="E257" i="35"/>
  <c r="K21" i="34"/>
  <c r="H29" i="34"/>
  <c r="L21" i="34"/>
  <c r="S110" i="34"/>
  <c r="S111" i="34" s="1"/>
  <c r="J29" i="34"/>
  <c r="J30" i="34"/>
  <c r="Q110" i="34"/>
  <c r="Q111" i="34" s="1"/>
  <c r="D76" i="34"/>
  <c r="D31" i="34"/>
  <c r="D32" i="34" s="1"/>
  <c r="O110" i="34"/>
  <c r="O111" i="34" s="1"/>
  <c r="D34" i="34"/>
  <c r="L24" i="34" s="1"/>
  <c r="C259" i="35" l="1"/>
  <c r="D258" i="35"/>
  <c r="E258" i="35"/>
  <c r="K20" i="34"/>
  <c r="H30" i="34"/>
  <c r="D35" i="34"/>
  <c r="F30" i="34"/>
  <c r="F29" i="34"/>
  <c r="D30" i="34"/>
  <c r="D29" i="34"/>
  <c r="C260" i="35" l="1"/>
  <c r="E259" i="35"/>
  <c r="D259" i="35"/>
  <c r="D33" i="34"/>
  <c r="D51" i="34" s="1"/>
  <c r="D36" i="34"/>
  <c r="D52" i="34" s="1"/>
  <c r="C261" i="35" l="1"/>
  <c r="D260" i="35"/>
  <c r="E260" i="35"/>
  <c r="E17" i="11"/>
  <c r="D115" i="33"/>
  <c r="D116" i="33" s="1"/>
  <c r="D108" i="33"/>
  <c r="C107" i="33"/>
  <c r="D99" i="33"/>
  <c r="C64" i="33"/>
  <c r="D63" i="33"/>
  <c r="C63" i="33" s="1"/>
  <c r="D57" i="33" s="1"/>
  <c r="D142" i="33"/>
  <c r="D40" i="33"/>
  <c r="D39" i="33"/>
  <c r="D34" i="33"/>
  <c r="D41" i="33" s="1"/>
  <c r="D28" i="33"/>
  <c r="F28" i="33" s="1"/>
  <c r="D23" i="33"/>
  <c r="K7" i="33" s="1"/>
  <c r="C22" i="33"/>
  <c r="D8" i="33"/>
  <c r="E9" i="33" s="1"/>
  <c r="F7" i="33"/>
  <c r="F6" i="33"/>
  <c r="C262" i="35" l="1"/>
  <c r="D261" i="35"/>
  <c r="E261" i="35"/>
  <c r="D35" i="33"/>
  <c r="F35" i="33" s="1"/>
  <c r="D59" i="33"/>
  <c r="D37" i="33" s="1"/>
  <c r="F40" i="33" s="1"/>
  <c r="F41" i="33"/>
  <c r="D100" i="33"/>
  <c r="F34" i="33"/>
  <c r="D29" i="33"/>
  <c r="F29" i="33" s="1"/>
  <c r="D109" i="33"/>
  <c r="D110" i="33" s="1"/>
  <c r="K13" i="33" s="1"/>
  <c r="F107" i="33"/>
  <c r="D18" i="33"/>
  <c r="C65" i="33"/>
  <c r="F21" i="33" s="1"/>
  <c r="D44" i="33"/>
  <c r="F44" i="33" s="1"/>
  <c r="C57" i="33"/>
  <c r="D105" i="33"/>
  <c r="D126" i="33" s="1"/>
  <c r="F8" i="33"/>
  <c r="C263" i="35" l="1"/>
  <c r="E262" i="35"/>
  <c r="D262" i="35"/>
  <c r="D30" i="33"/>
  <c r="K9" i="33" s="1"/>
  <c r="D25" i="33"/>
  <c r="D26" i="33" s="1"/>
  <c r="F26" i="33" s="1"/>
  <c r="D45" i="33"/>
  <c r="F45" i="33" s="1"/>
  <c r="D65" i="33"/>
  <c r="F39" i="33" s="1"/>
  <c r="D111" i="33"/>
  <c r="K12" i="33" s="1"/>
  <c r="D106" i="33"/>
  <c r="D112" i="33"/>
  <c r="D114" i="33" s="1"/>
  <c r="D127" i="33" s="1"/>
  <c r="D102" i="33"/>
  <c r="K11" i="33"/>
  <c r="D42" i="33"/>
  <c r="F42" i="33" s="1"/>
  <c r="F24" i="33"/>
  <c r="C264" i="35" l="1"/>
  <c r="E263" i="35"/>
  <c r="D263" i="35"/>
  <c r="D43" i="33"/>
  <c r="F43" i="33" s="1"/>
  <c r="D27" i="33"/>
  <c r="K8" i="33" s="1"/>
  <c r="F25" i="33"/>
  <c r="D103" i="33"/>
  <c r="D195" i="33"/>
  <c r="D198" i="33" s="1"/>
  <c r="D199" i="33" s="1"/>
  <c r="D200" i="33" s="1"/>
  <c r="D117" i="33"/>
  <c r="D118" i="33" s="1"/>
  <c r="D136" i="33"/>
  <c r="E117" i="33"/>
  <c r="E118" i="33" s="1"/>
  <c r="F101" i="33"/>
  <c r="C13" i="26"/>
  <c r="E13" i="26" s="1"/>
  <c r="D104" i="33" l="1"/>
  <c r="K18" i="33" s="1"/>
  <c r="C265" i="35"/>
  <c r="E264" i="35"/>
  <c r="D264" i="35"/>
  <c r="D161" i="33" l="1"/>
  <c r="C266" i="35"/>
  <c r="E265" i="35"/>
  <c r="D265" i="35"/>
  <c r="E22" i="11"/>
  <c r="C95" i="31"/>
  <c r="F94" i="31"/>
  <c r="G94" i="31" s="1"/>
  <c r="E94" i="31"/>
  <c r="D94" i="31"/>
  <c r="H93" i="31"/>
  <c r="E37" i="31"/>
  <c r="E29" i="31"/>
  <c r="E27" i="31"/>
  <c r="E26" i="31"/>
  <c r="E25" i="31"/>
  <c r="E14" i="31"/>
  <c r="E18" i="31" s="1"/>
  <c r="E13" i="31"/>
  <c r="E17" i="31" s="1"/>
  <c r="E36" i="31" s="1"/>
  <c r="D135" i="33" l="1"/>
  <c r="D137" i="33" s="1"/>
  <c r="D162" i="33"/>
  <c r="C267" i="35"/>
  <c r="D266" i="35"/>
  <c r="E266" i="35"/>
  <c r="E31" i="31"/>
  <c r="F95" i="31"/>
  <c r="F96" i="31" s="1"/>
  <c r="F97" i="31" s="1"/>
  <c r="E30" i="31"/>
  <c r="E33" i="31"/>
  <c r="C96" i="31"/>
  <c r="E95" i="31"/>
  <c r="D95" i="31"/>
  <c r="E28" i="31"/>
  <c r="D138" i="33" l="1"/>
  <c r="D145" i="33" s="1"/>
  <c r="E124" i="33" s="1"/>
  <c r="D149" i="33"/>
  <c r="E32" i="31"/>
  <c r="E38" i="31" s="1"/>
  <c r="E39" i="31" s="1"/>
  <c r="D164" i="33"/>
  <c r="D165" i="33" s="1"/>
  <c r="F162" i="33"/>
  <c r="C268" i="35"/>
  <c r="E267" i="35"/>
  <c r="D267" i="35"/>
  <c r="D146" i="33"/>
  <c r="G95" i="31"/>
  <c r="E35" i="31"/>
  <c r="E34" i="31"/>
  <c r="E96" i="31"/>
  <c r="D96" i="31"/>
  <c r="C97" i="31"/>
  <c r="G96" i="31"/>
  <c r="F98" i="31"/>
  <c r="D148" i="33" l="1"/>
  <c r="D151" i="33" s="1"/>
  <c r="C269" i="35"/>
  <c r="E268" i="35"/>
  <c r="D268" i="35"/>
  <c r="C98" i="31"/>
  <c r="E97" i="31"/>
  <c r="D97" i="31"/>
  <c r="F99" i="31"/>
  <c r="G98" i="31"/>
  <c r="E42" i="31"/>
  <c r="E40" i="31"/>
  <c r="E43" i="31" s="1"/>
  <c r="G97" i="31"/>
  <c r="E41" i="31"/>
  <c r="D150" i="33" l="1"/>
  <c r="D269" i="35"/>
  <c r="E269" i="35"/>
  <c r="E44" i="31"/>
  <c r="F100" i="31"/>
  <c r="C99" i="31"/>
  <c r="G99" i="31" s="1"/>
  <c r="E98" i="31"/>
  <c r="D98" i="31"/>
  <c r="E45" i="31" l="1"/>
  <c r="F101" i="31"/>
  <c r="E99" i="31"/>
  <c r="C100" i="31"/>
  <c r="G100" i="31" s="1"/>
  <c r="D99" i="31"/>
  <c r="H99" i="31" l="1"/>
  <c r="E47" i="31"/>
  <c r="H94" i="31"/>
  <c r="H95" i="31"/>
  <c r="H96" i="31"/>
  <c r="H97" i="31"/>
  <c r="H98" i="31"/>
  <c r="D100" i="31"/>
  <c r="E100" i="31"/>
  <c r="H100" i="31" s="1"/>
  <c r="C101" i="31"/>
  <c r="F102" i="31"/>
  <c r="C102" i="31" l="1"/>
  <c r="D101" i="31"/>
  <c r="E101" i="31"/>
  <c r="H101" i="31" s="1"/>
  <c r="E46" i="31"/>
  <c r="G101" i="31"/>
  <c r="F103" i="31"/>
  <c r="D102" i="31" l="1"/>
  <c r="C103" i="31"/>
  <c r="E102" i="31"/>
  <c r="H102" i="31" s="1"/>
  <c r="G102" i="31"/>
  <c r="F104" i="31"/>
  <c r="G103" i="31"/>
  <c r="F105" i="31" l="1"/>
  <c r="G104" i="31"/>
  <c r="C104" i="31"/>
  <c r="E103" i="31"/>
  <c r="H103" i="31" s="1"/>
  <c r="D103" i="31"/>
  <c r="F106" i="31" l="1"/>
  <c r="G105" i="31"/>
  <c r="D104" i="31"/>
  <c r="E104" i="31"/>
  <c r="H104" i="31" s="1"/>
  <c r="C105" i="31"/>
  <c r="E105" i="31" l="1"/>
  <c r="H105" i="31" s="1"/>
  <c r="C106" i="31"/>
  <c r="G106" i="31" s="1"/>
  <c r="D105" i="31"/>
  <c r="F107" i="31"/>
  <c r="F108" i="31" l="1"/>
  <c r="D106" i="31"/>
  <c r="E106" i="31"/>
  <c r="H106" i="31" s="1"/>
  <c r="C107" i="31"/>
  <c r="F109" i="31" l="1"/>
  <c r="E107" i="31"/>
  <c r="H107" i="31" s="1"/>
  <c r="C108" i="31"/>
  <c r="G108" i="31" s="1"/>
  <c r="D107" i="31"/>
  <c r="G107" i="31"/>
  <c r="F110" i="31" l="1"/>
  <c r="D108" i="31"/>
  <c r="E108" i="31"/>
  <c r="H108" i="31" s="1"/>
  <c r="C109" i="31"/>
  <c r="F111" i="31" l="1"/>
  <c r="C110" i="31"/>
  <c r="G110" i="31" s="1"/>
  <c r="D109" i="31"/>
  <c r="E109" i="31"/>
  <c r="H109" i="31" s="1"/>
  <c r="G109" i="31"/>
  <c r="F112" i="31" l="1"/>
  <c r="D110" i="31"/>
  <c r="C111" i="31"/>
  <c r="G111" i="31" s="1"/>
  <c r="E110" i="31"/>
  <c r="H110" i="31" s="1"/>
  <c r="F113" i="31" l="1"/>
  <c r="G112" i="31"/>
  <c r="E111" i="31"/>
  <c r="H111" i="31" s="1"/>
  <c r="D111" i="31"/>
  <c r="C112" i="31"/>
  <c r="D112" i="31" l="1"/>
  <c r="C113" i="31"/>
  <c r="E112" i="31"/>
  <c r="H112" i="31" s="1"/>
  <c r="F114" i="31"/>
  <c r="E113" i="31" l="1"/>
  <c r="H113" i="31" s="1"/>
  <c r="D113" i="31"/>
  <c r="C114" i="31"/>
  <c r="G114" i="31" s="1"/>
  <c r="G113" i="31"/>
  <c r="F115" i="31"/>
  <c r="D53" i="9"/>
  <c r="D52" i="9"/>
  <c r="D50" i="9"/>
  <c r="F116" i="31" l="1"/>
  <c r="G115" i="31"/>
  <c r="D114" i="31"/>
  <c r="E114" i="31"/>
  <c r="H114" i="31" s="1"/>
  <c r="C115" i="31"/>
  <c r="E115" i="31" l="1"/>
  <c r="H115" i="31" s="1"/>
  <c r="C116" i="31"/>
  <c r="D115" i="31"/>
  <c r="F117" i="31"/>
  <c r="E230" i="27"/>
  <c r="D116" i="31" l="1"/>
  <c r="E116" i="31"/>
  <c r="H116" i="31" s="1"/>
  <c r="C117" i="31"/>
  <c r="G116" i="31"/>
  <c r="G117" i="31"/>
  <c r="F118" i="31"/>
  <c r="F119" i="31" l="1"/>
  <c r="C118" i="31"/>
  <c r="G118" i="31" s="1"/>
  <c r="D117" i="31"/>
  <c r="E117" i="31"/>
  <c r="H117" i="31" s="1"/>
  <c r="D118" i="31" l="1"/>
  <c r="C119" i="31"/>
  <c r="E118" i="31"/>
  <c r="H118" i="31" s="1"/>
  <c r="F120" i="31"/>
  <c r="E119" i="31" l="1"/>
  <c r="H119" i="31" s="1"/>
  <c r="C120" i="31"/>
  <c r="D119" i="31"/>
  <c r="F121" i="31"/>
  <c r="G119" i="31"/>
  <c r="F122" i="31" l="1"/>
  <c r="G121" i="31"/>
  <c r="D120" i="31"/>
  <c r="E120" i="31"/>
  <c r="H120" i="31" s="1"/>
  <c r="C121" i="31"/>
  <c r="G120" i="31"/>
  <c r="E121" i="31" l="1"/>
  <c r="H121" i="31" s="1"/>
  <c r="C122" i="31"/>
  <c r="D121" i="31"/>
  <c r="F123" i="31"/>
  <c r="D122" i="31" l="1"/>
  <c r="E122" i="31"/>
  <c r="H122" i="31" s="1"/>
  <c r="C123" i="31"/>
  <c r="F124" i="31"/>
  <c r="G123" i="31"/>
  <c r="G122" i="31"/>
  <c r="F125" i="31" l="1"/>
  <c r="G124" i="31"/>
  <c r="E123" i="31"/>
  <c r="H123" i="31" s="1"/>
  <c r="C124" i="31"/>
  <c r="D123" i="31"/>
  <c r="D124" i="31" l="1"/>
  <c r="E124" i="31"/>
  <c r="H124" i="31" s="1"/>
  <c r="C125" i="31"/>
  <c r="F126" i="31"/>
  <c r="G125" i="31"/>
  <c r="F127" i="31" l="1"/>
  <c r="G126" i="31"/>
  <c r="C126" i="31"/>
  <c r="D125" i="31"/>
  <c r="E125" i="31"/>
  <c r="H125" i="31" s="1"/>
  <c r="D126" i="31" l="1"/>
  <c r="C127" i="31"/>
  <c r="E126" i="31"/>
  <c r="H126" i="31" s="1"/>
  <c r="F128" i="31"/>
  <c r="E127" i="31" l="1"/>
  <c r="H127" i="31" s="1"/>
  <c r="C128" i="31"/>
  <c r="D127" i="31"/>
  <c r="F129" i="31"/>
  <c r="G127" i="31"/>
  <c r="E40" i="27"/>
  <c r="E41" i="27" s="1"/>
  <c r="E42" i="27" s="1"/>
  <c r="E43" i="27" s="1"/>
  <c r="E44" i="27" s="1"/>
  <c r="E45" i="27" s="1"/>
  <c r="C230" i="27"/>
  <c r="B230" i="27"/>
  <c r="D128" i="31" l="1"/>
  <c r="E128" i="31"/>
  <c r="H128" i="31" s="1"/>
  <c r="C129" i="31"/>
  <c r="F130" i="31"/>
  <c r="G129" i="31"/>
  <c r="G128" i="31"/>
  <c r="E129" i="31" l="1"/>
  <c r="H129" i="31" s="1"/>
  <c r="C130" i="31"/>
  <c r="D129" i="31"/>
  <c r="F131" i="31"/>
  <c r="E117" i="26"/>
  <c r="D130" i="31" l="1"/>
  <c r="E130" i="31"/>
  <c r="H130" i="31" s="1"/>
  <c r="C131" i="31"/>
  <c r="F132" i="31"/>
  <c r="G130" i="31"/>
  <c r="F133" i="31" l="1"/>
  <c r="G132" i="31"/>
  <c r="E131" i="31"/>
  <c r="H131" i="31" s="1"/>
  <c r="C132" i="31"/>
  <c r="D131" i="31"/>
  <c r="G131" i="31"/>
  <c r="D223" i="27"/>
  <c r="D222" i="27"/>
  <c r="D221" i="27"/>
  <c r="D220" i="27"/>
  <c r="D219" i="27"/>
  <c r="D218" i="27"/>
  <c r="D53" i="27"/>
  <c r="D45" i="27"/>
  <c r="D44" i="27"/>
  <c r="D57" i="27" l="1"/>
  <c r="D209" i="27"/>
  <c r="D132" i="31"/>
  <c r="E132" i="31"/>
  <c r="H132" i="31" s="1"/>
  <c r="C133" i="31"/>
  <c r="F134" i="31"/>
  <c r="G133" i="31"/>
  <c r="D51" i="26"/>
  <c r="D49" i="26"/>
  <c r="D40" i="26"/>
  <c r="D59" i="27" l="1"/>
  <c r="D198" i="27"/>
  <c r="D199" i="27" s="1"/>
  <c r="D54" i="27"/>
  <c r="D55" i="27"/>
  <c r="D56" i="27"/>
  <c r="F135" i="31"/>
  <c r="G134" i="31"/>
  <c r="C134" i="31"/>
  <c r="D133" i="31"/>
  <c r="E133" i="31"/>
  <c r="H133" i="31" s="1"/>
  <c r="D210" i="27"/>
  <c r="D211" i="27" s="1"/>
  <c r="Z124" i="26"/>
  <c r="Y139" i="26"/>
  <c r="X139" i="26"/>
  <c r="W139" i="26"/>
  <c r="V139" i="26"/>
  <c r="Y138" i="26"/>
  <c r="X138" i="26"/>
  <c r="W138" i="26"/>
  <c r="V138" i="26"/>
  <c r="Y137" i="26"/>
  <c r="X137" i="26"/>
  <c r="W137" i="26"/>
  <c r="V137" i="26"/>
  <c r="Y136" i="26"/>
  <c r="X136" i="26"/>
  <c r="W136" i="26"/>
  <c r="V136" i="26"/>
  <c r="Y135" i="26"/>
  <c r="X135" i="26"/>
  <c r="W135" i="26"/>
  <c r="V135" i="26"/>
  <c r="Y134" i="26"/>
  <c r="X134" i="26"/>
  <c r="W134" i="26"/>
  <c r="V134" i="26"/>
  <c r="Y133" i="26"/>
  <c r="X133" i="26"/>
  <c r="W133" i="26"/>
  <c r="V133" i="26"/>
  <c r="Y132" i="26"/>
  <c r="X132" i="26"/>
  <c r="W132" i="26"/>
  <c r="V132" i="26"/>
  <c r="Y131" i="26"/>
  <c r="X131" i="26"/>
  <c r="W131" i="26"/>
  <c r="V131" i="26"/>
  <c r="Y130" i="26"/>
  <c r="X130" i="26"/>
  <c r="W130" i="26"/>
  <c r="V130" i="26"/>
  <c r="Y129" i="26"/>
  <c r="X129" i="26"/>
  <c r="W129" i="26"/>
  <c r="V129" i="26"/>
  <c r="Y128" i="26"/>
  <c r="X128" i="26"/>
  <c r="W128" i="26"/>
  <c r="V128" i="26"/>
  <c r="Y127" i="26"/>
  <c r="X127" i="26"/>
  <c r="W127" i="26"/>
  <c r="V127" i="26"/>
  <c r="Y126" i="26"/>
  <c r="X126" i="26"/>
  <c r="W126" i="26"/>
  <c r="V126" i="26"/>
  <c r="Y125" i="26"/>
  <c r="X125" i="26"/>
  <c r="W125" i="26"/>
  <c r="V125" i="26"/>
  <c r="S123" i="26"/>
  <c r="D134" i="31" l="1"/>
  <c r="C135" i="31"/>
  <c r="E134" i="31"/>
  <c r="H134" i="31" s="1"/>
  <c r="F136" i="31"/>
  <c r="F125" i="26"/>
  <c r="F137" i="31" l="1"/>
  <c r="G136" i="31"/>
  <c r="E135" i="31"/>
  <c r="H135" i="31" s="1"/>
  <c r="C136" i="31"/>
  <c r="D135" i="31"/>
  <c r="G135" i="31"/>
  <c r="C41" i="26"/>
  <c r="D136" i="31" l="1"/>
  <c r="E136" i="31"/>
  <c r="H136" i="31" s="1"/>
  <c r="C137" i="31"/>
  <c r="F138" i="31"/>
  <c r="G137" i="31"/>
  <c r="B127" i="26"/>
  <c r="D127" i="26" s="1"/>
  <c r="D126" i="26"/>
  <c r="D125" i="26"/>
  <c r="F139" i="31" l="1"/>
  <c r="G138" i="31"/>
  <c r="C138" i="31"/>
  <c r="D137" i="31"/>
  <c r="E137" i="31"/>
  <c r="H137" i="31" s="1"/>
  <c r="B128" i="26"/>
  <c r="B129" i="26" s="1"/>
  <c r="B130" i="26" s="1"/>
  <c r="B131" i="26" s="1"/>
  <c r="B132" i="26" s="1"/>
  <c r="B133" i="26" s="1"/>
  <c r="B134" i="26" s="1"/>
  <c r="B135" i="26" s="1"/>
  <c r="B136" i="26" s="1"/>
  <c r="B137" i="26" s="1"/>
  <c r="B138" i="26" s="1"/>
  <c r="B139" i="26" s="1"/>
  <c r="B140" i="26" s="1"/>
  <c r="B141" i="26" s="1"/>
  <c r="B142" i="26" s="1"/>
  <c r="B143" i="26" s="1"/>
  <c r="B144" i="26" s="1"/>
  <c r="B145" i="26" s="1"/>
  <c r="B146" i="26" s="1"/>
  <c r="B147" i="26" s="1"/>
  <c r="B148" i="26" s="1"/>
  <c r="B149" i="26" s="1"/>
  <c r="B150" i="26" s="1"/>
  <c r="B151" i="26" s="1"/>
  <c r="B152" i="26" s="1"/>
  <c r="B153" i="26" s="1"/>
  <c r="B154" i="26" s="1"/>
  <c r="B155" i="26" s="1"/>
  <c r="B156" i="26" s="1"/>
  <c r="B157" i="26" s="1"/>
  <c r="B158" i="26" s="1"/>
  <c r="B159" i="26" s="1"/>
  <c r="B160" i="26" s="1"/>
  <c r="B161" i="26" s="1"/>
  <c r="B162" i="26" s="1"/>
  <c r="B163" i="26" s="1"/>
  <c r="B164" i="26" s="1"/>
  <c r="B165" i="26" s="1"/>
  <c r="B166" i="26" s="1"/>
  <c r="B167" i="26" s="1"/>
  <c r="B168" i="26" s="1"/>
  <c r="B169" i="26" s="1"/>
  <c r="B170" i="26" s="1"/>
  <c r="B171" i="26" s="1"/>
  <c r="B172" i="26" s="1"/>
  <c r="B173" i="26" s="1"/>
  <c r="B174" i="26" s="1"/>
  <c r="B175" i="26" s="1"/>
  <c r="B176" i="26" s="1"/>
  <c r="B177" i="26" s="1"/>
  <c r="B178" i="26" s="1"/>
  <c r="B179" i="26" s="1"/>
  <c r="B180" i="26" s="1"/>
  <c r="B181" i="26" s="1"/>
  <c r="B182" i="26" s="1"/>
  <c r="B183" i="26" s="1"/>
  <c r="B184" i="26" s="1"/>
  <c r="B185" i="26" s="1"/>
  <c r="B186" i="26" s="1"/>
  <c r="B187" i="26" s="1"/>
  <c r="B188" i="26" s="1"/>
  <c r="B189" i="26" s="1"/>
  <c r="B190" i="26" s="1"/>
  <c r="B191" i="26" s="1"/>
  <c r="B192" i="26" s="1"/>
  <c r="B193" i="26" s="1"/>
  <c r="B194" i="26" s="1"/>
  <c r="B195" i="26" s="1"/>
  <c r="B196" i="26" s="1"/>
  <c r="B197" i="26" s="1"/>
  <c r="B198" i="26" s="1"/>
  <c r="B199" i="26" s="1"/>
  <c r="B200" i="26" s="1"/>
  <c r="B201" i="26" s="1"/>
  <c r="B202" i="26" s="1"/>
  <c r="B203" i="26" s="1"/>
  <c r="C8" i="26"/>
  <c r="C17" i="26"/>
  <c r="G90" i="26" l="1"/>
  <c r="G91" i="26" s="1"/>
  <c r="G92" i="26" s="1"/>
  <c r="G93" i="26" s="1"/>
  <c r="G94" i="26" s="1"/>
  <c r="G95" i="26" s="1"/>
  <c r="G96" i="26" s="1"/>
  <c r="G97" i="26" s="1"/>
  <c r="G98" i="26" s="1"/>
  <c r="G99" i="26" s="1"/>
  <c r="G100" i="26" s="1"/>
  <c r="G101" i="26" s="1"/>
  <c r="G102" i="26" s="1"/>
  <c r="G103" i="26" s="1"/>
  <c r="G104" i="26" s="1"/>
  <c r="G105" i="26" s="1"/>
  <c r="G106" i="26" s="1"/>
  <c r="G107" i="26" s="1"/>
  <c r="G108" i="26" s="1"/>
  <c r="Q90" i="26"/>
  <c r="AA90" i="26"/>
  <c r="C9" i="26"/>
  <c r="E10" i="26" s="1"/>
  <c r="D138" i="31"/>
  <c r="E138" i="31"/>
  <c r="H138" i="31" s="1"/>
  <c r="C139" i="31"/>
  <c r="G139" i="31" s="1"/>
  <c r="F140" i="31"/>
  <c r="C126" i="26"/>
  <c r="C127" i="26"/>
  <c r="C125" i="26"/>
  <c r="C128" i="26"/>
  <c r="D128" i="26"/>
  <c r="C26" i="26"/>
  <c r="E49" i="26" s="1"/>
  <c r="C24" i="26"/>
  <c r="C45" i="26" s="1"/>
  <c r="C14" i="26"/>
  <c r="AA91" i="26" l="1"/>
  <c r="AD90" i="26"/>
  <c r="AE90" i="26"/>
  <c r="AC90" i="26"/>
  <c r="Q91" i="26"/>
  <c r="T90" i="26"/>
  <c r="U90" i="26"/>
  <c r="S90" i="26"/>
  <c r="C19" i="26"/>
  <c r="C67" i="26"/>
  <c r="E125" i="26"/>
  <c r="E14" i="26"/>
  <c r="E139" i="31"/>
  <c r="H139" i="31" s="1"/>
  <c r="C140" i="31"/>
  <c r="D139" i="31"/>
  <c r="F141" i="31"/>
  <c r="E40" i="26"/>
  <c r="C46" i="26"/>
  <c r="C47" i="26" s="1"/>
  <c r="C42" i="26"/>
  <c r="C43" i="26" s="1"/>
  <c r="C44" i="26" s="1"/>
  <c r="C129" i="26"/>
  <c r="D129" i="26"/>
  <c r="C27" i="26"/>
  <c r="C18" i="26"/>
  <c r="C15" i="26"/>
  <c r="C16" i="26" s="1"/>
  <c r="Y90" i="26" l="1"/>
  <c r="V90" i="26"/>
  <c r="W90" i="26" s="1"/>
  <c r="Q92" i="26"/>
  <c r="T91" i="26"/>
  <c r="S91" i="26"/>
  <c r="U91" i="26"/>
  <c r="AI90" i="26"/>
  <c r="AF90" i="26"/>
  <c r="AG90" i="26" s="1"/>
  <c r="AA92" i="26"/>
  <c r="AD91" i="26"/>
  <c r="AE91" i="26"/>
  <c r="AC91" i="26"/>
  <c r="F132" i="26"/>
  <c r="E132" i="26" s="1"/>
  <c r="C82" i="26"/>
  <c r="E81" i="26" s="1"/>
  <c r="E66" i="26"/>
  <c r="E19" i="26"/>
  <c r="C20" i="26"/>
  <c r="C28" i="26"/>
  <c r="C29" i="26" s="1"/>
  <c r="D140" i="31"/>
  <c r="E140" i="31"/>
  <c r="H140" i="31" s="1"/>
  <c r="C141" i="31"/>
  <c r="F142" i="31"/>
  <c r="G141" i="31"/>
  <c r="G140" i="31"/>
  <c r="C120" i="26"/>
  <c r="C115" i="26"/>
  <c r="C130" i="26"/>
  <c r="D130" i="26"/>
  <c r="AF91" i="26" l="1"/>
  <c r="AG91" i="26" s="1"/>
  <c r="Y91" i="26"/>
  <c r="V91" i="26"/>
  <c r="W91" i="26" s="1"/>
  <c r="AI91" i="26"/>
  <c r="Q93" i="26"/>
  <c r="S92" i="26"/>
  <c r="U92" i="26"/>
  <c r="T92" i="26"/>
  <c r="AA93" i="26"/>
  <c r="AC92" i="26"/>
  <c r="AD92" i="26"/>
  <c r="AE92" i="26"/>
  <c r="X90" i="26"/>
  <c r="AH90" i="26"/>
  <c r="C31" i="26"/>
  <c r="C57" i="26"/>
  <c r="C58" i="26" s="1"/>
  <c r="C59" i="26" s="1"/>
  <c r="C30" i="26"/>
  <c r="F143" i="31"/>
  <c r="C142" i="31"/>
  <c r="G142" i="31" s="1"/>
  <c r="D141" i="31"/>
  <c r="E141" i="31"/>
  <c r="H141" i="31" s="1"/>
  <c r="C131" i="26"/>
  <c r="D131" i="26"/>
  <c r="AH91" i="26" l="1"/>
  <c r="AF92" i="26"/>
  <c r="AG92" i="26" s="1"/>
  <c r="Y92" i="26"/>
  <c r="Q94" i="26"/>
  <c r="S93" i="26"/>
  <c r="T93" i="26"/>
  <c r="U93" i="26"/>
  <c r="AI92" i="26"/>
  <c r="AA94" i="26"/>
  <c r="AC93" i="26"/>
  <c r="AD93" i="26"/>
  <c r="AE93" i="26"/>
  <c r="X91" i="26"/>
  <c r="V92" i="26"/>
  <c r="W92" i="26" s="1"/>
  <c r="C34" i="26"/>
  <c r="E35" i="26" s="1"/>
  <c r="E129" i="26"/>
  <c r="C33" i="26"/>
  <c r="F129" i="26"/>
  <c r="D142" i="31"/>
  <c r="C143" i="31"/>
  <c r="E142" i="31"/>
  <c r="H142" i="31" s="1"/>
  <c r="F144" i="31"/>
  <c r="C132" i="26"/>
  <c r="D132" i="26"/>
  <c r="AH92" i="26" l="1"/>
  <c r="AF93" i="26"/>
  <c r="AG93" i="26" s="1"/>
  <c r="V93" i="26"/>
  <c r="W93" i="26" s="1"/>
  <c r="Y93" i="26"/>
  <c r="Q95" i="26"/>
  <c r="U94" i="26"/>
  <c r="S94" i="26"/>
  <c r="T94" i="26"/>
  <c r="AI93" i="26"/>
  <c r="X92" i="26"/>
  <c r="AA95" i="26"/>
  <c r="AD94" i="26"/>
  <c r="AE94" i="26"/>
  <c r="AC94" i="26"/>
  <c r="C71" i="26"/>
  <c r="C77" i="26"/>
  <c r="C72" i="26"/>
  <c r="C35" i="26"/>
  <c r="E143" i="31"/>
  <c r="H143" i="31" s="1"/>
  <c r="D143" i="31"/>
  <c r="C144" i="31"/>
  <c r="F145" i="31"/>
  <c r="G144" i="31"/>
  <c r="G143" i="31"/>
  <c r="C133" i="26"/>
  <c r="D133" i="26"/>
  <c r="V94" i="26" l="1"/>
  <c r="W94" i="26" s="1"/>
  <c r="X93" i="26"/>
  <c r="AH93" i="26"/>
  <c r="AI94" i="26"/>
  <c r="Y94" i="26"/>
  <c r="AF94" i="26"/>
  <c r="AG94" i="26" s="1"/>
  <c r="Q96" i="26"/>
  <c r="S95" i="26"/>
  <c r="U95" i="26"/>
  <c r="T95" i="26"/>
  <c r="AA96" i="26"/>
  <c r="AC95" i="26"/>
  <c r="AD95" i="26"/>
  <c r="AE95" i="26"/>
  <c r="P88" i="26"/>
  <c r="H88" i="26" s="1"/>
  <c r="C74" i="26"/>
  <c r="F146" i="31"/>
  <c r="D144" i="31"/>
  <c r="E144" i="31"/>
  <c r="H144" i="31" s="1"/>
  <c r="C145" i="31"/>
  <c r="G145" i="31" s="1"/>
  <c r="C134" i="26"/>
  <c r="D134" i="26"/>
  <c r="X94" i="26" l="1"/>
  <c r="V95" i="26"/>
  <c r="W95" i="26" s="1"/>
  <c r="AF95" i="26"/>
  <c r="AG95" i="26" s="1"/>
  <c r="AH94" i="26"/>
  <c r="AA97" i="26"/>
  <c r="AC96" i="26"/>
  <c r="AD96" i="26"/>
  <c r="AE96" i="26"/>
  <c r="Y95" i="26"/>
  <c r="X95" i="26"/>
  <c r="Q97" i="26"/>
  <c r="T96" i="26"/>
  <c r="U96" i="26"/>
  <c r="S96" i="26"/>
  <c r="AI95" i="26"/>
  <c r="C78" i="26"/>
  <c r="C79" i="26"/>
  <c r="E145" i="31"/>
  <c r="H145" i="31" s="1"/>
  <c r="C146" i="31"/>
  <c r="D145" i="31"/>
  <c r="F147" i="31"/>
  <c r="D135" i="26"/>
  <c r="C135" i="26"/>
  <c r="AH95" i="26" l="1"/>
  <c r="AF96" i="26"/>
  <c r="AG96" i="26" s="1"/>
  <c r="Y96" i="26"/>
  <c r="AI96" i="26"/>
  <c r="V96" i="26"/>
  <c r="W96" i="26" s="1"/>
  <c r="Q98" i="26"/>
  <c r="T97" i="26"/>
  <c r="S97" i="26"/>
  <c r="U97" i="26"/>
  <c r="AA98" i="26"/>
  <c r="AD97" i="26"/>
  <c r="AE97" i="26"/>
  <c r="AC97" i="26"/>
  <c r="C83" i="26"/>
  <c r="C84" i="26" s="1"/>
  <c r="D146" i="31"/>
  <c r="C147" i="31"/>
  <c r="E146" i="31"/>
  <c r="H146" i="31" s="1"/>
  <c r="F148" i="31"/>
  <c r="G146" i="31"/>
  <c r="C136" i="26"/>
  <c r="D136" i="26"/>
  <c r="AH96" i="26" l="1"/>
  <c r="Y97" i="26"/>
  <c r="Q99" i="26"/>
  <c r="T98" i="26"/>
  <c r="S98" i="26"/>
  <c r="U98" i="26"/>
  <c r="AF97" i="26"/>
  <c r="AG97" i="26" s="1"/>
  <c r="V97" i="26"/>
  <c r="W97" i="26" s="1"/>
  <c r="AI97" i="26"/>
  <c r="AA99" i="26"/>
  <c r="AC98" i="26"/>
  <c r="AE98" i="26"/>
  <c r="AD98" i="26"/>
  <c r="X96" i="26"/>
  <c r="E147" i="31"/>
  <c r="H147" i="31" s="1"/>
  <c r="D147" i="31"/>
  <c r="C148" i="31"/>
  <c r="F149" i="31"/>
  <c r="G148" i="31"/>
  <c r="G147" i="31"/>
  <c r="C137" i="26"/>
  <c r="D137" i="26"/>
  <c r="AF98" i="26" l="1"/>
  <c r="AG98" i="26" s="1"/>
  <c r="V98" i="26"/>
  <c r="W98" i="26" s="1"/>
  <c r="AH97" i="26"/>
  <c r="X97" i="26"/>
  <c r="Q100" i="26"/>
  <c r="S99" i="26"/>
  <c r="U99" i="26"/>
  <c r="T99" i="26"/>
  <c r="Y98" i="26"/>
  <c r="X98" i="26"/>
  <c r="AI98" i="26"/>
  <c r="AA100" i="26"/>
  <c r="AD99" i="26"/>
  <c r="AC99" i="26"/>
  <c r="AE99" i="26"/>
  <c r="F150" i="31"/>
  <c r="G149" i="31"/>
  <c r="D148" i="31"/>
  <c r="E148" i="31"/>
  <c r="H148" i="31" s="1"/>
  <c r="C149" i="31"/>
  <c r="C138" i="26"/>
  <c r="D138" i="26"/>
  <c r="AH98" i="26" l="1"/>
  <c r="AF99" i="26"/>
  <c r="AG99" i="26" s="1"/>
  <c r="V99" i="26"/>
  <c r="W99" i="26" s="1"/>
  <c r="AI99" i="26"/>
  <c r="Y99" i="26"/>
  <c r="AA101" i="26"/>
  <c r="AC100" i="26"/>
  <c r="AE100" i="26"/>
  <c r="AD100" i="26"/>
  <c r="Q101" i="26"/>
  <c r="T100" i="26"/>
  <c r="S100" i="26"/>
  <c r="U100" i="26"/>
  <c r="C150" i="31"/>
  <c r="D149" i="31"/>
  <c r="E149" i="31"/>
  <c r="H149" i="31" s="1"/>
  <c r="F151" i="31"/>
  <c r="G150" i="31"/>
  <c r="C139" i="26"/>
  <c r="D139" i="26"/>
  <c r="V100" i="26" l="1"/>
  <c r="W100" i="26" s="1"/>
  <c r="AH99" i="26"/>
  <c r="AF100" i="26"/>
  <c r="AG100" i="26" s="1"/>
  <c r="Y100" i="26"/>
  <c r="X100" i="26"/>
  <c r="Q102" i="26"/>
  <c r="T101" i="26"/>
  <c r="S101" i="26"/>
  <c r="U101" i="26"/>
  <c r="AI100" i="26"/>
  <c r="AH100" i="26"/>
  <c r="AA102" i="26"/>
  <c r="AD101" i="26"/>
  <c r="AE101" i="26"/>
  <c r="AC101" i="26"/>
  <c r="X99" i="26"/>
  <c r="F152" i="31"/>
  <c r="D150" i="31"/>
  <c r="C151" i="31"/>
  <c r="G151" i="31" s="1"/>
  <c r="E150" i="31"/>
  <c r="H150" i="31" s="1"/>
  <c r="C140" i="26"/>
  <c r="D140" i="26"/>
  <c r="V101" i="26" l="1"/>
  <c r="W101" i="26" s="1"/>
  <c r="AA103" i="26"/>
  <c r="AC102" i="26"/>
  <c r="AE102" i="26"/>
  <c r="AD102" i="26"/>
  <c r="AI101" i="26"/>
  <c r="Q103" i="26"/>
  <c r="T102" i="26"/>
  <c r="U102" i="26"/>
  <c r="S102" i="26"/>
  <c r="AF101" i="26"/>
  <c r="AG101" i="26" s="1"/>
  <c r="Y101" i="26"/>
  <c r="X101" i="26"/>
  <c r="E151" i="31"/>
  <c r="H151" i="31" s="1"/>
  <c r="C152" i="31"/>
  <c r="D151" i="31"/>
  <c r="F153" i="31"/>
  <c r="C141" i="26"/>
  <c r="D141" i="26"/>
  <c r="AF102" i="26" l="1"/>
  <c r="AG102" i="26" s="1"/>
  <c r="Y102" i="26"/>
  <c r="AI102" i="26"/>
  <c r="AA104" i="26"/>
  <c r="AE103" i="26"/>
  <c r="AD103" i="26"/>
  <c r="AC103" i="26"/>
  <c r="V102" i="26"/>
  <c r="W102" i="26" s="1"/>
  <c r="Q104" i="26"/>
  <c r="S103" i="26"/>
  <c r="U103" i="26"/>
  <c r="T103" i="26"/>
  <c r="AH101" i="26"/>
  <c r="D152" i="31"/>
  <c r="E152" i="31"/>
  <c r="H152" i="31" s="1"/>
  <c r="C153" i="31"/>
  <c r="F154" i="31"/>
  <c r="G153" i="31"/>
  <c r="G152" i="31"/>
  <c r="D142" i="26"/>
  <c r="C142" i="26"/>
  <c r="AH102" i="26" l="1"/>
  <c r="AF103" i="26"/>
  <c r="AG103" i="26" s="1"/>
  <c r="X102" i="26"/>
  <c r="Y103" i="26"/>
  <c r="AI103" i="26"/>
  <c r="AH103" i="26"/>
  <c r="Q105" i="26"/>
  <c r="U104" i="26"/>
  <c r="T104" i="26"/>
  <c r="S104" i="26"/>
  <c r="V103" i="26"/>
  <c r="W103" i="26" s="1"/>
  <c r="AA105" i="26"/>
  <c r="AD104" i="26"/>
  <c r="AC104" i="26"/>
  <c r="AE104" i="26"/>
  <c r="F155" i="31"/>
  <c r="G154" i="31"/>
  <c r="C154" i="31"/>
  <c r="D153" i="31"/>
  <c r="E153" i="31"/>
  <c r="H153" i="31" s="1"/>
  <c r="D143" i="26"/>
  <c r="C143" i="26"/>
  <c r="AF104" i="26" l="1"/>
  <c r="AG104" i="26" s="1"/>
  <c r="X103" i="26"/>
  <c r="V104" i="26"/>
  <c r="W104" i="26" s="1"/>
  <c r="AI104" i="26"/>
  <c r="AA106" i="26"/>
  <c r="AE105" i="26"/>
  <c r="AD105" i="26"/>
  <c r="AC105" i="26"/>
  <c r="Y104" i="26"/>
  <c r="Q106" i="26"/>
  <c r="S105" i="26"/>
  <c r="U105" i="26"/>
  <c r="T105" i="26"/>
  <c r="D154" i="31"/>
  <c r="E154" i="31"/>
  <c r="H154" i="31" s="1"/>
  <c r="C155" i="31"/>
  <c r="G155" i="31"/>
  <c r="C144" i="26"/>
  <c r="D144" i="26"/>
  <c r="X104" i="26" l="1"/>
  <c r="AH104" i="26"/>
  <c r="V105" i="26"/>
  <c r="W105" i="26" s="1"/>
  <c r="AI105" i="26"/>
  <c r="AF105" i="26"/>
  <c r="AG105" i="26" s="1"/>
  <c r="Q107" i="26"/>
  <c r="S106" i="26"/>
  <c r="U106" i="26"/>
  <c r="T106" i="26"/>
  <c r="AA107" i="26"/>
  <c r="AC106" i="26"/>
  <c r="AE106" i="26"/>
  <c r="AD106" i="26"/>
  <c r="Y105" i="26"/>
  <c r="E155" i="31"/>
  <c r="H155" i="31" s="1"/>
  <c r="D155" i="31"/>
  <c r="C145" i="26"/>
  <c r="D145" i="26"/>
  <c r="AF106" i="26" l="1"/>
  <c r="AG106" i="26" s="1"/>
  <c r="V106" i="26"/>
  <c r="W106" i="26" s="1"/>
  <c r="X105" i="26"/>
  <c r="Y106" i="26"/>
  <c r="AI106" i="26"/>
  <c r="AA108" i="26"/>
  <c r="AD107" i="26"/>
  <c r="AC107" i="26"/>
  <c r="AE107" i="26"/>
  <c r="Q108" i="26"/>
  <c r="S107" i="26"/>
  <c r="T107" i="26"/>
  <c r="U107" i="26"/>
  <c r="AH105" i="26"/>
  <c r="C146" i="26"/>
  <c r="D146" i="26"/>
  <c r="AH106" i="26" l="1"/>
  <c r="X106" i="26"/>
  <c r="V107" i="26"/>
  <c r="W107" i="26" s="1"/>
  <c r="AI107" i="26"/>
  <c r="AF107" i="26"/>
  <c r="AG107" i="26" s="1"/>
  <c r="Y107" i="26"/>
  <c r="AE108" i="26"/>
  <c r="AC108" i="26"/>
  <c r="AD108" i="26"/>
  <c r="U108" i="26"/>
  <c r="T108" i="26"/>
  <c r="S108" i="26"/>
  <c r="C147" i="26"/>
  <c r="D147" i="26"/>
  <c r="V108" i="26" l="1"/>
  <c r="W108" i="26" s="1"/>
  <c r="AF108" i="26"/>
  <c r="AG108" i="26" s="1"/>
  <c r="X107" i="26"/>
  <c r="AI108" i="26"/>
  <c r="Y108" i="26"/>
  <c r="AH107" i="26"/>
  <c r="C148" i="26"/>
  <c r="D148" i="26"/>
  <c r="X108" i="26" l="1"/>
  <c r="AH108" i="26"/>
  <c r="C149" i="26"/>
  <c r="D149" i="26"/>
  <c r="C150" i="26" l="1"/>
  <c r="D150" i="26"/>
  <c r="D151" i="26" l="1"/>
  <c r="C151" i="26"/>
  <c r="C152" i="26" l="1"/>
  <c r="D152" i="26"/>
  <c r="C153" i="26" l="1"/>
  <c r="D153" i="26"/>
  <c r="C154" i="26" l="1"/>
  <c r="D154" i="26"/>
  <c r="C155" i="26" l="1"/>
  <c r="D155" i="26"/>
  <c r="D34" i="11"/>
  <c r="E32" i="11"/>
  <c r="C156" i="26" l="1"/>
  <c r="D156" i="26"/>
  <c r="C157" i="26" l="1"/>
  <c r="D157" i="26"/>
  <c r="D158" i="26" l="1"/>
  <c r="C158" i="26"/>
  <c r="D159" i="26" l="1"/>
  <c r="C159" i="26"/>
  <c r="C160" i="26" l="1"/>
  <c r="D160" i="26"/>
  <c r="C161" i="26" l="1"/>
  <c r="D161" i="26"/>
  <c r="C162" i="26" l="1"/>
  <c r="D162" i="26"/>
  <c r="C163" i="26" l="1"/>
  <c r="D163" i="26"/>
  <c r="C164" i="26" l="1"/>
  <c r="D164" i="26"/>
  <c r="C165" i="26" l="1"/>
  <c r="D165" i="26"/>
  <c r="C166" i="26" l="1"/>
  <c r="D166" i="26"/>
  <c r="D33" i="11"/>
  <c r="D35" i="11" s="1"/>
  <c r="C32" i="11"/>
  <c r="E33" i="11"/>
  <c r="D167" i="26" l="1"/>
  <c r="C167" i="26"/>
  <c r="E28" i="14"/>
  <c r="D28" i="14"/>
  <c r="C27" i="14"/>
  <c r="E27" i="14" s="1"/>
  <c r="C26" i="14"/>
  <c r="E26" i="14" s="1"/>
  <c r="C168" i="26" l="1"/>
  <c r="D168" i="26"/>
  <c r="D13" i="14"/>
  <c r="C169" i="26" l="1"/>
  <c r="D169" i="26"/>
  <c r="C170" i="26" l="1"/>
  <c r="D170" i="26"/>
  <c r="C171" i="26" l="1"/>
  <c r="D171" i="26"/>
  <c r="C172" i="26" l="1"/>
  <c r="D172" i="26"/>
  <c r="C173" i="26" l="1"/>
  <c r="D173" i="26"/>
  <c r="D174" i="26" l="1"/>
  <c r="C174" i="26"/>
  <c r="D175" i="26" l="1"/>
  <c r="C175" i="26"/>
  <c r="C176" i="26" l="1"/>
  <c r="D176" i="26"/>
  <c r="I36" i="9"/>
  <c r="H36" i="9"/>
  <c r="D29" i="9"/>
  <c r="D28" i="9"/>
  <c r="D25" i="9"/>
  <c r="D20" i="9"/>
  <c r="D17" i="9"/>
  <c r="C177" i="26" l="1"/>
  <c r="D177" i="26"/>
  <c r="F37" i="9"/>
  <c r="F36" i="9"/>
  <c r="D27" i="11"/>
  <c r="E27" i="11"/>
  <c r="C26" i="11"/>
  <c r="E26" i="11" s="1"/>
  <c r="C25" i="11"/>
  <c r="E25" i="11" s="1"/>
  <c r="C178" i="26" l="1"/>
  <c r="D178" i="26"/>
  <c r="D16" i="14"/>
  <c r="D15" i="14"/>
  <c r="D11" i="14"/>
  <c r="D12" i="14" s="1"/>
  <c r="C179" i="26" l="1"/>
  <c r="D179" i="26"/>
  <c r="D17" i="14"/>
  <c r="D18" i="14" s="1"/>
  <c r="D20" i="14" s="1"/>
  <c r="C180" i="26" l="1"/>
  <c r="D180" i="26"/>
  <c r="D21" i="14"/>
  <c r="D22" i="14" s="1"/>
  <c r="D181" i="26" l="1"/>
  <c r="C181" i="26"/>
  <c r="C182" i="26" l="1"/>
  <c r="D182" i="26"/>
  <c r="D21" i="9"/>
  <c r="D183" i="26" l="1"/>
  <c r="C183" i="26"/>
  <c r="D34" i="9"/>
  <c r="D37" i="9" s="1"/>
  <c r="D33" i="9"/>
  <c r="D36" i="9" s="1"/>
  <c r="C184" i="26" l="1"/>
  <c r="D184" i="26"/>
  <c r="D44" i="9"/>
  <c r="D45" i="9"/>
  <c r="D38" i="9"/>
  <c r="D51" i="9" s="1"/>
  <c r="C185" i="26" l="1"/>
  <c r="D185" i="26"/>
  <c r="C186" i="26" l="1"/>
  <c r="D186" i="26"/>
  <c r="C187" i="26" l="1"/>
  <c r="D187" i="26"/>
  <c r="C188" i="26" l="1"/>
  <c r="D188" i="26"/>
  <c r="C189" i="26" l="1"/>
  <c r="D189" i="26"/>
  <c r="C190" i="26" l="1"/>
  <c r="D190" i="26"/>
  <c r="D191" i="26" l="1"/>
  <c r="C191" i="26"/>
  <c r="C192" i="26" l="1"/>
  <c r="D192" i="26"/>
  <c r="C193" i="26" l="1"/>
  <c r="D193" i="26"/>
  <c r="C194" i="26" l="1"/>
  <c r="D194" i="26"/>
  <c r="C195" i="26" l="1"/>
  <c r="D195" i="26"/>
  <c r="C196" i="26" l="1"/>
  <c r="D196" i="26"/>
  <c r="C197" i="26" l="1"/>
  <c r="D197" i="26"/>
  <c r="C198" i="26" l="1"/>
  <c r="D198" i="26"/>
  <c r="D199" i="26" l="1"/>
  <c r="C199" i="26"/>
  <c r="C200" i="26" l="1"/>
  <c r="D200" i="26"/>
  <c r="C201" i="26" l="1"/>
  <c r="D201" i="26"/>
  <c r="C202" i="26" l="1"/>
  <c r="D202" i="26"/>
  <c r="C203" i="26" l="1"/>
  <c r="D203" i="26"/>
  <c r="C48" i="26" l="1"/>
  <c r="C49" i="26" s="1"/>
  <c r="C50" i="26" l="1"/>
  <c r="C52" i="26" s="1"/>
  <c r="C53" i="26" l="1"/>
  <c r="C54" i="26" s="1"/>
  <c r="F133" i="26" s="1"/>
  <c r="C51" i="26"/>
  <c r="E133" i="26" l="1"/>
  <c r="C56" i="26"/>
  <c r="F126" i="26" s="1"/>
  <c r="F127" i="26" s="1"/>
  <c r="E126" i="26" l="1"/>
  <c r="F128" i="26"/>
  <c r="E128" i="26" s="1"/>
  <c r="E127" i="26"/>
  <c r="D201" i="37" l="1"/>
  <c r="D202" i="37" s="1"/>
  <c r="D203" i="37" s="1"/>
  <c r="D209" i="37" l="1"/>
  <c r="D210" i="37" l="1"/>
  <c r="D335" i="37" s="1"/>
  <c r="D221" i="37"/>
  <c r="D212" i="37" s="1"/>
  <c r="D226" i="37"/>
  <c r="D219" i="37"/>
  <c r="D263" i="37" l="1"/>
  <c r="D265" i="37" s="1"/>
  <c r="D213" i="37"/>
  <c r="D215" i="37" l="1"/>
  <c r="D214" i="37"/>
  <c r="D264" i="37"/>
  <c r="D266" i="37" s="1"/>
  <c r="D267" i="37" s="1"/>
  <c r="D268" i="37" l="1"/>
  <c r="D347" i="37"/>
  <c r="D216" i="37"/>
  <c r="D217" i="37" s="1"/>
  <c r="D276" i="37"/>
  <c r="D270" i="37"/>
  <c r="D269" i="37"/>
  <c r="D218" i="37" l="1"/>
  <c r="D336" i="37"/>
  <c r="D271" i="37"/>
  <c r="D272" i="37" s="1"/>
  <c r="D273" i="37" s="1"/>
  <c r="D349" i="37" s="1"/>
  <c r="D348" i="37"/>
  <c r="D279" i="37"/>
  <c r="D280" i="37" s="1"/>
  <c r="D277" i="37"/>
  <c r="D278" i="37" s="1"/>
  <c r="D285" i="37"/>
  <c r="D286" i="37" s="1"/>
  <c r="D220" i="37"/>
  <c r="D224" i="37" s="1"/>
  <c r="D225" i="37" s="1"/>
  <c r="D228" i="37" s="1"/>
  <c r="D236" i="37" s="1"/>
  <c r="D341" i="37" s="1"/>
  <c r="D222" i="37"/>
  <c r="D337" i="37" s="1"/>
  <c r="D287" i="37" l="1"/>
  <c r="D289" i="37"/>
  <c r="D350" i="37" s="1"/>
  <c r="D274" i="37"/>
  <c r="D275" i="37" s="1"/>
  <c r="D281" i="37"/>
  <c r="D282" i="37" s="1"/>
  <c r="D288" i="37"/>
  <c r="D223" i="37"/>
  <c r="D238" i="37" s="1"/>
  <c r="D227" i="37"/>
  <c r="D230" i="37" s="1"/>
  <c r="D231" i="37" s="1"/>
  <c r="D232" i="37" s="1"/>
  <c r="D339" i="37" s="1"/>
  <c r="D292" i="37" l="1"/>
  <c r="D345" i="37" s="1"/>
  <c r="D229" i="37"/>
  <c r="D233" i="37" s="1"/>
  <c r="D338" i="37"/>
  <c r="D293" i="37"/>
  <c r="E345" i="37" s="1"/>
  <c r="D283" i="37"/>
  <c r="D342" i="37"/>
  <c r="D239" i="37"/>
  <c r="D237" i="37"/>
  <c r="D244" i="37" s="1"/>
  <c r="D245" i="37" s="1"/>
  <c r="D284" i="37" l="1"/>
  <c r="D346" i="37" s="1"/>
  <c r="D242" i="37"/>
  <c r="D240" i="37"/>
  <c r="D241" i="37" s="1"/>
  <c r="D340" i="37" s="1"/>
  <c r="D343" i="37" s="1"/>
  <c r="D246" i="37" l="1"/>
  <c r="D334" i="37" s="1"/>
  <c r="D243" i="37"/>
  <c r="D247" i="37" s="1"/>
  <c r="E334" i="37" s="1"/>
  <c r="K89" i="26" l="1"/>
  <c r="J89" i="26"/>
  <c r="I89" i="26"/>
  <c r="O89" i="26" s="1"/>
  <c r="Z89" i="26" s="1"/>
  <c r="R89" i="26" s="1"/>
  <c r="K90" i="26"/>
  <c r="J90" i="26"/>
  <c r="J91" i="26"/>
  <c r="I90" i="26"/>
  <c r="O90" i="26" s="1"/>
  <c r="K91" i="26"/>
  <c r="AJ89" i="26" l="1"/>
  <c r="AB89" i="26" s="1"/>
  <c r="L90" i="26"/>
  <c r="M90" i="26" s="1"/>
  <c r="L89" i="26"/>
  <c r="M89" i="26" s="1"/>
  <c r="L91" i="26"/>
  <c r="M91" i="26" s="1"/>
  <c r="Z90" i="26"/>
  <c r="R90" i="26" s="1"/>
  <c r="AJ90" i="26"/>
  <c r="AB90" i="26" s="1"/>
  <c r="I91" i="26"/>
  <c r="N90" i="26" l="1"/>
  <c r="P90" i="26" s="1"/>
  <c r="H90" i="26" s="1"/>
  <c r="N89" i="26"/>
  <c r="P89" i="26" s="1"/>
  <c r="H89" i="26" s="1"/>
  <c r="J92" i="26"/>
  <c r="I92" i="26"/>
  <c r="K92" i="26"/>
  <c r="N91" i="26"/>
  <c r="O91" i="26"/>
  <c r="Z91" i="26" l="1"/>
  <c r="R91" i="26" s="1"/>
  <c r="AJ91" i="26"/>
  <c r="AB91" i="26" s="1"/>
  <c r="P91" i="26"/>
  <c r="H91" i="26" s="1"/>
  <c r="I93" i="26"/>
  <c r="J93" i="26"/>
  <c r="K93" i="26"/>
  <c r="O92" i="26"/>
  <c r="L92" i="26"/>
  <c r="M92" i="26" s="1"/>
  <c r="L93" i="26" l="1"/>
  <c r="M93" i="26" s="1"/>
  <c r="N92" i="26"/>
  <c r="P92" i="26" s="1"/>
  <c r="H92" i="26" s="1"/>
  <c r="O93" i="26"/>
  <c r="J94" i="26"/>
  <c r="I94" i="26"/>
  <c r="K94" i="26"/>
  <c r="Z92" i="26"/>
  <c r="R92" i="26" s="1"/>
  <c r="AJ92" i="26"/>
  <c r="AB92" i="26" s="1"/>
  <c r="N93" i="26" l="1"/>
  <c r="P93" i="26" s="1"/>
  <c r="H93" i="26" s="1"/>
  <c r="L94" i="26"/>
  <c r="M94" i="26" s="1"/>
  <c r="K95" i="26"/>
  <c r="I95" i="26"/>
  <c r="J95" i="26"/>
  <c r="O94" i="26"/>
  <c r="Z93" i="26"/>
  <c r="R93" i="26" s="1"/>
  <c r="AJ93" i="26"/>
  <c r="AB93" i="26" s="1"/>
  <c r="L95" i="26" l="1"/>
  <c r="M95" i="26" s="1"/>
  <c r="AJ94" i="26"/>
  <c r="AB94" i="26" s="1"/>
  <c r="Z94" i="26"/>
  <c r="R94" i="26" s="1"/>
  <c r="I96" i="26"/>
  <c r="K96" i="26"/>
  <c r="J96" i="26"/>
  <c r="N94" i="26"/>
  <c r="P94" i="26" s="1"/>
  <c r="H94" i="26" s="1"/>
  <c r="O95" i="26"/>
  <c r="L96" i="26" l="1"/>
  <c r="M96" i="26" s="1"/>
  <c r="N95" i="26"/>
  <c r="P95" i="26" s="1"/>
  <c r="H95" i="26" s="1"/>
  <c r="O96" i="26"/>
  <c r="K97" i="26"/>
  <c r="I97" i="26"/>
  <c r="J97" i="26"/>
  <c r="Z95" i="26"/>
  <c r="R95" i="26" s="1"/>
  <c r="AJ95" i="26"/>
  <c r="AB95" i="26" s="1"/>
  <c r="N96" i="26" l="1"/>
  <c r="P96" i="26" s="1"/>
  <c r="H96" i="26" s="1"/>
  <c r="L97" i="26"/>
  <c r="M97" i="26" s="1"/>
  <c r="O97" i="26"/>
  <c r="AJ96" i="26"/>
  <c r="AB96" i="26" s="1"/>
  <c r="Z96" i="26"/>
  <c r="R96" i="26" s="1"/>
  <c r="K98" i="26"/>
  <c r="I98" i="26"/>
  <c r="J98" i="26"/>
  <c r="N97" i="26" l="1"/>
  <c r="P97" i="26" s="1"/>
  <c r="H97" i="26" s="1"/>
  <c r="O98" i="26"/>
  <c r="J99" i="26"/>
  <c r="I99" i="26"/>
  <c r="K99" i="26"/>
  <c r="L98" i="26"/>
  <c r="M98" i="26" s="1"/>
  <c r="Z97" i="26"/>
  <c r="R97" i="26" s="1"/>
  <c r="AJ97" i="26"/>
  <c r="AB97" i="26" s="1"/>
  <c r="L99" i="26" l="1"/>
  <c r="M99" i="26" s="1"/>
  <c r="AJ98" i="26"/>
  <c r="AB98" i="26" s="1"/>
  <c r="Z98" i="26"/>
  <c r="R98" i="26" s="1"/>
  <c r="J100" i="26"/>
  <c r="K100" i="26"/>
  <c r="I100" i="26"/>
  <c r="O99" i="26"/>
  <c r="N98" i="26"/>
  <c r="P98" i="26" s="1"/>
  <c r="H98" i="26" s="1"/>
  <c r="N99" i="26" l="1"/>
  <c r="P99" i="26" s="1"/>
  <c r="H99" i="26" s="1"/>
  <c r="L100" i="26"/>
  <c r="M100" i="26" s="1"/>
  <c r="K101" i="26"/>
  <c r="J101" i="26"/>
  <c r="I101" i="26"/>
  <c r="O100" i="26"/>
  <c r="AJ99" i="26"/>
  <c r="AB99" i="26" s="1"/>
  <c r="Z99" i="26"/>
  <c r="R99" i="26" s="1"/>
  <c r="N100" i="26" l="1"/>
  <c r="P100" i="26" s="1"/>
  <c r="H100" i="26" s="1"/>
  <c r="L101" i="26"/>
  <c r="M101" i="26" s="1"/>
  <c r="AJ100" i="26"/>
  <c r="AB100" i="26" s="1"/>
  <c r="Z100" i="26"/>
  <c r="R100" i="26" s="1"/>
  <c r="I102" i="26"/>
  <c r="K102" i="26"/>
  <c r="J102" i="26"/>
  <c r="O101" i="26"/>
  <c r="N101" i="26" l="1"/>
  <c r="P101" i="26" s="1"/>
  <c r="H101" i="26" s="1"/>
  <c r="L102" i="26"/>
  <c r="M102" i="26" s="1"/>
  <c r="O102" i="26"/>
  <c r="K103" i="26"/>
  <c r="I103" i="26"/>
  <c r="J103" i="26"/>
  <c r="Z101" i="26"/>
  <c r="R101" i="26" s="1"/>
  <c r="AJ101" i="26"/>
  <c r="AB101" i="26" s="1"/>
  <c r="L103" i="26" l="1"/>
  <c r="M103" i="26" s="1"/>
  <c r="N102" i="26"/>
  <c r="P102" i="26" s="1"/>
  <c r="H102" i="26" s="1"/>
  <c r="I104" i="26"/>
  <c r="K104" i="26"/>
  <c r="J104" i="26"/>
  <c r="O103" i="26"/>
  <c r="Z102" i="26"/>
  <c r="R102" i="26" s="1"/>
  <c r="AJ102" i="26"/>
  <c r="AB102" i="26" s="1"/>
  <c r="N103" i="26" l="1"/>
  <c r="P103" i="26" s="1"/>
  <c r="H103" i="26" s="1"/>
  <c r="L104" i="26"/>
  <c r="M104" i="26" s="1"/>
  <c r="J105" i="26"/>
  <c r="I105" i="26"/>
  <c r="K105" i="26"/>
  <c r="AJ103" i="26"/>
  <c r="AB103" i="26" s="1"/>
  <c r="Z103" i="26"/>
  <c r="R103" i="26" s="1"/>
  <c r="O104" i="26"/>
  <c r="N104" i="26" l="1"/>
  <c r="P104" i="26" s="1"/>
  <c r="H104" i="26" s="1"/>
  <c r="O105" i="26"/>
  <c r="L105" i="26"/>
  <c r="M105" i="26" s="1"/>
  <c r="I106" i="26"/>
  <c r="K106" i="26"/>
  <c r="J106" i="26"/>
  <c r="Z104" i="26"/>
  <c r="R104" i="26" s="1"/>
  <c r="AJ104" i="26"/>
  <c r="AB104" i="26" s="1"/>
  <c r="L106" i="26" l="1"/>
  <c r="M106" i="26" s="1"/>
  <c r="I107" i="26"/>
  <c r="J107" i="26"/>
  <c r="K107" i="26"/>
  <c r="O106" i="26"/>
  <c r="AJ105" i="26"/>
  <c r="AB105" i="26" s="1"/>
  <c r="Z105" i="26"/>
  <c r="R105" i="26" s="1"/>
  <c r="N105" i="26"/>
  <c r="P105" i="26" s="1"/>
  <c r="H105" i="26" s="1"/>
  <c r="N106" i="26" l="1"/>
  <c r="P106" i="26" s="1"/>
  <c r="H106" i="26" s="1"/>
  <c r="L107" i="26"/>
  <c r="M107" i="26" s="1"/>
  <c r="J108" i="26"/>
  <c r="I108" i="26"/>
  <c r="K108" i="26"/>
  <c r="Z106" i="26"/>
  <c r="R106" i="26" s="1"/>
  <c r="AJ106" i="26"/>
  <c r="AB106" i="26" s="1"/>
  <c r="O107" i="26"/>
  <c r="N107" i="26" l="1"/>
  <c r="P107" i="26" s="1"/>
  <c r="H107" i="26" s="1"/>
  <c r="O108" i="26"/>
  <c r="Z107" i="26"/>
  <c r="R107" i="26" s="1"/>
  <c r="AJ107" i="26"/>
  <c r="AB107" i="26" s="1"/>
  <c r="L108" i="26"/>
  <c r="M108" i="26" s="1"/>
  <c r="AJ108" i="26" l="1"/>
  <c r="AB108" i="26" s="1"/>
  <c r="Z108" i="26"/>
  <c r="R108" i="26" s="1"/>
  <c r="N108" i="26"/>
  <c r="P108" i="26" s="1"/>
  <c r="H108" i="26" s="1"/>
  <c r="D230" i="27" l="1"/>
  <c r="D60" i="27"/>
  <c r="D73" i="27" s="1"/>
  <c r="D97" i="27" l="1"/>
  <c r="D193" i="27" s="1"/>
  <c r="D214" i="27" s="1"/>
  <c r="D224" i="27" s="1"/>
  <c r="D225" i="27" s="1"/>
  <c r="D94" i="27"/>
  <c r="D195" i="27" s="1"/>
  <c r="D45" i="35" s="1"/>
  <c r="D235" i="35" l="1"/>
  <c r="D49" i="35"/>
  <c r="F49" i="35" s="1"/>
  <c r="D69" i="35"/>
  <c r="D64" i="35"/>
  <c r="D51" i="35"/>
  <c r="D53" i="35" s="1"/>
  <c r="D192" i="27"/>
  <c r="D196" i="27"/>
  <c r="F195" i="27"/>
  <c r="D205" i="27"/>
  <c r="F225" i="27"/>
  <c r="D215" i="27"/>
  <c r="D216" i="27" s="1"/>
  <c r="D217" i="27" s="1"/>
  <c r="D226" i="27" s="1"/>
  <c r="D131" i="35" l="1"/>
  <c r="D132" i="35" s="1"/>
  <c r="D65" i="35"/>
  <c r="F64" i="35"/>
  <c r="F69" i="35"/>
  <c r="D70" i="35"/>
  <c r="D113" i="35" s="1"/>
  <c r="D71" i="35"/>
  <c r="D76" i="35"/>
  <c r="D79" i="35" s="1"/>
  <c r="D80" i="35" s="1"/>
  <c r="D81" i="35" s="1"/>
  <c r="D91" i="35"/>
  <c r="F239" i="35"/>
  <c r="F240" i="35"/>
  <c r="F241" i="35"/>
  <c r="I240" i="35"/>
  <c r="I241" i="35" s="1"/>
  <c r="I245" i="35"/>
  <c r="I246" i="35" s="1"/>
  <c r="F242" i="35"/>
  <c r="F243" i="35"/>
  <c r="F244" i="35"/>
  <c r="F245" i="35"/>
  <c r="F246" i="35"/>
  <c r="F247" i="35"/>
  <c r="F248" i="35"/>
  <c r="F249" i="35"/>
  <c r="F250" i="35"/>
  <c r="F251" i="35"/>
  <c r="F252" i="35"/>
  <c r="F253" i="35"/>
  <c r="F254" i="35"/>
  <c r="F255" i="35"/>
  <c r="F256" i="35"/>
  <c r="F257" i="35"/>
  <c r="F258" i="35"/>
  <c r="F259" i="35"/>
  <c r="F260" i="35"/>
  <c r="F261" i="35"/>
  <c r="F262" i="35"/>
  <c r="F263" i="35"/>
  <c r="F264" i="35"/>
  <c r="F265" i="35"/>
  <c r="F266" i="35"/>
  <c r="F267" i="35"/>
  <c r="F268" i="35"/>
  <c r="F269" i="35"/>
  <c r="D227" i="27"/>
  <c r="F226" i="27"/>
  <c r="E197" i="27"/>
  <c r="D200" i="27"/>
  <c r="D201" i="27" s="1"/>
  <c r="D197" i="27"/>
  <c r="F197" i="27" s="1"/>
  <c r="F60" i="35" l="1"/>
  <c r="D92" i="35"/>
  <c r="D139" i="35"/>
  <c r="D140" i="35" s="1"/>
  <c r="D93" i="35"/>
  <c r="E167" i="35" s="1"/>
  <c r="D229" i="27"/>
  <c r="F227" i="27"/>
  <c r="D228" i="27"/>
  <c r="D204" i="27"/>
  <c r="D55" i="35" s="1"/>
  <c r="D101" i="35" s="1"/>
  <c r="D102" i="35" s="1"/>
  <c r="D202" i="27"/>
  <c r="D203" i="27" s="1"/>
  <c r="D54" i="35" s="1"/>
  <c r="E164" i="35" l="1"/>
  <c r="E165" i="35"/>
  <c r="E163" i="35"/>
  <c r="E162" i="35"/>
  <c r="D119" i="35"/>
  <c r="D120" i="35" s="1"/>
  <c r="D118" i="35"/>
  <c r="D121" i="35" s="1"/>
  <c r="D135" i="35"/>
  <c r="D86" i="35"/>
  <c r="D87" i="35" s="1"/>
  <c r="D66" i="35"/>
  <c r="D72" i="35"/>
  <c r="D103" i="35"/>
  <c r="D174" i="35"/>
  <c r="D186" i="35"/>
  <c r="D114" i="35"/>
  <c r="E160" i="35" l="1"/>
  <c r="E161" i="35"/>
  <c r="D122" i="35"/>
  <c r="D124" i="35" s="1"/>
  <c r="D126" i="35" s="1"/>
  <c r="D127" i="35" s="1"/>
  <c r="D128" i="35" s="1"/>
  <c r="D187" i="35"/>
  <c r="D88" i="35"/>
  <c r="F88" i="35"/>
  <c r="D29" i="35"/>
  <c r="D30" i="35" s="1"/>
  <c r="E166" i="35" s="1"/>
  <c r="E158" i="35"/>
  <c r="E159" i="35"/>
  <c r="D136" i="35"/>
  <c r="D137" i="35" s="1"/>
  <c r="F96" i="35"/>
  <c r="E154" i="35" l="1"/>
  <c r="E157" i="35"/>
  <c r="E156" i="35"/>
  <c r="E155" i="35"/>
  <c r="E153" i="35"/>
  <c r="E152" i="35"/>
  <c r="E171" i="35"/>
  <c r="E172" i="35"/>
  <c r="E150" i="35"/>
  <c r="D141" i="35"/>
  <c r="D182" i="35"/>
  <c r="D196" i="35" s="1"/>
  <c r="D197" i="35" s="1"/>
  <c r="D198" i="35" s="1"/>
  <c r="E151" i="35"/>
  <c r="D142" i="35"/>
  <c r="D144" i="35" s="1"/>
  <c r="D89" i="35"/>
  <c r="E169" i="35"/>
  <c r="E170" i="35"/>
  <c r="D210" i="35" l="1"/>
  <c r="D205" i="35"/>
  <c r="D145" i="35"/>
  <c r="F145" i="35"/>
  <c r="D90" i="35"/>
  <c r="F90" i="35" s="1"/>
  <c r="D200" i="35"/>
  <c r="D202" i="35" s="1"/>
  <c r="D209" i="35" l="1"/>
  <c r="D208" i="35"/>
  <c r="D212" i="35" s="1"/>
  <c r="D206" i="35"/>
  <c r="E183" i="35"/>
  <c r="D211" i="35" l="1"/>
</calcChain>
</file>

<file path=xl/comments1.xml><?xml version="1.0" encoding="utf-8"?>
<comments xmlns="http://schemas.openxmlformats.org/spreadsheetml/2006/main">
  <authors>
    <author>Chris Oberhauser</author>
  </authors>
  <commentList>
    <comment ref="C23" authorId="0" shapeId="0">
      <text>
        <r>
          <rPr>
            <b/>
            <sz val="9"/>
            <color indexed="81"/>
            <rFont val="Tahoma"/>
            <family val="2"/>
          </rPr>
          <t>Larger Coils have improved sensing range</t>
        </r>
        <r>
          <rPr>
            <sz val="9"/>
            <color indexed="81"/>
            <rFont val="Tahoma"/>
            <family val="2"/>
          </rPr>
          <t xml:space="preserve">
</t>
        </r>
      </text>
    </comment>
    <comment ref="C25" authorId="0" shapeId="0">
      <text>
        <r>
          <rPr>
            <sz val="9"/>
            <color indexed="81"/>
            <rFont val="Tahoma"/>
            <family val="2"/>
          </rPr>
          <t xml:space="preserve">This must be closer than Switch-On distance
</t>
        </r>
      </text>
    </comment>
  </commentList>
</comments>
</file>

<file path=xl/comments2.xml><?xml version="1.0" encoding="utf-8"?>
<comments xmlns="http://schemas.openxmlformats.org/spreadsheetml/2006/main">
  <authors>
    <author>Chris Oberhauser</author>
  </authors>
  <commentList>
    <comment ref="D74" authorId="0" shapeId="0">
      <text>
        <r>
          <rPr>
            <sz val="9"/>
            <color indexed="81"/>
            <rFont val="Tahoma"/>
            <family val="2"/>
          </rPr>
          <t>This is typically between 0.5 and 0.85</t>
        </r>
      </text>
    </comment>
    <comment ref="C226" authorId="0" shapeId="0">
      <text>
        <r>
          <rPr>
            <b/>
            <sz val="9"/>
            <color indexed="81"/>
            <rFont val="Tahoma"/>
            <family val="2"/>
          </rPr>
          <t>Applied to CLKIN input</t>
        </r>
        <r>
          <rPr>
            <sz val="9"/>
            <color indexed="81"/>
            <rFont val="Tahoma"/>
            <family val="2"/>
          </rPr>
          <t xml:space="preserve">
Use 42MHz for Internal divider value.</t>
        </r>
      </text>
    </comment>
  </commentList>
</comments>
</file>

<file path=xl/comments3.xml><?xml version="1.0" encoding="utf-8"?>
<comments xmlns="http://schemas.openxmlformats.org/spreadsheetml/2006/main">
  <authors>
    <author>SVA Employee</author>
    <author>Chris Oberhauser</author>
  </authors>
  <commentList>
    <comment ref="C24" authorId="0" shapeId="0">
      <text>
        <r>
          <rPr>
            <b/>
            <sz val="9"/>
            <color indexed="81"/>
            <rFont val="Tahoma"/>
            <family val="2"/>
          </rPr>
          <t>Qmax = Rp_parasitic*</t>
        </r>
        <r>
          <rPr>
            <b/>
            <sz val="12"/>
            <color indexed="81"/>
            <rFont val="Symbol"/>
            <family val="1"/>
            <charset val="2"/>
          </rPr>
          <t>Ö</t>
        </r>
        <r>
          <rPr>
            <b/>
            <sz val="9"/>
            <color indexed="81"/>
            <rFont val="Tahoma"/>
            <family val="2"/>
          </rPr>
          <t>Csens/Lsens[initial]</t>
        </r>
      </text>
    </comment>
    <comment ref="C33" authorId="0" shapeId="0">
      <text>
        <r>
          <rPr>
            <b/>
            <sz val="9"/>
            <color indexed="81"/>
            <rFont val="Tahoma"/>
            <family val="2"/>
          </rPr>
          <t>Maximum Inductance
variation due to
target movement as a ratio compared to initial Lsen value</t>
        </r>
        <r>
          <rPr>
            <sz val="9"/>
            <color indexed="81"/>
            <rFont val="Tahoma"/>
            <family val="2"/>
          </rPr>
          <t xml:space="preserve">
</t>
        </r>
      </text>
    </comment>
    <comment ref="C34" authorId="0" shapeId="0">
      <text>
        <r>
          <rPr>
            <b/>
            <sz val="9"/>
            <color indexed="81"/>
            <rFont val="Tahoma"/>
            <family val="2"/>
          </rPr>
          <t>Sensor Inductance
(dist=0 to target)</t>
        </r>
        <r>
          <rPr>
            <sz val="9"/>
            <color indexed="81"/>
            <rFont val="Tahoma"/>
            <family val="2"/>
          </rPr>
          <t xml:space="preserve">
</t>
        </r>
        <r>
          <rPr>
            <b/>
            <sz val="9"/>
            <color indexed="81"/>
            <rFont val="Tahoma"/>
            <family val="2"/>
          </rPr>
          <t>Lfinal = Lvariation*Linitial</t>
        </r>
      </text>
    </comment>
    <comment ref="C35" authorId="0" shapeId="0">
      <text>
        <r>
          <rPr>
            <b/>
            <sz val="9"/>
            <color indexed="81"/>
            <rFont val="Tahoma"/>
            <family val="2"/>
          </rPr>
          <t>Oscillation Frequency:
Fosc =1/(2</t>
        </r>
        <r>
          <rPr>
            <b/>
            <sz val="9"/>
            <color indexed="81"/>
            <rFont val="Calibri"/>
            <family val="2"/>
          </rPr>
          <t>π</t>
        </r>
        <r>
          <rPr>
            <b/>
            <sz val="9"/>
            <color indexed="81"/>
            <rFont val="Symbol"/>
            <family val="1"/>
            <charset val="2"/>
          </rPr>
          <t>Ö</t>
        </r>
        <r>
          <rPr>
            <b/>
            <sz val="9"/>
            <color indexed="81"/>
            <rFont val="Tahoma"/>
            <family val="2"/>
          </rPr>
          <t>Lsens.Csens)</t>
        </r>
      </text>
    </comment>
    <comment ref="C37" authorId="0" shapeId="0">
      <text>
        <r>
          <rPr>
            <b/>
            <sz val="9"/>
            <color indexed="81"/>
            <rFont val="Tahoma"/>
            <family val="2"/>
          </rPr>
          <t>Equivalent Parallel 
Parasitic Resistance (d=0):
Rp = Lsens[final] / ( Csens.Rs )</t>
        </r>
        <r>
          <rPr>
            <sz val="9"/>
            <color indexed="81"/>
            <rFont val="Tahoma"/>
            <family val="2"/>
          </rPr>
          <t xml:space="preserve">
</t>
        </r>
      </text>
    </comment>
    <comment ref="C41" authorId="0" shapeId="0">
      <text>
        <r>
          <rPr>
            <b/>
            <sz val="9"/>
            <color indexed="81"/>
            <rFont val="Tahoma"/>
            <family val="2"/>
          </rPr>
          <t>Qmin = RpMIN*</t>
        </r>
        <r>
          <rPr>
            <b/>
            <sz val="9"/>
            <color indexed="81"/>
            <rFont val="Symbol"/>
            <family val="1"/>
            <charset val="2"/>
          </rPr>
          <t>Ö</t>
        </r>
        <r>
          <rPr>
            <b/>
            <sz val="9"/>
            <color indexed="81"/>
            <rFont val="Tahoma"/>
            <family val="2"/>
          </rPr>
          <t>Csens/Lsens[final]</t>
        </r>
        <r>
          <rPr>
            <sz val="9"/>
            <color indexed="81"/>
            <rFont val="Tahoma"/>
            <family val="2"/>
          </rPr>
          <t xml:space="preserve">
</t>
        </r>
      </text>
    </comment>
    <comment ref="C45" authorId="0" shapeId="0">
      <text>
        <r>
          <rPr>
            <b/>
            <sz val="9"/>
            <color indexed="81"/>
            <rFont val="Tahoma"/>
            <family val="2"/>
          </rPr>
          <t>Detector Resistance (d=0):
Rff = 1.66/( Fosc*</t>
        </r>
        <r>
          <rPr>
            <b/>
            <sz val="12"/>
            <color indexed="81"/>
            <rFont val="Symbol"/>
            <family val="1"/>
            <charset val="2"/>
          </rPr>
          <t>p</t>
        </r>
        <r>
          <rPr>
            <b/>
            <sz val="9"/>
            <color indexed="81"/>
            <rFont val="Tahoma"/>
            <family val="2"/>
          </rPr>
          <t>*Cff )</t>
        </r>
        <r>
          <rPr>
            <sz val="9"/>
            <color indexed="81"/>
            <rFont val="Tahoma"/>
            <family val="2"/>
          </rPr>
          <t xml:space="preserve">
</t>
        </r>
      </text>
    </comment>
    <comment ref="C160" authorId="1" shapeId="0">
      <text>
        <r>
          <rPr>
            <b/>
            <sz val="9"/>
            <color indexed="81"/>
            <rFont val="Tahoma"/>
            <family val="2"/>
          </rPr>
          <t>Applied to CLKIN input</t>
        </r>
        <r>
          <rPr>
            <sz val="9"/>
            <color indexed="81"/>
            <rFont val="Tahoma"/>
            <family val="2"/>
          </rPr>
          <t xml:space="preserve">
Use 42MHz for Internal divider value.</t>
        </r>
      </text>
    </comment>
    <comment ref="C171" authorId="1" shapeId="0">
      <text>
        <r>
          <rPr>
            <b/>
            <sz val="9"/>
            <color indexed="81"/>
            <rFont val="Tahoma"/>
            <family val="2"/>
          </rPr>
          <t>Applied to TBCLK input</t>
        </r>
        <r>
          <rPr>
            <sz val="9"/>
            <color indexed="81"/>
            <rFont val="Tahoma"/>
            <family val="2"/>
          </rPr>
          <t xml:space="preserve">
</t>
        </r>
      </text>
    </comment>
    <comment ref="D193" authorId="1" shapeId="0">
      <text>
        <r>
          <rPr>
            <sz val="9"/>
            <color indexed="81"/>
            <rFont val="Tahoma"/>
            <family val="2"/>
          </rPr>
          <t>This is typically between 0.5 and 0.85</t>
        </r>
      </text>
    </comment>
  </commentList>
</comments>
</file>

<file path=xl/comments4.xml><?xml version="1.0" encoding="utf-8"?>
<comments xmlns="http://schemas.openxmlformats.org/spreadsheetml/2006/main">
  <authors>
    <author>Chris Oberhauser</author>
  </authors>
  <commentList>
    <comment ref="C30" authorId="0" shapeId="0">
      <text>
        <r>
          <rPr>
            <b/>
            <sz val="9"/>
            <color indexed="81"/>
            <rFont val="Tahoma"/>
            <family val="2"/>
          </rPr>
          <t>Applied to TBCLK input</t>
        </r>
        <r>
          <rPr>
            <sz val="9"/>
            <color indexed="81"/>
            <rFont val="Tahoma"/>
            <family val="2"/>
          </rPr>
          <t xml:space="preserve">
</t>
        </r>
      </text>
    </comment>
    <comment ref="D61" authorId="0" shapeId="0">
      <text>
        <r>
          <rPr>
            <sz val="9"/>
            <color indexed="81"/>
            <rFont val="Tahoma"/>
            <family val="2"/>
          </rPr>
          <t>This is typically between 0.5 and 0.85</t>
        </r>
      </text>
    </comment>
  </commentList>
</comments>
</file>

<file path=xl/comments5.xml><?xml version="1.0" encoding="utf-8"?>
<comments xmlns="http://schemas.openxmlformats.org/spreadsheetml/2006/main">
  <authors>
    <author>Chris Oberhauser</author>
  </authors>
  <commentList>
    <comment ref="C19" authorId="0" shapeId="0">
      <text>
        <r>
          <rPr>
            <b/>
            <sz val="9"/>
            <color indexed="81"/>
            <rFont val="Tahoma"/>
            <family val="2"/>
          </rPr>
          <t xml:space="preserve">Note: </t>
        </r>
        <r>
          <rPr>
            <sz val="9"/>
            <color indexed="81"/>
            <rFont val="Tahoma"/>
            <family val="2"/>
          </rPr>
          <t xml:space="preserve">1oz copper is 35.6µm
</t>
        </r>
      </text>
    </comment>
  </commentList>
</comments>
</file>

<file path=xl/sharedStrings.xml><?xml version="1.0" encoding="utf-8"?>
<sst xmlns="http://schemas.openxmlformats.org/spreadsheetml/2006/main" count="2608" uniqueCount="1653">
  <si>
    <t>MHz</t>
  </si>
  <si>
    <t>Hz</t>
  </si>
  <si>
    <t>Sensor Frequency</t>
  </si>
  <si>
    <t>cm</t>
  </si>
  <si>
    <t>Remote Sensor Distance Calculator</t>
  </si>
  <si>
    <t>Maximum Distance:</t>
  </si>
  <si>
    <t>Solve for maximum distance with a given sensor frequency</t>
  </si>
  <si>
    <t>Device:</t>
  </si>
  <si>
    <t>Solve for sensor frequency for a given distance</t>
  </si>
  <si>
    <t>Maximum Sensor Frequency</t>
  </si>
  <si>
    <t>LDC1000</t>
  </si>
  <si>
    <t>This tool does not include effects from environmental noise, which could also reduce the maximum effective sensor distance.</t>
  </si>
  <si>
    <t>Use of twisted pair is recommended for remote sensor placement.</t>
  </si>
  <si>
    <t>Fmax (MHz)</t>
  </si>
  <si>
    <t>Fmin(MHz)</t>
  </si>
  <si>
    <t>Device</t>
  </si>
  <si>
    <r>
      <rPr>
        <sz val="11"/>
        <color theme="1"/>
        <rFont val="Calibri"/>
        <family val="2"/>
      </rPr>
      <t>×</t>
    </r>
    <r>
      <rPr>
        <sz val="11"/>
        <color theme="1"/>
        <rFont val="ＭＳ Ｐゴシック"/>
        <family val="2"/>
        <scheme val="minor"/>
      </rPr>
      <t xml:space="preserve"> speed of light</t>
    </r>
  </si>
  <si>
    <t xml:space="preserve">Reference Frequency </t>
  </si>
  <si>
    <t>LDC Response Setting</t>
  </si>
  <si>
    <t>Reference Frequency</t>
  </si>
  <si>
    <t>Layer Stackup</t>
  </si>
  <si>
    <t>Enter only in Yellow Fields (pull-down for mm or mil)</t>
  </si>
  <si>
    <t>Results in Orange Fields</t>
  </si>
  <si>
    <t>Operating temperature</t>
  </si>
  <si>
    <t>T</t>
  </si>
  <si>
    <t>Enter operating temperature</t>
  </si>
  <si>
    <t>C</t>
  </si>
  <si>
    <t>pF</t>
  </si>
  <si>
    <t>Select LC tank capacitance</t>
  </si>
  <si>
    <t>Layers</t>
  </si>
  <si>
    <t>M</t>
  </si>
  <si>
    <t>Turns</t>
  </si>
  <si>
    <t>N</t>
  </si>
  <si>
    <t>Number of turns per layer</t>
  </si>
  <si>
    <t>mm</t>
  </si>
  <si>
    <t>Outer Diameter of the spiral inductor</t>
  </si>
  <si>
    <t>din</t>
  </si>
  <si>
    <t>Inner diameter of the spiral inductor (mm or mil)</t>
  </si>
  <si>
    <t>spacing between traces</t>
  </si>
  <si>
    <t>S</t>
  </si>
  <si>
    <t>Space between traces (mm or mil)</t>
  </si>
  <si>
    <t>width of trace</t>
  </si>
  <si>
    <t>w</t>
  </si>
  <si>
    <t>Width of the trace  (mm or mil)</t>
  </si>
  <si>
    <t>Space between layer 1 and 2  (mm or mil)</t>
  </si>
  <si>
    <t>Space between layer 2 and 3  (mm or mil)</t>
  </si>
  <si>
    <t>Space between layer 3 and 4 (mm or mil)</t>
  </si>
  <si>
    <t>Space between layer 4 and 5  (mm or mil)</t>
  </si>
  <si>
    <t>Space between layer 5 and 6  (mm or mil)</t>
  </si>
  <si>
    <t>Space between layer 6 and 7  (mm or mil)</t>
  </si>
  <si>
    <t>Space between layer 7 and 8  (mm or mil)</t>
  </si>
  <si>
    <t>Copper thickness</t>
  </si>
  <si>
    <t>t</t>
  </si>
  <si>
    <t>oz-Cu</t>
  </si>
  <si>
    <t>Copper layer thickness  (mm,Oz-Cu, or mil)</t>
  </si>
  <si>
    <t>pr</t>
  </si>
  <si>
    <t>pr_tc</t>
  </si>
  <si>
    <t>Conductor relative permeability</t>
  </si>
  <si>
    <t>Parasitic capacitance</t>
  </si>
  <si>
    <t>Cpar</t>
  </si>
  <si>
    <t>Estimate - generally in the rage of 1 to 5 pf</t>
  </si>
  <si>
    <t>Copper resistivity at operating temperature</t>
  </si>
  <si>
    <t xml:space="preserve">pr_t </t>
  </si>
  <si>
    <t>Average diameter</t>
  </si>
  <si>
    <t>davg</t>
  </si>
  <si>
    <t>Geometric mean diameter</t>
  </si>
  <si>
    <t>p</t>
  </si>
  <si>
    <t>Inductor inner diameter</t>
  </si>
  <si>
    <t>Self inductance per layer</t>
  </si>
  <si>
    <t>L</t>
  </si>
  <si>
    <r>
      <rPr>
        <sz val="10"/>
        <color theme="1"/>
        <rFont val="Calibri"/>
        <family val="2"/>
      </rPr>
      <t>µ</t>
    </r>
    <r>
      <rPr>
        <sz val="10"/>
        <color theme="1"/>
        <rFont val="ＭＳ Ｐゴシック"/>
        <family val="2"/>
        <scheme val="minor"/>
      </rPr>
      <t>H</t>
    </r>
  </si>
  <si>
    <t>Sensor Operating Frequency</t>
  </si>
  <si>
    <t>kHz</t>
  </si>
  <si>
    <t>coil length per layer</t>
  </si>
  <si>
    <t>l</t>
  </si>
  <si>
    <t>DC resistance</t>
  </si>
  <si>
    <t>Rdc</t>
  </si>
  <si>
    <t>Ω</t>
  </si>
  <si>
    <t>Skin depth</t>
  </si>
  <si>
    <t>sd</t>
  </si>
  <si>
    <t>AC resistance (skin effect only)</t>
  </si>
  <si>
    <t>Rp</t>
  </si>
  <si>
    <t>Q factor</t>
  </si>
  <si>
    <t>Q</t>
  </si>
  <si>
    <t>SRF</t>
  </si>
  <si>
    <t>Spring inductance estimate according to Wheeler's formula</t>
  </si>
  <si>
    <t>L_series</t>
  </si>
  <si>
    <t>f_compressed</t>
  </si>
  <si>
    <t>f_extended</t>
  </si>
  <si>
    <t>d</t>
  </si>
  <si>
    <t>coil diameter</t>
  </si>
  <si>
    <t>number of turns</t>
  </si>
  <si>
    <t>length</t>
  </si>
  <si>
    <t>codewords difference</t>
  </si>
  <si>
    <t>LDC Calculations Tool</t>
  </si>
  <si>
    <t>Placing a capacitor of 10-50pF from the INA/INB pins to ground can mitigate noise issues.</t>
  </si>
  <si>
    <t>µH</t>
  </si>
  <si>
    <t>f</t>
  </si>
  <si>
    <t>Response Time</t>
  </si>
  <si>
    <t>pf</t>
  </si>
  <si>
    <t>Inductance</t>
  </si>
  <si>
    <t>Melting point</t>
  </si>
  <si>
    <t>°F</t>
  </si>
  <si>
    <t>Skin Depth Calculator</t>
  </si>
  <si>
    <t>Material</t>
  </si>
  <si>
    <t>Copper</t>
  </si>
  <si>
    <t>Conductivity</t>
  </si>
  <si>
    <t>µΩ-cm</t>
  </si>
  <si>
    <t>Ωm</t>
  </si>
  <si>
    <t>Relative Permeability</t>
  </si>
  <si>
    <t>u</t>
  </si>
  <si>
    <t>H/m</t>
  </si>
  <si>
    <t>Skin Depth</t>
  </si>
  <si>
    <t>m</t>
  </si>
  <si>
    <t>µm</t>
  </si>
  <si>
    <t>Material Thickness</t>
  </si>
  <si>
    <t xml:space="preserve">m </t>
  </si>
  <si>
    <t>Percentage of Current:</t>
  </si>
  <si>
    <t>skin depths</t>
  </si>
  <si>
    <t>Data Courtesy of Microwaves101.com</t>
  </si>
  <si>
    <t>Bulk resistivity</t>
  </si>
  <si>
    <t>°C</t>
  </si>
  <si>
    <t>Aluminum</t>
  </si>
  <si>
    <t>Al</t>
  </si>
  <si>
    <t>Carbon</t>
  </si>
  <si>
    <t>Chromium</t>
  </si>
  <si>
    <t>Cr</t>
  </si>
  <si>
    <t>Cu</t>
  </si>
  <si>
    <t>Gold</t>
  </si>
  <si>
    <t>Au</t>
  </si>
  <si>
    <t>Iron</t>
  </si>
  <si>
    <t>Fe</t>
  </si>
  <si>
    <t>Lead</t>
  </si>
  <si>
    <t>Pb</t>
  </si>
  <si>
    <t>Magnesium</t>
  </si>
  <si>
    <t>Mg</t>
  </si>
  <si>
    <t>Nickel</t>
  </si>
  <si>
    <t>Ni</t>
  </si>
  <si>
    <t>Nichrome</t>
  </si>
  <si>
    <t>Ni80/Cr20</t>
  </si>
  <si>
    <t>0 to 50</t>
  </si>
  <si>
    <t>Silver</t>
  </si>
  <si>
    <t>Ag</t>
  </si>
  <si>
    <t>Tantalum</t>
  </si>
  <si>
    <t>Ta</t>
  </si>
  <si>
    <t>Tantalum nitride</t>
  </si>
  <si>
    <t>TaN</t>
  </si>
  <si>
    <t>Tin (white)</t>
  </si>
  <si>
    <t>Sn</t>
  </si>
  <si>
    <t>Titanium</t>
  </si>
  <si>
    <t>Ti</t>
  </si>
  <si>
    <t>Tungsten</t>
  </si>
  <si>
    <t>W</t>
  </si>
  <si>
    <t>Zinc</t>
  </si>
  <si>
    <t>Zn</t>
  </si>
  <si>
    <t>Zirconium</t>
  </si>
  <si>
    <t>Zr</t>
  </si>
  <si>
    <t>Skin Depth Calculation</t>
  </si>
  <si>
    <t>Number of Skin Depths:</t>
  </si>
  <si>
    <t>Csensor</t>
  </si>
  <si>
    <r>
      <rPr>
        <sz val="11"/>
        <color theme="1"/>
        <rFont val="Calibri"/>
        <family val="2"/>
      </rPr>
      <t>µ</t>
    </r>
    <r>
      <rPr>
        <sz val="11"/>
        <color theme="1"/>
        <rFont val="ＭＳ Ｐゴシック"/>
        <family val="2"/>
        <scheme val="minor"/>
      </rPr>
      <t>H</t>
    </r>
  </si>
  <si>
    <t>Fdelta</t>
  </si>
  <si>
    <t>may be needed to satisfy boundary conditions</t>
  </si>
  <si>
    <t>%</t>
  </si>
  <si>
    <t>Target Material</t>
  </si>
  <si>
    <t>Courtesy of Microwaves101.com</t>
  </si>
  <si>
    <t>Set in Register 0x04</t>
  </si>
  <si>
    <t>LDC output from Registers [0x23:0x25]</t>
  </si>
  <si>
    <t>AC currents remain on the surface of conductor, decaying in an exponential manner. The</t>
  </si>
  <si>
    <t>depth of ~63% of the current is called the skin depth. A higher frequency will have a shallower skin</t>
  </si>
  <si>
    <t>An LDC can use a spring as a sensor, and measure contraction or expansion of the spring.</t>
  </si>
  <si>
    <t>Compressed Spring Settings</t>
  </si>
  <si>
    <t>Spring inductance</t>
  </si>
  <si>
    <t>First, enter the spring mechanical parameters at compressed and extended settings</t>
  </si>
  <si>
    <t xml:space="preserve">then then configure the LDC to calculate the codeword difference; the larger the </t>
  </si>
  <si>
    <t>code word difference between compressed and extended conditions, the more physical</t>
  </si>
  <si>
    <t xml:space="preserve">measurement resolution available. </t>
  </si>
  <si>
    <t>Extended Spring Settings</t>
  </si>
  <si>
    <t>Lmin</t>
  </si>
  <si>
    <t>Lmax</t>
  </si>
  <si>
    <t>Includes the L_series value</t>
  </si>
  <si>
    <t>Note that for some springs, a series inductor may be necessary for a compliant sensor frequency.</t>
  </si>
  <si>
    <t>LDC1000/LDC1041 Inductance Measurement</t>
  </si>
  <si>
    <t>LDC1041</t>
  </si>
  <si>
    <t>PCB thickness between 1st layer and 2nd layer</t>
  </si>
  <si>
    <t>PCB thickness between 2nd layer and 3rd layer</t>
  </si>
  <si>
    <t>PCB thickness between 3rd layer and 4th layer</t>
  </si>
  <si>
    <t>PCB thickness between 4th layer and 5th layer</t>
  </si>
  <si>
    <t>PCB thickness between 5th layer and 6th layer</t>
  </si>
  <si>
    <t>PCB thickness between 6th layer and 7th layer</t>
  </si>
  <si>
    <t>PCB thickness between 7th layer and 8th layer</t>
  </si>
  <si>
    <t>h12</t>
  </si>
  <si>
    <t>h23</t>
  </si>
  <si>
    <t>h34</t>
  </si>
  <si>
    <t>h45</t>
  </si>
  <si>
    <t>h56</t>
  </si>
  <si>
    <t>h67</t>
  </si>
  <si>
    <t>h78</t>
  </si>
  <si>
    <t>Return to Main Page</t>
  </si>
  <si>
    <t>Return to Main page</t>
  </si>
  <si>
    <t>Quick Sensor L/C/f Calculator</t>
  </si>
  <si>
    <t>Sample Rate</t>
  </si>
  <si>
    <t>ksps</t>
  </si>
  <si>
    <t xml:space="preserve">A lower Q sensor (&lt;15) will not be able to work at as a large a distance. </t>
  </si>
  <si>
    <t>IC Max Sensor Frequency:</t>
  </si>
  <si>
    <t>IC Min Sensor Frequency:</t>
  </si>
  <si>
    <t>Cable Velocity Factor:</t>
  </si>
  <si>
    <t>Sensor Frequency:</t>
  </si>
  <si>
    <t>Desired Distance:</t>
  </si>
  <si>
    <t>number of registers to set</t>
  </si>
  <si>
    <t>Number of channels of measurement</t>
  </si>
  <si>
    <t>Normalized Shutdown current</t>
  </si>
  <si>
    <t>Normalized Sleep current</t>
  </si>
  <si>
    <t>Normalized Active current</t>
  </si>
  <si>
    <t>LDC1612/4</t>
  </si>
  <si>
    <t>LDC1312/4</t>
  </si>
  <si>
    <t>LDCs can utilize a remote sensor. This tool calculates the absolute maximum</t>
  </si>
  <si>
    <t>other system characteristics can reduce this range significantly.</t>
  </si>
  <si>
    <t>distance the sensor can be located from the LDC. Note that environmental effects and</t>
  </si>
  <si>
    <t>Response time</t>
  </si>
  <si>
    <t>Reference Count</t>
  </si>
  <si>
    <t>Conversion Time</t>
  </si>
  <si>
    <t>µs</t>
  </si>
  <si>
    <t>Approx Sample Rate</t>
  </si>
  <si>
    <t>Select LDC Device:</t>
  </si>
  <si>
    <t>LDC131x/LDC161x</t>
  </si>
  <si>
    <t>Note: for LDC131x, values greater than 65535 do not provide improved resolution</t>
  </si>
  <si>
    <t>Effective Code Difference</t>
  </si>
  <si>
    <t>fsensor</t>
  </si>
  <si>
    <t>ms</t>
  </si>
  <si>
    <t>I2C Datarate</t>
  </si>
  <si>
    <t>kbit/s</t>
  </si>
  <si>
    <t>Desired Sample Rate</t>
  </si>
  <si>
    <t>POR time</t>
  </si>
  <si>
    <t>I2C config time</t>
  </si>
  <si>
    <t>i2C clocks to configure one register</t>
  </si>
  <si>
    <t>Active mode start time</t>
  </si>
  <si>
    <t>channel switching overhead time</t>
  </si>
  <si>
    <t>total active time per second</t>
  </si>
  <si>
    <t>LDC Device</t>
  </si>
  <si>
    <t>Total I2C IO time (in sleep mode)</t>
  </si>
  <si>
    <t xml:space="preserve">single conversion time  </t>
  </si>
  <si>
    <t>Sensor RP</t>
  </si>
  <si>
    <t>kΩ</t>
  </si>
  <si>
    <t>mA</t>
  </si>
  <si>
    <t>sensor current</t>
  </si>
  <si>
    <t>Shutdown current</t>
  </si>
  <si>
    <t>Sleep current</t>
  </si>
  <si>
    <t>Total Shutdown time</t>
  </si>
  <si>
    <t>settling time per channel</t>
  </si>
  <si>
    <t>Total Sleep time per second</t>
  </si>
  <si>
    <t>total time per all channels measurement</t>
  </si>
  <si>
    <t>Ideal Settle count</t>
  </si>
  <si>
    <r>
      <rPr>
        <sz val="10"/>
        <color theme="1"/>
        <rFont val="Calibri"/>
        <family val="2"/>
      </rPr>
      <t>µ</t>
    </r>
    <r>
      <rPr>
        <sz val="10"/>
        <color theme="1"/>
        <rFont val="ＭＳ Ｐゴシック"/>
        <family val="2"/>
        <scheme val="minor"/>
      </rPr>
      <t>A</t>
    </r>
  </si>
  <si>
    <t>LDC161x Inductive Measurement</t>
  </si>
  <si>
    <t>Conductor Resistivity temperature coef</t>
  </si>
  <si>
    <t>relative Permiablity</t>
  </si>
  <si>
    <t>LDC1000 Sample Rate</t>
  </si>
  <si>
    <t>ppm/°C</t>
  </si>
  <si>
    <t>Resistivity Tempco (TCR)</t>
  </si>
  <si>
    <t>Composition</t>
  </si>
  <si>
    <t>fullscale resolution</t>
  </si>
  <si>
    <t>LDC131x Gain</t>
  </si>
  <si>
    <t>Value programmed into OFFSET_CHx Register</t>
  </si>
  <si>
    <t>Sensor Capacitance</t>
  </si>
  <si>
    <t>Values below 100pf may exhibit parasitic interactions</t>
  </si>
  <si>
    <t>Reference Divider</t>
  </si>
  <si>
    <t>Fin Divider</t>
  </si>
  <si>
    <t>Select LDC</t>
  </si>
  <si>
    <t>CLKIN Frequency</t>
  </si>
  <si>
    <t>TI LDC InductanceCalculator</t>
  </si>
  <si>
    <t>Note on usage of these worksheets:</t>
  </si>
  <si>
    <t>Click on a tool from the list below:</t>
  </si>
  <si>
    <t>Quick Sensor L/C/f Calculator:</t>
  </si>
  <si>
    <t>If you want to minimize the effect of a conductor, use a target thickness of less than 0.5 skin depths</t>
  </si>
  <si>
    <t xml:space="preserve">depth. It is recommended to use a target thickness of at least 3 skin depths for a good LDC measurement. </t>
  </si>
  <si>
    <t>Resonance impedance estimate</t>
  </si>
  <si>
    <t>Quick Sensor Rp/Rs/Q Calculator:</t>
  </si>
  <si>
    <t>Sensor Inductance</t>
  </si>
  <si>
    <t>Calculated Sensor Frequency</t>
  </si>
  <si>
    <t>Sensor Frequency 
(copy from C11 if desired)</t>
  </si>
  <si>
    <t>bits</t>
  </si>
  <si>
    <t>Conversion Interval</t>
  </si>
  <si>
    <t xml:space="preserve">Device </t>
  </si>
  <si>
    <t>LDC131x Output Gain</t>
  </si>
  <si>
    <t>Approx. L Measurement Resolution</t>
  </si>
  <si>
    <t>Coil Fill Ratio</t>
  </si>
  <si>
    <t>Outer diameter of inductor in mm</t>
  </si>
  <si>
    <t>din/dout</t>
  </si>
  <si>
    <r>
      <t>Reminder: 1oz copper is ~35</t>
    </r>
    <r>
      <rPr>
        <sz val="11"/>
        <color theme="1"/>
        <rFont val="Calibri"/>
        <family val="2"/>
      </rPr>
      <t>µm thick.</t>
    </r>
  </si>
  <si>
    <t>Enter values or select settings in yellow cells only.</t>
  </si>
  <si>
    <t>Results provided in Orange cells. Do not edit these fields.</t>
  </si>
  <si>
    <t>Intermediate Calculation cells. Do not edit.</t>
  </si>
  <si>
    <t>Sensor Parameters:</t>
  </si>
  <si>
    <t>Lsensor (No Target)</t>
  </si>
  <si>
    <t>Lsensor (Closest target)</t>
  </si>
  <si>
    <t>Fsensor(Closest target)</t>
  </si>
  <si>
    <t xml:space="preserve">Qmax = </t>
  </si>
  <si>
    <t>C1 (initial) =</t>
  </si>
  <si>
    <t>C1 (final) =</t>
  </si>
  <si>
    <t>R1 (initial)=</t>
  </si>
  <si>
    <t>R1 (final) =</t>
  </si>
  <si>
    <t>C2 (initial) =</t>
  </si>
  <si>
    <t>C2 (final) =</t>
  </si>
  <si>
    <t>R2 (initial) =</t>
  </si>
  <si>
    <t>R2 (final) =</t>
  </si>
  <si>
    <t>Limits and Parameters</t>
  </si>
  <si>
    <t>pico</t>
  </si>
  <si>
    <t>micro</t>
  </si>
  <si>
    <t>Mega</t>
  </si>
  <si>
    <t>Limits</t>
  </si>
  <si>
    <t>Min</t>
  </si>
  <si>
    <t>Max</t>
  </si>
  <si>
    <t>Lsensor</t>
  </si>
  <si>
    <t>Fosc</t>
  </si>
  <si>
    <t>Qsensor</t>
  </si>
  <si>
    <t>Rpparasitic</t>
  </si>
  <si>
    <t>Vamp</t>
  </si>
  <si>
    <t>Vswing</t>
  </si>
  <si>
    <t>K1 limits</t>
  </si>
  <si>
    <t>F1</t>
  </si>
  <si>
    <t>K1=F1/Fosc</t>
  </si>
  <si>
    <t>RP Listing</t>
  </si>
  <si>
    <t>C1 List</t>
  </si>
  <si>
    <t>C2 List</t>
  </si>
  <si>
    <r>
      <t>k</t>
    </r>
    <r>
      <rPr>
        <sz val="10"/>
        <color theme="1"/>
        <rFont val="Calibri"/>
        <family val="2"/>
      </rPr>
      <t>Ω</t>
    </r>
  </si>
  <si>
    <t>RpMIN Setting</t>
  </si>
  <si>
    <t>RpMAX Setting</t>
  </si>
  <si>
    <t>Spring Sensor Calculation Tool</t>
  </si>
  <si>
    <t>Spring Sensor Calculator Tool</t>
  </si>
  <si>
    <t>For the LDC131x/LDC161x, set the input deglitch filter appropriately (Register 0x1B[2:0]).</t>
  </si>
  <si>
    <t>Target Movement Change:</t>
  </si>
  <si>
    <t>LDC1101</t>
  </si>
  <si>
    <t>Max Ref Frequency</t>
  </si>
  <si>
    <t>Max Sensor Frequency</t>
  </si>
  <si>
    <t>Calculate the L or RP measurement based on device output code and device settings.</t>
  </si>
  <si>
    <t>RP Max setting</t>
  </si>
  <si>
    <t>RP Min Setting</t>
  </si>
  <si>
    <t>LDC1000RP_SETTING(kΩ)</t>
  </si>
  <si>
    <t>Active RP List</t>
  </si>
  <si>
    <t>kΩ</t>
  </si>
  <si>
    <t>LDC1101 RP Calculation</t>
  </si>
  <si>
    <t>Max output code</t>
  </si>
  <si>
    <t>LDC1000/10x1 RP Calc</t>
  </si>
  <si>
    <t>RP Decimal Output Code</t>
  </si>
  <si>
    <t>Max fCLKIN</t>
  </si>
  <si>
    <t>(value in registers 0x08:0x0B)</t>
  </si>
  <si>
    <t>Hex</t>
  </si>
  <si>
    <t>Sensor capacitance</t>
  </si>
  <si>
    <t>Register TC1 setting</t>
  </si>
  <si>
    <t>Address 0x02</t>
  </si>
  <si>
    <t>Address 0x03</t>
  </si>
  <si>
    <t>Register TC2 setting</t>
  </si>
  <si>
    <t>Register RP_SET setting</t>
  </si>
  <si>
    <t>Address 0x01</t>
  </si>
  <si>
    <t>Lvariation</t>
  </si>
  <si>
    <r>
      <t>this is typically 80%</t>
    </r>
    <r>
      <rPr>
        <sz val="10"/>
        <color theme="1"/>
        <rFont val="Calibri"/>
        <family val="2"/>
      </rPr>
      <t>≤ x</t>
    </r>
    <r>
      <rPr>
        <sz val="10"/>
        <color theme="1"/>
        <rFont val="ＭＳ Ｐゴシック"/>
        <family val="2"/>
        <scheme val="minor"/>
      </rPr>
      <t xml:space="preserve"> ≤100%</t>
    </r>
  </si>
  <si>
    <r>
      <t>k</t>
    </r>
    <r>
      <rPr>
        <sz val="9"/>
        <color theme="1"/>
        <rFont val="Calibri"/>
        <family val="2"/>
      </rPr>
      <t>Ω</t>
    </r>
  </si>
  <si>
    <t>R1 Range</t>
  </si>
  <si>
    <t>R2 Range</t>
  </si>
  <si>
    <t>Decimal</t>
  </si>
  <si>
    <t xml:space="preserve">Set this value in Register 0x04 </t>
  </si>
  <si>
    <r>
      <t>this is typically 98%</t>
    </r>
    <r>
      <rPr>
        <sz val="10"/>
        <color theme="1"/>
        <rFont val="Calibri"/>
        <family val="2"/>
      </rPr>
      <t>≤ x</t>
    </r>
    <r>
      <rPr>
        <sz val="10"/>
        <color theme="1"/>
        <rFont val="ＭＳ Ｐゴシック"/>
        <family val="2"/>
        <scheme val="minor"/>
      </rPr>
      <t xml:space="preserve"> ≤100%: This is the Resistive shift only, ignoring any L shift</t>
    </r>
  </si>
  <si>
    <t>decimal</t>
  </si>
  <si>
    <r>
      <t>R</t>
    </r>
    <r>
      <rPr>
        <b/>
        <i/>
        <vertAlign val="subscript"/>
        <sz val="11"/>
        <rFont val="ＭＳ Ｐゴシック"/>
        <family val="2"/>
        <scheme val="minor"/>
      </rPr>
      <t>P</t>
    </r>
    <r>
      <rPr>
        <b/>
        <i/>
        <sz val="11"/>
        <rFont val="ＭＳ Ｐゴシック"/>
        <family val="2"/>
        <scheme val="minor"/>
      </rPr>
      <t xml:space="preserve"> Measurement</t>
    </r>
  </si>
  <si>
    <r>
      <rPr>
        <i/>
        <sz val="11"/>
        <color theme="1"/>
        <rFont val="ＭＳ Ｐゴシック"/>
        <family val="2"/>
        <scheme val="minor"/>
      </rPr>
      <t>f</t>
    </r>
    <r>
      <rPr>
        <vertAlign val="subscript"/>
        <sz val="11"/>
        <color theme="1"/>
        <rFont val="ＭＳ Ｐゴシック"/>
        <family val="2"/>
        <scheme val="minor"/>
      </rPr>
      <t>REFERENCE</t>
    </r>
    <r>
      <rPr>
        <sz val="11"/>
        <color theme="1"/>
        <rFont val="ＭＳ Ｐゴシック"/>
        <family val="2"/>
        <scheme val="minor"/>
      </rPr>
      <t xml:space="preserve"> input to CLKIN</t>
    </r>
  </si>
  <si>
    <t>Stainless Steel 316</t>
  </si>
  <si>
    <r>
      <t>µ</t>
    </r>
    <r>
      <rPr>
        <b/>
        <i/>
        <vertAlign val="subscript"/>
        <sz val="11"/>
        <color theme="1"/>
        <rFont val="ＭＳ Ｐゴシック"/>
        <family val="2"/>
        <scheme val="minor"/>
      </rPr>
      <t>r</t>
    </r>
  </si>
  <si>
    <t>FeCNiCrMo</t>
  </si>
  <si>
    <t>hex</t>
  </si>
  <si>
    <t>Effective settle count</t>
  </si>
  <si>
    <t>LDC161x</t>
  </si>
  <si>
    <t>Values below 100pf more likely to encounter parasitic interactions</t>
  </si>
  <si>
    <t>Stainless Steel 430</t>
  </si>
  <si>
    <t>Low carbon Steel 1006</t>
  </si>
  <si>
    <t>https://e2e.ti.com/blogs_/b/analogwire/archive/2014/06/10/inductive-sensing-how-to-use-a-tiny-2mm-pcb-inductor-as-a-sensor</t>
  </si>
  <si>
    <t>Vpk</t>
  </si>
  <si>
    <t>V</t>
  </si>
  <si>
    <t>decimal RCOUNT</t>
  </si>
  <si>
    <t>Maximum Reference Frequency</t>
  </si>
  <si>
    <t>Max fSENSOR</t>
  </si>
  <si>
    <t>LDC131x/LDC161x Sensor Configuration</t>
  </si>
  <si>
    <t>Recommended Settle Count Register Setting</t>
  </si>
  <si>
    <t>Conversion readback time (in active mode; includes sleep command)</t>
  </si>
  <si>
    <t>33f1</t>
  </si>
  <si>
    <t>Device Active current (mA)</t>
  </si>
  <si>
    <t>Total Active current - with sensor (mA)</t>
  </si>
  <si>
    <t>ratio of area to unit circle</t>
  </si>
  <si>
    <t>Rs</t>
  </si>
  <si>
    <t>Target Distance</t>
  </si>
  <si>
    <t>D</t>
  </si>
  <si>
    <t>Target Distance/Sensor Diameter Ratio</t>
  </si>
  <si>
    <t>RP Adjust Factor</t>
  </si>
  <si>
    <t>RP Adjust Factor (clipped)</t>
  </si>
  <si>
    <t>Target Conductivity (composition &amp; thickness)</t>
  </si>
  <si>
    <t>Sensor Inductance from Target Interaction</t>
  </si>
  <si>
    <t>L'</t>
  </si>
  <si>
    <t>Sensor Frequency with Target Interaction</t>
  </si>
  <si>
    <t>Rp with Target Interation</t>
  </si>
  <si>
    <t>Q Factor with target</t>
  </si>
  <si>
    <t>Q'</t>
  </si>
  <si>
    <t>For aluminum target of at least 5 skin depths</t>
  </si>
  <si>
    <t>LC Sensor calculations</t>
  </si>
  <si>
    <t>Sensor Diameter</t>
  </si>
  <si>
    <t>sec</t>
  </si>
  <si>
    <t>sps</t>
  </si>
  <si>
    <t>Supply Voltage</t>
  </si>
  <si>
    <t>Sensor Diameter in mm</t>
  </si>
  <si>
    <t>Target distance in mm</t>
  </si>
  <si>
    <t>years</t>
  </si>
  <si>
    <r>
      <t>I</t>
    </r>
    <r>
      <rPr>
        <vertAlign val="subscript"/>
        <sz val="11"/>
        <color theme="1"/>
        <rFont val="ＭＳ Ｐゴシック"/>
        <family val="2"/>
        <scheme val="minor"/>
      </rPr>
      <t>static</t>
    </r>
  </si>
  <si>
    <t>A</t>
  </si>
  <si>
    <r>
      <t>I</t>
    </r>
    <r>
      <rPr>
        <vertAlign val="subscript"/>
        <sz val="11"/>
        <color theme="1"/>
        <rFont val="ＭＳ Ｐゴシック"/>
        <family val="2"/>
        <scheme val="minor"/>
      </rPr>
      <t>dyn</t>
    </r>
  </si>
  <si>
    <r>
      <t>I</t>
    </r>
    <r>
      <rPr>
        <vertAlign val="subscript"/>
        <sz val="11"/>
        <color theme="1"/>
        <rFont val="ＭＳ Ｐゴシック"/>
        <family val="2"/>
        <scheme val="minor"/>
      </rPr>
      <t>DD</t>
    </r>
  </si>
  <si>
    <r>
      <t>I</t>
    </r>
    <r>
      <rPr>
        <vertAlign val="subscript"/>
        <sz val="11"/>
        <color theme="1"/>
        <rFont val="ＭＳ Ｐゴシック"/>
        <family val="2"/>
        <scheme val="minor"/>
      </rPr>
      <t>SD</t>
    </r>
  </si>
  <si>
    <r>
      <t>t</t>
    </r>
    <r>
      <rPr>
        <vertAlign val="subscript"/>
        <sz val="11"/>
        <color theme="1"/>
        <rFont val="ＭＳ Ｐゴシック"/>
        <family val="2"/>
        <scheme val="minor"/>
      </rPr>
      <t>AMT</t>
    </r>
  </si>
  <si>
    <r>
      <t>t</t>
    </r>
    <r>
      <rPr>
        <vertAlign val="subscript"/>
        <sz val="11"/>
        <color theme="1"/>
        <rFont val="ＭＳ Ｐゴシック"/>
        <family val="2"/>
        <scheme val="minor"/>
      </rPr>
      <t>CONV</t>
    </r>
  </si>
  <si>
    <r>
      <t>I</t>
    </r>
    <r>
      <rPr>
        <vertAlign val="subscript"/>
        <sz val="11"/>
        <color theme="1"/>
        <rFont val="ＭＳ Ｐゴシック"/>
        <family val="2"/>
        <scheme val="minor"/>
      </rPr>
      <t>ON</t>
    </r>
  </si>
  <si>
    <r>
      <t>I</t>
    </r>
    <r>
      <rPr>
        <vertAlign val="subscript"/>
        <sz val="11"/>
        <color theme="1"/>
        <rFont val="ＭＳ Ｐゴシック"/>
        <family val="2"/>
        <scheme val="minor"/>
      </rPr>
      <t>RAMP</t>
    </r>
  </si>
  <si>
    <r>
      <t>I</t>
    </r>
    <r>
      <rPr>
        <vertAlign val="subscript"/>
        <sz val="11"/>
        <color theme="1"/>
        <rFont val="ＭＳ Ｐゴシック"/>
        <family val="2"/>
        <scheme val="minor"/>
      </rPr>
      <t>OFF</t>
    </r>
  </si>
  <si>
    <t>Acceptable minimum L</t>
  </si>
  <si>
    <t>target distance/sensor diam</t>
  </si>
  <si>
    <t>Inductance scaling factor</t>
  </si>
  <si>
    <t>Bounds limited scaling factor</t>
  </si>
  <si>
    <t>Continuous Sample Rate</t>
  </si>
  <si>
    <t>Conversion Latency</t>
  </si>
  <si>
    <t>Inductance with Target Interaction</t>
  </si>
  <si>
    <t>LDC0851 Calculator Tool</t>
  </si>
  <si>
    <t>Csensor &lt; 33pF</t>
  </si>
  <si>
    <t>Min L drive</t>
  </si>
  <si>
    <t>Fsensor</t>
  </si>
  <si>
    <t>Operating Point frequency</t>
  </si>
  <si>
    <t>Operating point L</t>
  </si>
  <si>
    <t>Closest Target Distance</t>
  </si>
  <si>
    <t>Desired On Switching distance mm</t>
  </si>
  <si>
    <t>Max Sensor Frequency with target</t>
  </si>
  <si>
    <t>Switch Off Distance in mm</t>
  </si>
  <si>
    <t>On</t>
  </si>
  <si>
    <t>Off</t>
  </si>
  <si>
    <t>Approx Switch On Distance</t>
  </si>
  <si>
    <t>Approx Switch Off Distance</t>
  </si>
  <si>
    <t>Max Sensor Current Drive</t>
  </si>
  <si>
    <t>Recommended ADJ Code</t>
  </si>
  <si>
    <r>
      <t>External Sensor Capacitance (C</t>
    </r>
    <r>
      <rPr>
        <vertAlign val="subscript"/>
        <sz val="11"/>
        <rFont val="ＭＳ Ｐゴシック"/>
        <family val="2"/>
        <scheme val="minor"/>
      </rPr>
      <t>SENSOR</t>
    </r>
    <r>
      <rPr>
        <sz val="11"/>
        <rFont val="ＭＳ Ｐゴシック"/>
        <family val="2"/>
        <scheme val="minor"/>
      </rPr>
      <t>)</t>
    </r>
  </si>
  <si>
    <r>
      <t>Parasitic PCB capacitance (C</t>
    </r>
    <r>
      <rPr>
        <vertAlign val="subscript"/>
        <sz val="11"/>
        <rFont val="ＭＳ Ｐゴシック"/>
        <family val="2"/>
        <scheme val="minor"/>
      </rPr>
      <t>BOARD</t>
    </r>
    <r>
      <rPr>
        <sz val="11"/>
        <rFont val="ＭＳ Ｐゴシック"/>
        <family val="2"/>
        <scheme val="minor"/>
      </rPr>
      <t>)</t>
    </r>
  </si>
  <si>
    <t>LDC0851 Design Space Calculator</t>
  </si>
  <si>
    <t>This tool determines appropriate device settings and sensor settings</t>
  </si>
  <si>
    <t xml:space="preserve">for optimum LDC0851 usage. </t>
  </si>
  <si>
    <t xml:space="preserve">Long side of inductor </t>
  </si>
  <si>
    <t>Est. Inductance with Target Interaction</t>
  </si>
  <si>
    <r>
      <t>Total Capacitance (C</t>
    </r>
    <r>
      <rPr>
        <vertAlign val="subscript"/>
        <sz val="11"/>
        <rFont val="ＭＳ Ｐゴシック"/>
        <family val="2"/>
        <scheme val="minor"/>
      </rPr>
      <t>TOTAL</t>
    </r>
    <r>
      <rPr>
        <sz val="11"/>
        <rFont val="ＭＳ Ｐゴシック"/>
        <family val="2"/>
        <scheme val="minor"/>
      </rPr>
      <t>)</t>
    </r>
  </si>
  <si>
    <t>ADJ Code</t>
  </si>
  <si>
    <t>Switch OFF Normalized</t>
  </si>
  <si>
    <t>Switch ON Normalized</t>
  </si>
  <si>
    <t>Approx Switch OFF</t>
  </si>
  <si>
    <t>Approx Switch ON</t>
  </si>
  <si>
    <t>Desired Switching</t>
  </si>
  <si>
    <t>Closest Target Disance</t>
  </si>
  <si>
    <t>Optimum ADC code from switch distance</t>
  </si>
  <si>
    <t>Approx Switch on distance in mm</t>
  </si>
  <si>
    <t>Verify switching distance in travel range</t>
  </si>
  <si>
    <r>
      <t>R</t>
    </r>
    <r>
      <rPr>
        <vertAlign val="subscript"/>
        <sz val="11"/>
        <color theme="1"/>
        <rFont val="ＭＳ Ｐゴシック"/>
        <family val="2"/>
        <scheme val="minor"/>
      </rPr>
      <t>P</t>
    </r>
    <r>
      <rPr>
        <sz val="11"/>
        <color theme="1"/>
        <rFont val="ＭＳ Ｐゴシック"/>
        <family val="2"/>
        <scheme val="minor"/>
      </rPr>
      <t>variation</t>
    </r>
  </si>
  <si>
    <r>
      <t>R</t>
    </r>
    <r>
      <rPr>
        <vertAlign val="subscript"/>
        <sz val="11"/>
        <color theme="1"/>
        <rFont val="ＭＳ Ｐゴシック"/>
        <family val="2"/>
        <scheme val="minor"/>
      </rPr>
      <t>P-PARASITIC</t>
    </r>
  </si>
  <si>
    <r>
      <t>Q</t>
    </r>
    <r>
      <rPr>
        <vertAlign val="subscript"/>
        <sz val="11"/>
        <color theme="1"/>
        <rFont val="ＭＳ Ｐゴシック"/>
        <family val="2"/>
        <scheme val="minor"/>
      </rPr>
      <t>MIN</t>
    </r>
    <r>
      <rPr>
        <sz val="11"/>
        <color theme="1"/>
        <rFont val="ＭＳ Ｐゴシック"/>
        <family val="2"/>
        <scheme val="minor"/>
      </rPr>
      <t xml:space="preserve"> =</t>
    </r>
  </si>
  <si>
    <t>Estimator tool for racetrack spiral coils. This tool is provided without warranty or support. User assumes all liability.</t>
  </si>
  <si>
    <r>
      <rPr>
        <sz val="12"/>
        <color indexed="8"/>
        <rFont val="Calibri"/>
        <family val="2"/>
      </rPr>
      <t>°</t>
    </r>
    <r>
      <rPr>
        <sz val="12"/>
        <color indexed="8"/>
        <rFont val="Calibri"/>
        <family val="2"/>
      </rPr>
      <t>C</t>
    </r>
  </si>
  <si>
    <r>
      <t>Number of layers on PCB board (1≤M</t>
    </r>
    <r>
      <rPr>
        <sz val="12"/>
        <color indexed="8"/>
        <rFont val="Calibri"/>
        <family val="2"/>
      </rPr>
      <t>≤</t>
    </r>
    <r>
      <rPr>
        <sz val="12"/>
        <color indexed="8"/>
        <rFont val="Calibri"/>
        <family val="2"/>
      </rPr>
      <t>8)</t>
    </r>
  </si>
  <si>
    <r>
      <t>d</t>
    </r>
    <r>
      <rPr>
        <vertAlign val="subscript"/>
        <sz val="11"/>
        <color indexed="8"/>
        <rFont val="Calibri"/>
        <family val="2"/>
      </rPr>
      <t>OUT</t>
    </r>
  </si>
  <si>
    <r>
      <t>d</t>
    </r>
    <r>
      <rPr>
        <vertAlign val="subscript"/>
        <sz val="11"/>
        <color indexed="8"/>
        <rFont val="Calibri"/>
        <family val="2"/>
      </rPr>
      <t>L</t>
    </r>
  </si>
  <si>
    <r>
      <rPr>
        <sz val="9"/>
        <color indexed="8"/>
        <rFont val="Calibri"/>
        <family val="2"/>
      </rPr>
      <t>Ω</t>
    </r>
    <r>
      <rPr>
        <sz val="9"/>
        <color indexed="8"/>
        <rFont val="Calibri"/>
        <family val="2"/>
      </rPr>
      <t>m</t>
    </r>
  </si>
  <si>
    <r>
      <rPr>
        <sz val="10"/>
        <color indexed="8"/>
        <rFont val="Calibri"/>
        <family val="2"/>
      </rPr>
      <t>µ</t>
    </r>
    <r>
      <rPr>
        <sz val="10"/>
        <color indexed="8"/>
        <rFont val="Calibri"/>
        <family val="2"/>
      </rPr>
      <t>H</t>
    </r>
  </si>
  <si>
    <r>
      <t>L</t>
    </r>
    <r>
      <rPr>
        <vertAlign val="subscript"/>
        <sz val="11"/>
        <color indexed="8"/>
        <rFont val="Calibri"/>
        <family val="2"/>
      </rPr>
      <t>TOTAL</t>
    </r>
  </si>
  <si>
    <r>
      <rPr>
        <b/>
        <sz val="10"/>
        <color indexed="8"/>
        <rFont val="Calibri"/>
        <family val="2"/>
      </rPr>
      <t>µ</t>
    </r>
    <r>
      <rPr>
        <b/>
        <sz val="10"/>
        <color indexed="8"/>
        <rFont val="Calibri"/>
        <family val="2"/>
      </rPr>
      <t>H</t>
    </r>
  </si>
  <si>
    <t>Rp with no Target</t>
  </si>
  <si>
    <t>Skin depth at new sensor frequency</t>
  </si>
  <si>
    <t>sd'</t>
  </si>
  <si>
    <t>New Rs based on skin effect</t>
  </si>
  <si>
    <t xml:space="preserve">New Rp </t>
  </si>
  <si>
    <t>Device Min Fsensor</t>
  </si>
  <si>
    <t>Device Max Fsensor</t>
  </si>
  <si>
    <t>Device Min Rp</t>
  </si>
  <si>
    <t>Device Max Rp</t>
  </si>
  <si>
    <t>Device Min Q</t>
  </si>
  <si>
    <t>Device Max Q</t>
  </si>
  <si>
    <t>LDC2114</t>
  </si>
  <si>
    <t>MinRp</t>
  </si>
  <si>
    <t>MaxRp</t>
  </si>
  <si>
    <t>MinQ</t>
  </si>
  <si>
    <t>MaxQ</t>
  </si>
  <si>
    <t>MinFs</t>
  </si>
  <si>
    <t>MaxFs</t>
  </si>
  <si>
    <t>Sensor Operating Frequency no target</t>
  </si>
  <si>
    <t>Total Inductance with no target</t>
  </si>
  <si>
    <t>Rev History</t>
  </si>
  <si>
    <t>Ver</t>
  </si>
  <si>
    <t>Data</t>
  </si>
  <si>
    <t>Comments</t>
  </si>
  <si>
    <t>Release to web</t>
  </si>
  <si>
    <t>Added LDC1101 RP calculator page</t>
  </si>
  <si>
    <t>Added LDC1101 to max sensor distance</t>
  </si>
  <si>
    <t>Added more register setting information to LDC161x/131x power consumption calc</t>
  </si>
  <si>
    <t>Fixed error in sample rate due to dividing by num chans instead of multiplying</t>
  </si>
  <si>
    <t>Added LDC1101 to sample rate calcs, also cleaned up automatic SPS/kSPS flagging</t>
  </si>
  <si>
    <t>Added Fsensor to quick RP/RS calculator on front page</t>
  </si>
  <si>
    <t xml:space="preserve">Adjusted the LDC1101 RP config page to automatically calculate the capacitance </t>
  </si>
  <si>
    <t>Added register values for TC1 &amp; TC2 to LDC1101 RP config</t>
  </si>
  <si>
    <t>Added Hex entry for output code calculations</t>
  </si>
  <si>
    <t>Fixes to LDC1101 R1/C1/R2/C2 calculation based on feedback from Paulo</t>
  </si>
  <si>
    <t xml:space="preserve">Added SS316 to Skin depth calculator </t>
  </si>
  <si>
    <t>Fixed sample rate calculator</t>
  </si>
  <si>
    <t>update to use new LDC1101 RP equation</t>
  </si>
  <si>
    <t>Spiral inductance calculator now shows MHz or kHz as approriate (to make Jim C happy :) )</t>
  </si>
  <si>
    <t>Fixed bug in skin depth calculation</t>
  </si>
  <si>
    <t>Fix to sample rate calculation</t>
  </si>
  <si>
    <t>Updated Sample Rate calculation tool to only use RCOUNT</t>
  </si>
  <si>
    <t>Added Sensor Config calculation tool</t>
  </si>
  <si>
    <t>Changed the current consumption calc tool to have conversion readback in active mode</t>
  </si>
  <si>
    <t>Changed current consumption calc tool to be based on RCOUNT and not Reference count</t>
  </si>
  <si>
    <t>fixed current consumption calc channel switch time from 40us to datasheet calc</t>
  </si>
  <si>
    <t>changed active mode start time to use datasheet calc of 16384/(fint)</t>
  </si>
  <si>
    <t>Fixed current consumption cal tool - the RCOUNT needed to be mulitplied by 16!</t>
  </si>
  <si>
    <t>Added LDC0851 calc page</t>
  </si>
  <si>
    <t>Clipped the remote sensor calc page</t>
  </si>
  <si>
    <t>Fixed Sample rate calculator resolution calcs</t>
  </si>
  <si>
    <t>Formatting tweaks for various tabs</t>
  </si>
  <si>
    <t>Added Racetrack calculator</t>
  </si>
  <si>
    <t>Released to Web</t>
  </si>
  <si>
    <t>Updated Racetrack calculator with device specific selection</t>
  </si>
  <si>
    <t xml:space="preserve">Changed Racetrack calculator to different curve fit </t>
  </si>
  <si>
    <t>TODO</t>
  </si>
  <si>
    <t>Need to investigate the Remote coil calc tool at high frequencies for LDC131x/161x</t>
  </si>
  <si>
    <t>Min Sample Interval</t>
  </si>
  <si>
    <t>Sample Rate Calculator now flags if the sample rate exceeds device I/O limits</t>
  </si>
  <si>
    <t>Added Event Counting calculator onto LDC0851 tool</t>
  </si>
  <si>
    <t>Oversample ratio</t>
  </si>
  <si>
    <t>RPM</t>
  </si>
  <si>
    <t>Maximum Rotation speed</t>
  </si>
  <si>
    <t>Enter sensor configuration information above to ensure valid results</t>
  </si>
  <si>
    <t>Effective Number of teeth/blades</t>
  </si>
  <si>
    <t>°</t>
  </si>
  <si>
    <t>Minimum Angle for Gap between events</t>
  </si>
  <si>
    <t>LDC0851 Sample Rate</t>
  </si>
  <si>
    <t>Deflection estimate based on mechanics of ideal clamped plate.</t>
  </si>
  <si>
    <t>button_materials</t>
  </si>
  <si>
    <t xml:space="preserve">E (GPa) </t>
  </si>
  <si>
    <t>nu (-)</t>
  </si>
  <si>
    <t>button diameter (circular button)</t>
  </si>
  <si>
    <t>ABS plastic</t>
  </si>
  <si>
    <t>button width (rectangular button)</t>
  </si>
  <si>
    <t>button height (rectangular button)</t>
  </si>
  <si>
    <t>h</t>
  </si>
  <si>
    <t>mat</t>
  </si>
  <si>
    <t>button material</t>
  </si>
  <si>
    <t>E</t>
  </si>
  <si>
    <t>-</t>
  </si>
  <si>
    <t>button_shapes</t>
  </si>
  <si>
    <t>Button Force</t>
  </si>
  <si>
    <t>force</t>
  </si>
  <si>
    <t>type of button force</t>
  </si>
  <si>
    <t>force magnitude</t>
  </si>
  <si>
    <t>Button Compliance</t>
  </si>
  <si>
    <t>force_functions</t>
  </si>
  <si>
    <t>point</t>
  </si>
  <si>
    <t>uniform</t>
  </si>
  <si>
    <t>b/a</t>
  </si>
  <si>
    <t>area</t>
  </si>
  <si>
    <t>Pa</t>
  </si>
  <si>
    <t>1/knp</t>
  </si>
  <si>
    <t>1/k</t>
  </si>
  <si>
    <t>Ccom-min</t>
  </si>
  <si>
    <t>Ccom-max</t>
  </si>
  <si>
    <t>Min Ccom</t>
  </si>
  <si>
    <t>Max Ccom</t>
  </si>
  <si>
    <t>Ccom</t>
  </si>
  <si>
    <t>Added Ccom range calcs for Racetrack calculator</t>
  </si>
  <si>
    <r>
      <t>C</t>
    </r>
    <r>
      <rPr>
        <vertAlign val="subscript"/>
        <sz val="11"/>
        <color theme="1"/>
        <rFont val="ＭＳ Ｐゴシック"/>
        <family val="2"/>
        <scheme val="minor"/>
      </rPr>
      <t>com</t>
    </r>
    <r>
      <rPr>
        <sz val="11"/>
        <color theme="1"/>
        <rFont val="ＭＳ Ｐゴシック"/>
        <family val="2"/>
        <scheme val="minor"/>
      </rPr>
      <t xml:space="preserve"> Value (with Target)</t>
    </r>
  </si>
  <si>
    <t>Fixed racetrack calculator - the trace length per layer didn't correct for number of turns properly</t>
  </si>
  <si>
    <t>r/a</t>
  </si>
  <si>
    <t>Scale</t>
  </si>
  <si>
    <t>X-Axis</t>
  </si>
  <si>
    <t>nF</t>
  </si>
  <si>
    <t>Changed racetrack calculator to present Ccom range in nF instead of pF</t>
  </si>
  <si>
    <t>Other</t>
  </si>
  <si>
    <t>Self resonant frequency (estimated)</t>
  </si>
  <si>
    <t>Tweaked formatting and added some error trapping to Racetrack calculator. Locked</t>
  </si>
  <si>
    <r>
      <rPr>
        <i/>
        <sz val="11"/>
        <color theme="1"/>
        <rFont val="ＭＳ Ｐゴシック"/>
        <family val="2"/>
        <scheme val="minor"/>
      </rPr>
      <t>f</t>
    </r>
    <r>
      <rPr>
        <vertAlign val="subscript"/>
        <sz val="11"/>
        <color theme="1"/>
        <rFont val="ＭＳ Ｐゴシック"/>
        <family val="2"/>
        <scheme val="minor"/>
      </rPr>
      <t>RES</t>
    </r>
  </si>
  <si>
    <r>
      <rPr>
        <i/>
        <sz val="11"/>
        <color theme="1"/>
        <rFont val="ＭＳ Ｐゴシック"/>
        <family val="2"/>
        <scheme val="minor"/>
      </rPr>
      <t>f</t>
    </r>
    <r>
      <rPr>
        <vertAlign val="subscript"/>
        <sz val="11"/>
        <color theme="1"/>
        <rFont val="ＭＳ Ｐゴシック"/>
        <family val="2"/>
        <scheme val="minor"/>
      </rPr>
      <t>RES</t>
    </r>
    <r>
      <rPr>
        <sz val="11"/>
        <color theme="1"/>
        <rFont val="ＭＳ Ｐゴシック"/>
        <family val="2"/>
        <scheme val="minor"/>
      </rPr>
      <t>'</t>
    </r>
  </si>
  <si>
    <r>
      <t>R</t>
    </r>
    <r>
      <rPr>
        <vertAlign val="subscript"/>
        <sz val="11"/>
        <color theme="1"/>
        <rFont val="ＭＳ Ｐゴシック"/>
        <family val="2"/>
        <scheme val="minor"/>
      </rPr>
      <t>P</t>
    </r>
  </si>
  <si>
    <r>
      <t>R</t>
    </r>
    <r>
      <rPr>
        <vertAlign val="subscript"/>
        <sz val="12"/>
        <rFont val="ＭＳ Ｐゴシック"/>
        <family val="2"/>
        <scheme val="minor"/>
      </rPr>
      <t>P</t>
    </r>
    <r>
      <rPr>
        <sz val="12"/>
        <rFont val="ＭＳ Ｐゴシック"/>
        <family val="2"/>
        <scheme val="minor"/>
      </rPr>
      <t>'</t>
    </r>
  </si>
  <si>
    <t>LDC0851</t>
  </si>
  <si>
    <t>LDC0851 Rotation Speed Estimate</t>
  </si>
  <si>
    <t>Use 0.393 for Copper</t>
  </si>
  <si>
    <t>Use 1.68e-08 for Copper</t>
  </si>
  <si>
    <r>
      <t>Conductor Resistivity (at 20</t>
    </r>
    <r>
      <rPr>
        <sz val="9"/>
        <color indexed="8"/>
        <rFont val="Calibri"/>
        <family val="2"/>
      </rPr>
      <t>°C)</t>
    </r>
  </si>
  <si>
    <r>
      <rPr>
        <sz val="9"/>
        <color indexed="8"/>
        <rFont val="Calibri"/>
        <family val="2"/>
      </rPr>
      <t>Ωm</t>
    </r>
  </si>
  <si>
    <r>
      <t>%/</t>
    </r>
    <r>
      <rPr>
        <sz val="9"/>
        <color indexed="8"/>
        <rFont val="Calibri"/>
        <family val="2"/>
      </rPr>
      <t>°C</t>
    </r>
  </si>
  <si>
    <r>
      <t>µ</t>
    </r>
    <r>
      <rPr>
        <vertAlign val="subscript"/>
        <sz val="9"/>
        <color indexed="8"/>
        <rFont val="Calibri"/>
        <family val="2"/>
      </rPr>
      <t>r</t>
    </r>
  </si>
  <si>
    <t>Use 1.0 for Copper</t>
  </si>
  <si>
    <t>Tweaked racetrack script default to use circular coil instead of racetrack</t>
  </si>
  <si>
    <t>Clipped the average diameter calc in racetrack to avoid negative numbers</t>
  </si>
  <si>
    <t>The spring sensor calc tool had the device selection locked. Fixed.</t>
  </si>
  <si>
    <t>Fixed bug in sample rate max calculation (divided by #channels one time too many)</t>
  </si>
  <si>
    <t>Ver O</t>
  </si>
  <si>
    <t>Added frequency bounds testing to cell C47 to in LDC0851 calc tool</t>
  </si>
  <si>
    <t>Contents page "Spiral Inductor Designer" link changed to "Racetrack Inductor Designer"</t>
  </si>
  <si>
    <t>Note: these calculation tools are provided without any warranty. 
User should independently verify any calculation results.</t>
  </si>
  <si>
    <t>Note: the oversample ratio may need to be adjusted based on target size</t>
  </si>
  <si>
    <t>Desired Switch On distance</t>
  </si>
  <si>
    <t>LDC0851 calc tool was using switch off instead of switch on calculation. Fixed</t>
  </si>
  <si>
    <t>Spring calculator used refcount instead of RCOUNT; fixed.</t>
  </si>
  <si>
    <t xml:space="preserve">RCOUNT (hex) </t>
  </si>
  <si>
    <t>RCOUNT (decimal)</t>
  </si>
  <si>
    <t>Added LDC0851 and LDC1000 to racetrack device selector</t>
  </si>
  <si>
    <t>Added circular coil diagram to racetrack designer</t>
  </si>
  <si>
    <t>Deleted Spiral Designer and Device Region</t>
  </si>
  <si>
    <t>Tweaked d parameter in racetrack designer; set to 1 for better behavior</t>
  </si>
  <si>
    <t>mil</t>
  </si>
  <si>
    <t>New Eq for L shift based on target distance and sensor diameter</t>
  </si>
  <si>
    <t>RPx Field Setting</t>
  </si>
  <si>
    <t>Sensor Cycle Count</t>
  </si>
  <si>
    <t>CNTSC</t>
  </si>
  <si>
    <t>Freq Field</t>
  </si>
  <si>
    <t>LCDIV</t>
  </si>
  <si>
    <t>Calc Sen Cyc</t>
  </si>
  <si>
    <t>Added LDC2114 Calc Tab</t>
  </si>
  <si>
    <t>LDC2114 Config Tool</t>
  </si>
  <si>
    <t>Sensor Rp</t>
  </si>
  <si>
    <t>Added data validation to copper weight on racetrack tool</t>
  </si>
  <si>
    <t>Added current consumption estimator to LDC2114 config</t>
  </si>
  <si>
    <t>Normal Power Scan Rate</t>
  </si>
  <si>
    <t>SPS</t>
  </si>
  <si>
    <t>Low Power Scan Rate</t>
  </si>
  <si>
    <t>Partial List of Register Settings</t>
  </si>
  <si>
    <t>Estimated Current in LP</t>
  </si>
  <si>
    <t>Estimated Current in NP</t>
  </si>
  <si>
    <r>
      <rPr>
        <sz val="11"/>
        <color theme="1"/>
        <rFont val="Calibri"/>
        <family val="2"/>
      </rPr>
      <t>µ</t>
    </r>
    <r>
      <rPr>
        <sz val="9.35"/>
        <color theme="1"/>
        <rFont val="Calibri"/>
        <family val="2"/>
      </rPr>
      <t>A</t>
    </r>
  </si>
  <si>
    <t>Enabled LP Buttons</t>
  </si>
  <si>
    <t>Enabled NP Buttons</t>
  </si>
  <si>
    <t>binary weighted LP buttons</t>
  </si>
  <si>
    <t>binary weighted NP buttons</t>
  </si>
  <si>
    <t>Target Sample Time interval</t>
  </si>
  <si>
    <t>Actual Sample Time Interval</t>
  </si>
  <si>
    <r>
      <rPr>
        <b/>
        <i/>
        <sz val="11"/>
        <color theme="1"/>
        <rFont val="ＭＳ Ｐゴシック"/>
        <family val="2"/>
        <scheme val="minor"/>
      </rPr>
      <t>f</t>
    </r>
    <r>
      <rPr>
        <b/>
        <vertAlign val="subscript"/>
        <sz val="11"/>
        <color theme="1"/>
        <rFont val="ＭＳ Ｐゴシック"/>
        <family val="2"/>
        <scheme val="minor"/>
      </rPr>
      <t>SENSOR</t>
    </r>
    <r>
      <rPr>
        <b/>
        <sz val="11"/>
        <color theme="1"/>
        <rFont val="ＭＳ Ｐゴシック"/>
        <family val="2"/>
        <scheme val="minor"/>
      </rPr>
      <t xml:space="preserve"> (with target)</t>
    </r>
  </si>
  <si>
    <t>Touch-on-Metal Deflection Calculation Tool</t>
  </si>
  <si>
    <t>Button Dimensions</t>
  </si>
  <si>
    <t>Rectangular</t>
  </si>
  <si>
    <r>
      <t>2</t>
    </r>
    <r>
      <rPr>
        <b/>
        <sz val="11"/>
        <color theme="1"/>
        <rFont val="Calibri"/>
        <family val="2"/>
      </rPr>
      <t>×a</t>
    </r>
    <r>
      <rPr>
        <b/>
        <vertAlign val="subscript"/>
        <sz val="11"/>
        <color theme="1"/>
        <rFont val="Calibri"/>
        <family val="2"/>
      </rPr>
      <t>c</t>
    </r>
  </si>
  <si>
    <r>
      <t>a</t>
    </r>
    <r>
      <rPr>
        <b/>
        <vertAlign val="subscript"/>
        <sz val="11"/>
        <color theme="1"/>
        <rFont val="ＭＳ Ｐゴシック"/>
        <family val="2"/>
        <scheme val="minor"/>
      </rPr>
      <t>r</t>
    </r>
  </si>
  <si>
    <r>
      <t>b</t>
    </r>
    <r>
      <rPr>
        <b/>
        <vertAlign val="subscript"/>
        <sz val="11"/>
        <color theme="1"/>
        <rFont val="ＭＳ Ｐゴシック"/>
        <family val="2"/>
        <scheme val="minor"/>
      </rPr>
      <t>r</t>
    </r>
  </si>
  <si>
    <t>Material thickness</t>
  </si>
  <si>
    <t>304 Stainless Steel</t>
  </si>
  <si>
    <t>Young's Modulus for selected material</t>
  </si>
  <si>
    <t>GPa</t>
  </si>
  <si>
    <t>ν</t>
  </si>
  <si>
    <t>Poisson Ratio for selected material</t>
  </si>
  <si>
    <t>Enter Other Material Young's Modulus</t>
  </si>
  <si>
    <t>Enter Other Material Poisson Ratio</t>
  </si>
  <si>
    <t>Young's Modulus used in subsequent Calculations</t>
  </si>
  <si>
    <t>Poisson Ratio used in subsequent Calculations</t>
  </si>
  <si>
    <t>Uniform</t>
  </si>
  <si>
    <r>
      <t>a</t>
    </r>
    <r>
      <rPr>
        <b/>
        <vertAlign val="subscript"/>
        <sz val="11"/>
        <color theme="1"/>
        <rFont val="ＭＳ Ｐゴシック"/>
        <family val="2"/>
        <scheme val="minor"/>
      </rPr>
      <t>c</t>
    </r>
  </si>
  <si>
    <t>Ac</t>
  </si>
  <si>
    <t>Ar</t>
  </si>
  <si>
    <t>m^2</t>
  </si>
  <si>
    <t>plate flexural rigidity</t>
  </si>
  <si>
    <t>J</t>
  </si>
  <si>
    <r>
      <t>α</t>
    </r>
    <r>
      <rPr>
        <b/>
        <vertAlign val="subscript"/>
        <sz val="11"/>
        <color theme="1"/>
        <rFont val="Calibri"/>
        <family val="2"/>
      </rPr>
      <t>u</t>
    </r>
  </si>
  <si>
    <r>
      <t>α</t>
    </r>
    <r>
      <rPr>
        <b/>
        <vertAlign val="subscript"/>
        <sz val="11"/>
        <color theme="1"/>
        <rFont val="Calibri"/>
        <family val="2"/>
      </rPr>
      <t>p</t>
    </r>
  </si>
  <si>
    <t>Applied force</t>
  </si>
  <si>
    <t>q</t>
  </si>
  <si>
    <t>Applied pressure</t>
  </si>
  <si>
    <t>wpkcu</t>
  </si>
  <si>
    <t>Deflection at button center (circular, uniform)</t>
  </si>
  <si>
    <t>wpkcp</t>
  </si>
  <si>
    <t>Deflection at button center (circular, point)</t>
  </si>
  <si>
    <t>wpkru</t>
  </si>
  <si>
    <t>Deflection at button center (rectangular, uniform)</t>
  </si>
  <si>
    <t>wpkrp</t>
  </si>
  <si>
    <t>Deflection at button center (rectangular, point</t>
  </si>
  <si>
    <t>wpkc</t>
  </si>
  <si>
    <t>wpkr</t>
  </si>
  <si>
    <t>wmax</t>
  </si>
  <si>
    <t>Deflection at button center</t>
  </si>
  <si>
    <t>Deflection at button center / pressure</t>
  </si>
  <si>
    <t>µm/Pa</t>
  </si>
  <si>
    <t>Deflection at button center / force</t>
  </si>
  <si>
    <t>µm/N</t>
  </si>
  <si>
    <t>http://www.azom.com/properties.aspx?ArticleID=965</t>
  </si>
  <si>
    <t>430 Stainless Steel</t>
  </si>
  <si>
    <t>http://www.azom.com/properties.aspx?ArticleID=996</t>
  </si>
  <si>
    <t>http://xahax.com/subory/Spec_ABS.pdf</t>
  </si>
  <si>
    <t>Aluminum 6063</t>
  </si>
  <si>
    <t>http://asm.matweb.com/search/SpecificMaterial.asp?bassnum=MA6063T6</t>
  </si>
  <si>
    <t>Polycarbonate</t>
  </si>
  <si>
    <t>https://en.wikipedia.org/wiki/Polycarbonate</t>
  </si>
  <si>
    <t>Circular</t>
  </si>
  <si>
    <t>Concentrated</t>
  </si>
  <si>
    <t>length_units</t>
  </si>
  <si>
    <t>in</t>
  </si>
  <si>
    <t>Range Limits</t>
  </si>
  <si>
    <t>Deflection Graph</t>
  </si>
  <si>
    <t>Step scaling</t>
  </si>
  <si>
    <t>Reversal</t>
  </si>
  <si>
    <t>Metal Deflection Calculator</t>
  </si>
  <si>
    <t>Added Metal Touch calculator</t>
  </si>
  <si>
    <t>Tweaked default parameters on all sheets</t>
  </si>
  <si>
    <t>Spiral Inductor Designer</t>
  </si>
  <si>
    <t>Removed external links</t>
  </si>
  <si>
    <t>Added support link on front page</t>
  </si>
  <si>
    <t>http://e2e.ti.com/support/sensor/inductive-sensing/</t>
  </si>
  <si>
    <t>For support or feedback:</t>
  </si>
  <si>
    <t>http://www.ti.com/lit/an/snoa949/snoa949.pdf</t>
  </si>
  <si>
    <t>Added link to LDC131x/LDC161x Sensor config from LDC131x/LDC161x Sample rate calc</t>
  </si>
  <si>
    <t>Add Luke's EQ to spring calc tool</t>
  </si>
  <si>
    <t>Add maximum sensor distance for LDC2114?</t>
  </si>
  <si>
    <t>Made LDC1101 default device whenever compared to LDC1000</t>
  </si>
  <si>
    <t>Take a look at this blog post for additional information</t>
  </si>
  <si>
    <t>LDC161x Current consumption calc tool had 16 channels selected</t>
  </si>
  <si>
    <t>Added links to blog posts</t>
  </si>
  <si>
    <t>Sensor 0</t>
  </si>
  <si>
    <t>Sensor 1</t>
  </si>
  <si>
    <t>Sensor 2</t>
  </si>
  <si>
    <t>Sensor 3</t>
  </si>
  <si>
    <t>Enabled in LP mode:</t>
  </si>
  <si>
    <t>Enabled</t>
  </si>
  <si>
    <t>LP Mode Masked</t>
  </si>
  <si>
    <t>LP Mode</t>
  </si>
  <si>
    <t>Active Current</t>
  </si>
  <si>
    <t>LP Inactive time</t>
  </si>
  <si>
    <t>NP Inactive time</t>
  </si>
  <si>
    <t>NP Inactive current-time</t>
  </si>
  <si>
    <t>LP Inactive current-time</t>
  </si>
  <si>
    <t>Active current-time</t>
  </si>
  <si>
    <t>Current-time Button Enabled (LP)</t>
  </si>
  <si>
    <t>LP Total weighted-scan cycle current</t>
  </si>
  <si>
    <t>NP total weighted-scan cycle current</t>
  </si>
  <si>
    <t>Config values Decimal</t>
  </si>
  <si>
    <t>Enabled Buttons:</t>
  </si>
  <si>
    <t>Minimum Supported L</t>
  </si>
  <si>
    <t>Range limited Fsensor</t>
  </si>
  <si>
    <t>Adjustments to LDC0851 tool for better warning messages</t>
  </si>
  <si>
    <t>Changed LDC2114 tool to support multiple channels better</t>
  </si>
  <si>
    <t>Changed LDC0851 tool -parasitic cap from 10pF to 12pF</t>
  </si>
  <si>
    <t>Free Space Sensor Characteristics</t>
  </si>
  <si>
    <t>Sensor Characteristics with Target Interaction</t>
  </si>
  <si>
    <r>
      <t>I</t>
    </r>
    <r>
      <rPr>
        <vertAlign val="subscript"/>
        <sz val="11"/>
        <color theme="1"/>
        <rFont val="ＭＳ Ｐゴシック"/>
        <family val="2"/>
        <scheme val="minor"/>
      </rPr>
      <t xml:space="preserve">SENSOR  </t>
    </r>
    <r>
      <rPr>
        <sz val="11"/>
        <color theme="1"/>
        <rFont val="ＭＳ Ｐゴシック"/>
        <family val="2"/>
        <scheme val="minor"/>
      </rPr>
      <t>without Target</t>
    </r>
  </si>
  <si>
    <t>Updated Lshift Equation to use new 5pl fitted with sensor diameter correction Eq</t>
  </si>
  <si>
    <t>Min Fsensor (MHz)</t>
  </si>
  <si>
    <t>Max Fsensor (MHz)</t>
  </si>
  <si>
    <t>Time (ms)</t>
  </si>
  <si>
    <t>LCDiv=0</t>
  </si>
  <si>
    <t>LCDiv=1</t>
  </si>
  <si>
    <t>LCDiv=2</t>
  </si>
  <si>
    <t>LCDiv=3</t>
  </si>
  <si>
    <t>LCDiv=4</t>
  </si>
  <si>
    <t>LCDiv=5</t>
  </si>
  <si>
    <t>LCDiv=6</t>
  </si>
  <si>
    <t>LCDiv=7</t>
  </si>
  <si>
    <t>Sensor0</t>
  </si>
  <si>
    <t>Sensor1</t>
  </si>
  <si>
    <t>Sensor2</t>
  </si>
  <si>
    <t>Sensor3</t>
  </si>
  <si>
    <t>Sensor0f</t>
  </si>
  <si>
    <t>Sensor1f</t>
  </si>
  <si>
    <t>Sensor2f</t>
  </si>
  <si>
    <t>Sensor3f</t>
  </si>
  <si>
    <t>New LDC2114/2 Tool with per-channel config &amp; LCDIV</t>
  </si>
  <si>
    <t>Added LDC1101 Calc tool</t>
  </si>
  <si>
    <t>LDC1101 Calc Tool</t>
  </si>
  <si>
    <t>LDC1101 Register Settings</t>
  </si>
  <si>
    <t>Register</t>
  </si>
  <si>
    <t>Addr</t>
  </si>
  <si>
    <t>Value</t>
  </si>
  <si>
    <t>RP_SET</t>
  </si>
  <si>
    <t>0x01</t>
  </si>
  <si>
    <t>TC1</t>
  </si>
  <si>
    <t>0x02</t>
  </si>
  <si>
    <t>TC2</t>
  </si>
  <si>
    <t>0x03</t>
  </si>
  <si>
    <t>DIG_CONG</t>
  </si>
  <si>
    <t>0x04</t>
  </si>
  <si>
    <t>LHR_RCOUNT_LSB</t>
  </si>
  <si>
    <t>0x30</t>
  </si>
  <si>
    <t>LHR_RCOUNT_MSB</t>
  </si>
  <si>
    <t>0x31</t>
  </si>
  <si>
    <t>LHR_CONFIG</t>
  </si>
  <si>
    <t>0x34</t>
  </si>
  <si>
    <t>Sample Rate Parameters:</t>
  </si>
  <si>
    <t>Sample Rate Configuration</t>
  </si>
  <si>
    <t>Response Time Setting</t>
  </si>
  <si>
    <r>
      <t>For R</t>
    </r>
    <r>
      <rPr>
        <vertAlign val="subscript"/>
        <sz val="10"/>
        <color theme="1"/>
        <rFont val="ＭＳ Ｐゴシック"/>
        <family val="2"/>
        <scheme val="minor"/>
      </rPr>
      <t>P</t>
    </r>
    <r>
      <rPr>
        <sz val="10"/>
        <color theme="1"/>
        <rFont val="ＭＳ Ｐゴシック"/>
        <family val="2"/>
        <scheme val="minor"/>
      </rPr>
      <t>+L Measurements</t>
    </r>
  </si>
  <si>
    <t>RESP_TIME field</t>
  </si>
  <si>
    <t>Min Fsensor field</t>
  </si>
  <si>
    <t>Max Fsensor</t>
  </si>
  <si>
    <t>LHR Fsensor Divider</t>
  </si>
  <si>
    <t>LHR sensor divider setting</t>
  </si>
  <si>
    <r>
      <t>R</t>
    </r>
    <r>
      <rPr>
        <vertAlign val="subscript"/>
        <sz val="11"/>
        <color theme="1"/>
        <rFont val="ＭＳ Ｐゴシック"/>
        <family val="2"/>
        <scheme val="minor"/>
      </rPr>
      <t>P</t>
    </r>
    <r>
      <rPr>
        <sz val="11"/>
        <color theme="1"/>
        <rFont val="ＭＳ Ｐゴシック"/>
        <family val="2"/>
        <scheme val="minor"/>
      </rPr>
      <t>+L Conversion Interval</t>
    </r>
  </si>
  <si>
    <t>Without target interaction</t>
  </si>
  <si>
    <r>
      <t>R</t>
    </r>
    <r>
      <rPr>
        <vertAlign val="subscript"/>
        <sz val="11"/>
        <color theme="1"/>
        <rFont val="ＭＳ Ｐゴシック"/>
        <family val="2"/>
        <scheme val="minor"/>
      </rPr>
      <t>P</t>
    </r>
    <r>
      <rPr>
        <sz val="11"/>
        <color theme="1"/>
        <rFont val="ＭＳ Ｐゴシック"/>
        <family val="2"/>
        <scheme val="minor"/>
      </rPr>
      <t>+L Sample Rate</t>
    </r>
  </si>
  <si>
    <t>RCOUNT Valid check</t>
  </si>
  <si>
    <t>Valid Rcount</t>
  </si>
  <si>
    <t>RCOUNT LSB</t>
  </si>
  <si>
    <t>Datarate Limit</t>
  </si>
  <si>
    <t>LHR Conversion Interval</t>
  </si>
  <si>
    <t>LHR Sample Rate</t>
  </si>
  <si>
    <t>LDC1101 LHR Output Inductance Calculator</t>
  </si>
  <si>
    <t>31B123</t>
  </si>
  <si>
    <t>LDC1101 output from Registers [0x38-0x3A]</t>
  </si>
  <si>
    <t>Measured Sensor Frequency</t>
  </si>
  <si>
    <r>
      <t>LDC1101(R</t>
    </r>
    <r>
      <rPr>
        <b/>
        <vertAlign val="subscript"/>
        <sz val="12"/>
        <color theme="1"/>
        <rFont val="ＭＳ Ｐゴシック"/>
        <family val="2"/>
        <scheme val="minor"/>
      </rPr>
      <t>P</t>
    </r>
    <r>
      <rPr>
        <b/>
        <sz val="12"/>
        <color theme="1"/>
        <rFont val="ＭＳ Ｐゴシック"/>
        <family val="2"/>
        <scheme val="minor"/>
      </rPr>
      <t>+L) Output Calculator</t>
    </r>
  </si>
  <si>
    <t>LDC1101 output from Registers [0x23:0x25]</t>
  </si>
  <si>
    <t>LDC1101 output from Registers [0x21:0x22]</t>
  </si>
  <si>
    <t>LDC1101 Calc</t>
  </si>
  <si>
    <t>Device :</t>
  </si>
  <si>
    <t>Current-time Button Enabled (NP)</t>
  </si>
  <si>
    <t>Enabled LCDIV</t>
  </si>
  <si>
    <t>LDC2114 only flags LCDIV error if enabled channels don't have matching settings</t>
  </si>
  <si>
    <t>LDC2114 - new warning if the total active time exceeds the scan interval</t>
  </si>
  <si>
    <r>
      <rPr>
        <i/>
        <sz val="11"/>
        <color theme="1"/>
        <rFont val="ＭＳ Ｐゴシック"/>
        <family val="2"/>
        <scheme val="minor"/>
      </rPr>
      <t>f</t>
    </r>
    <r>
      <rPr>
        <vertAlign val="subscript"/>
        <sz val="11"/>
        <color theme="1"/>
        <rFont val="ＭＳ Ｐゴシック"/>
        <family val="2"/>
        <scheme val="minor"/>
      </rPr>
      <t>SENSOR</t>
    </r>
    <r>
      <rPr>
        <sz val="11"/>
        <color theme="1"/>
        <rFont val="ＭＳ Ｐゴシック"/>
        <family val="2"/>
        <scheme val="minor"/>
      </rPr>
      <t xml:space="preserve">(No Target)  </t>
    </r>
  </si>
  <si>
    <r>
      <rPr>
        <i/>
        <sz val="11"/>
        <color theme="1"/>
        <rFont val="ＭＳ Ｐゴシック"/>
        <family val="2"/>
        <scheme val="minor"/>
      </rPr>
      <t>f</t>
    </r>
    <r>
      <rPr>
        <vertAlign val="subscript"/>
        <sz val="11"/>
        <color theme="1"/>
        <rFont val="ＭＳ Ｐゴシック"/>
        <family val="2"/>
        <scheme val="minor"/>
      </rPr>
      <t>SENSOR</t>
    </r>
    <r>
      <rPr>
        <sz val="11"/>
        <color theme="1"/>
        <rFont val="ＭＳ Ｐゴシック"/>
        <family val="2"/>
        <scheme val="minor"/>
      </rPr>
      <t xml:space="preserve">(wIth Target)  </t>
    </r>
  </si>
  <si>
    <t>Sensor Diameter mm</t>
  </si>
  <si>
    <t>Target distance mm</t>
  </si>
  <si>
    <t>ratio</t>
  </si>
  <si>
    <t>L scaling factor</t>
  </si>
  <si>
    <t>LDC2114 Config tool had an error in sensor 0 active current-time calc (it had +0.1, not +0.01)</t>
  </si>
  <si>
    <t>Output Code Calculation</t>
  </si>
  <si>
    <t>LDC1101 Duty-cycled conversion power consumption</t>
  </si>
  <si>
    <t>RP+L Conversion Time</t>
  </si>
  <si>
    <t>LHR Conversion Time</t>
  </si>
  <si>
    <t>Total IO time (in sleep mode)</t>
  </si>
  <si>
    <t>SPI clocks to configure one register</t>
  </si>
  <si>
    <t>SPI config time</t>
  </si>
  <si>
    <t>LHR</t>
  </si>
  <si>
    <t>Includes initial RP+L overhead</t>
  </si>
  <si>
    <t>SPI Clocks for multiple registers</t>
  </si>
  <si>
    <t>tSTART</t>
  </si>
  <si>
    <t>total active  time per measurement</t>
  </si>
  <si>
    <t>It is recommended to transition directly from Active Mode to Sleep Mode</t>
  </si>
  <si>
    <t>Note: using a double conversion, will adjust</t>
  </si>
  <si>
    <t>Select Measurement:</t>
  </si>
  <si>
    <t>Added current consumption estimator to LDC1101 config</t>
  </si>
  <si>
    <t>Duty-Cycled Sample Rate</t>
  </si>
  <si>
    <t>Based on configuration settings entered above</t>
  </si>
  <si>
    <t>Sleep+Shutdown Current</t>
  </si>
  <si>
    <t>Maximum Sensor Frequency:</t>
  </si>
  <si>
    <t>Maximum recommended distance between sensor and LDC1101</t>
  </si>
  <si>
    <t>LDC1101 can utilize a remote sensor; this section calculates the maximum</t>
  </si>
  <si>
    <t>distance the sensor can be located from the LDC1101. Note that environmental effects and</t>
  </si>
  <si>
    <t>SPI Clk datarate</t>
  </si>
  <si>
    <t>Rev 7</t>
  </si>
  <si>
    <t>Added maximum sensor distance to LDC1101 config</t>
  </si>
  <si>
    <t>tWAKE+go</t>
  </si>
  <si>
    <t>LHR_CONFIG:SENSOR_DIV (Register 0x34:b[1:0])</t>
  </si>
  <si>
    <r>
      <t>LDC1101 R</t>
    </r>
    <r>
      <rPr>
        <b/>
        <vertAlign val="subscript"/>
        <sz val="12"/>
        <rFont val="ＭＳ Ｐゴシック"/>
        <family val="2"/>
        <scheme val="minor"/>
      </rPr>
      <t>P</t>
    </r>
    <r>
      <rPr>
        <b/>
        <sz val="12"/>
        <rFont val="ＭＳ Ｐゴシック"/>
        <family val="2"/>
        <scheme val="minor"/>
      </rPr>
      <t xml:space="preserve"> Parameters (</t>
    </r>
    <r>
      <rPr>
        <sz val="12"/>
        <rFont val="ＭＳ Ｐゴシック"/>
        <family val="2"/>
        <scheme val="minor"/>
      </rPr>
      <t>only necessary for R</t>
    </r>
    <r>
      <rPr>
        <vertAlign val="subscript"/>
        <sz val="12"/>
        <rFont val="ＭＳ Ｐゴシック"/>
        <family val="2"/>
        <scheme val="minor"/>
      </rPr>
      <t>P</t>
    </r>
    <r>
      <rPr>
        <sz val="12"/>
        <rFont val="ＭＳ Ｐゴシック"/>
        <family val="2"/>
        <scheme val="minor"/>
      </rPr>
      <t xml:space="preserve"> Measurements</t>
    </r>
    <r>
      <rPr>
        <b/>
        <sz val="12"/>
        <rFont val="ＭＳ Ｐゴシック"/>
        <family val="2"/>
        <scheme val="minor"/>
      </rPr>
      <t>):</t>
    </r>
  </si>
  <si>
    <r>
      <t>k</t>
    </r>
    <r>
      <rPr>
        <sz val="9"/>
        <rFont val="Calibri"/>
        <family val="2"/>
      </rPr>
      <t>Ω</t>
    </r>
  </si>
  <si>
    <t>LDC131x/LDC161x Configuration Tool</t>
  </si>
  <si>
    <t>Recommended settle count</t>
  </si>
  <si>
    <t>Sensor Drive Settings</t>
  </si>
  <si>
    <t>Recommended Sensor Amplitude</t>
  </si>
  <si>
    <t>Recommended Idrive</t>
  </si>
  <si>
    <t>Recommended IDRIVEx setting</t>
  </si>
  <si>
    <t>Ideal IDRIVEx setting</t>
  </si>
  <si>
    <t>peak fsensor</t>
  </si>
  <si>
    <t>Based on Sensor Rp</t>
  </si>
  <si>
    <t>distance1/diameter</t>
  </si>
  <si>
    <t>L adjust factor for distance 1</t>
  </si>
  <si>
    <t>distance2/diameter</t>
  </si>
  <si>
    <t>L adjust factor for distance 2</t>
  </si>
  <si>
    <t>Channel Sample Mode</t>
  </si>
  <si>
    <t>0 only</t>
  </si>
  <si>
    <t>1 only</t>
  </si>
  <si>
    <t>2 only</t>
  </si>
  <si>
    <t>3 only</t>
  </si>
  <si>
    <t>0, 1</t>
  </si>
  <si>
    <t>0, 1, 2</t>
  </si>
  <si>
    <t>0, 1, 2, 3</t>
  </si>
  <si>
    <t>Channel Sampling</t>
  </si>
  <si>
    <t>RR Sequence</t>
  </si>
  <si>
    <t>Autoscan_en</t>
  </si>
  <si>
    <t>active_chan</t>
  </si>
  <si>
    <t>#channels</t>
  </si>
  <si>
    <t>Valid for LDC1xx2</t>
  </si>
  <si>
    <t>2 channel device?</t>
  </si>
  <si>
    <t>Valid sampling mode for device</t>
  </si>
  <si>
    <t>Number of active channels</t>
  </si>
  <si>
    <t>rr_sequence</t>
  </si>
  <si>
    <t>autoscan_en</t>
  </si>
  <si>
    <t>Address</t>
  </si>
  <si>
    <t>Setting</t>
  </si>
  <si>
    <t>RCOUNT_CH0</t>
  </si>
  <si>
    <t>RCOUNT_CH1</t>
  </si>
  <si>
    <t>RCOUNT_CH2</t>
  </si>
  <si>
    <t>RCOUNT_CH3</t>
  </si>
  <si>
    <t>0x08</t>
  </si>
  <si>
    <t>0x09</t>
  </si>
  <si>
    <t>0x0A</t>
  </si>
  <si>
    <t>0x0B</t>
  </si>
  <si>
    <t>SETTLECOUNT_CH0</t>
  </si>
  <si>
    <t>SETTLECOUNT_CH1</t>
  </si>
  <si>
    <t>SETTLECOUNT_CH2</t>
  </si>
  <si>
    <t>SETTLECOUNT_CH3</t>
  </si>
  <si>
    <t>0x10</t>
  </si>
  <si>
    <t>0x11</t>
  </si>
  <si>
    <t>0x12</t>
  </si>
  <si>
    <t>0x13</t>
  </si>
  <si>
    <t>CLOCK_DIVIDERS_CH0</t>
  </si>
  <si>
    <t>CLOCK_DIVIDERS_CH1</t>
  </si>
  <si>
    <t>CLOCK_DIVIDERS_CH2</t>
  </si>
  <si>
    <t>CLOCK_DIVIDERS_CH3</t>
  </si>
  <si>
    <t>0x14</t>
  </si>
  <si>
    <t>0x15</t>
  </si>
  <si>
    <t>0x16</t>
  </si>
  <si>
    <t>0x17</t>
  </si>
  <si>
    <t>CONFIG</t>
  </si>
  <si>
    <t>0x1A</t>
  </si>
  <si>
    <t>MUX_CONFIG</t>
  </si>
  <si>
    <t>0x1B</t>
  </si>
  <si>
    <t>DRIVE_CURRENT_CH0</t>
  </si>
  <si>
    <t>DRIVE_CURRENT_CH1</t>
  </si>
  <si>
    <t>DRIVE_CURRENT_CH2</t>
  </si>
  <si>
    <t>DRIVE_CURRENT_CH3</t>
  </si>
  <si>
    <t>0x1E</t>
  </si>
  <si>
    <t>0x1F</t>
  </si>
  <si>
    <t>0x20</t>
  </si>
  <si>
    <t>0x21</t>
  </si>
  <si>
    <t>Config Register setting</t>
  </si>
  <si>
    <t>Reference Frequency Source</t>
  </si>
  <si>
    <t>Maximum Device Reference Frequency</t>
  </si>
  <si>
    <t xml:space="preserve">Internal or External Reference </t>
  </si>
  <si>
    <t>Auto Amp Dis</t>
  </si>
  <si>
    <t>RP_Override_EN</t>
  </si>
  <si>
    <t>INTB_DIS</t>
  </si>
  <si>
    <t>High Current Drive</t>
  </si>
  <si>
    <t>fin/fref ratio</t>
  </si>
  <si>
    <t>Deglitch Filter setting</t>
  </si>
  <si>
    <t>7CB123</t>
  </si>
  <si>
    <t>Recommended Minimum Sensor Amplitude</t>
  </si>
  <si>
    <r>
      <rPr>
        <i/>
        <sz val="9"/>
        <rFont val="ＭＳ Ｐゴシック"/>
        <family val="2"/>
        <scheme val="minor"/>
      </rPr>
      <t>f</t>
    </r>
    <r>
      <rPr>
        <vertAlign val="subscript"/>
        <sz val="9"/>
        <rFont val="ＭＳ Ｐゴシック"/>
        <family val="2"/>
        <scheme val="minor"/>
      </rPr>
      <t>SENSOR</t>
    </r>
    <r>
      <rPr>
        <sz val="9"/>
        <rFont val="ＭＳ Ｐゴシック"/>
        <family val="2"/>
        <scheme val="minor"/>
      </rPr>
      <t xml:space="preserve"> Minimum</t>
    </r>
  </si>
  <si>
    <r>
      <rPr>
        <i/>
        <sz val="9"/>
        <rFont val="ＭＳ Ｐゴシック"/>
        <family val="2"/>
        <scheme val="minor"/>
      </rPr>
      <t>f</t>
    </r>
    <r>
      <rPr>
        <vertAlign val="subscript"/>
        <sz val="9"/>
        <rFont val="ＭＳ Ｐゴシック"/>
        <family val="2"/>
        <scheme val="minor"/>
      </rPr>
      <t>SENSOR</t>
    </r>
    <r>
      <rPr>
        <sz val="9"/>
        <rFont val="ＭＳ Ｐゴシック"/>
        <family val="2"/>
        <scheme val="minor"/>
      </rPr>
      <t xml:space="preserve"> Maximum</t>
    </r>
  </si>
  <si>
    <r>
      <t>R</t>
    </r>
    <r>
      <rPr>
        <vertAlign val="subscript"/>
        <sz val="11"/>
        <rFont val="ＭＳ Ｐゴシック"/>
        <family val="2"/>
        <scheme val="minor"/>
      </rPr>
      <t>P</t>
    </r>
    <r>
      <rPr>
        <sz val="11"/>
        <rFont val="ＭＳ Ｐゴシック"/>
        <family val="2"/>
        <scheme val="minor"/>
      </rPr>
      <t xml:space="preserve"> at Distance 2</t>
    </r>
  </si>
  <si>
    <r>
      <t>R</t>
    </r>
    <r>
      <rPr>
        <vertAlign val="subscript"/>
        <sz val="11"/>
        <rFont val="ＭＳ Ｐゴシック"/>
        <family val="2"/>
        <scheme val="minor"/>
      </rPr>
      <t>P</t>
    </r>
    <r>
      <rPr>
        <sz val="11"/>
        <rFont val="ＭＳ Ｐゴシック"/>
        <family val="2"/>
        <scheme val="minor"/>
      </rPr>
      <t xml:space="preserve"> at Distance 1</t>
    </r>
  </si>
  <si>
    <t>skin depth of Alumium at f1</t>
  </si>
  <si>
    <t>skin depth of Alumium at f2</t>
  </si>
  <si>
    <t>Estimated Minimum Sensor Amplitude</t>
  </si>
  <si>
    <t>Free-space Sensor Frequency</t>
  </si>
  <si>
    <t>LDC131x or LDC161x? (0=131x/1=161x)</t>
  </si>
  <si>
    <t>For more information, refer to:</t>
  </si>
  <si>
    <t>distance 1 to 2 delta frequency</t>
  </si>
  <si>
    <t>desired resolution</t>
  </si>
  <si>
    <t>dec</t>
  </si>
  <si>
    <t>Required RCOUNT (Dec)</t>
  </si>
  <si>
    <t>Integer RCOUNT</t>
  </si>
  <si>
    <t>RCOUNT Setting</t>
  </si>
  <si>
    <t>Bit Field</t>
  </si>
  <si>
    <t>Device Sample Rate (for all channels)</t>
  </si>
  <si>
    <t>Effective Rcount for all channels</t>
  </si>
  <si>
    <t>Max conversion rate for device (I/O limit)</t>
  </si>
  <si>
    <t>sample rate all chan, not I/O limit check</t>
  </si>
  <si>
    <t xml:space="preserve">Programmed settle count </t>
  </si>
  <si>
    <t>Enter Free Space Value</t>
  </si>
  <si>
    <t>New LDC161x tool</t>
  </si>
  <si>
    <t>Output Code</t>
  </si>
  <si>
    <t>Channel Offset</t>
  </si>
  <si>
    <t>Maximum Distance between LDC &amp; sensor:</t>
  </si>
  <si>
    <t>This may not be achievable in all systems, based on environmental noise</t>
  </si>
  <si>
    <t>Shutdown Mode Current Consumption</t>
  </si>
  <si>
    <t>Sleep Mode Only Current Consumption</t>
  </si>
  <si>
    <r>
      <rPr>
        <i/>
        <sz val="11"/>
        <rFont val="ＭＳ Ｐゴシック"/>
        <family val="2"/>
        <scheme val="minor"/>
      </rPr>
      <t>f</t>
    </r>
    <r>
      <rPr>
        <vertAlign val="subscript"/>
        <sz val="11"/>
        <rFont val="ＭＳ Ｐゴシック"/>
        <family val="2"/>
        <scheme val="minor"/>
      </rPr>
      <t>IN</t>
    </r>
    <r>
      <rPr>
        <sz val="11"/>
        <rFont val="ＭＳ Ｐゴシック"/>
        <family val="2"/>
        <scheme val="minor"/>
      </rPr>
      <t xml:space="preserve"> Divider Setting</t>
    </r>
  </si>
  <si>
    <t>LDC161x/LDC131xConfig Tool</t>
  </si>
  <si>
    <t>Sensor Frequency shift</t>
  </si>
  <si>
    <t>L adjust factor</t>
  </si>
  <si>
    <t>Distance ratio</t>
  </si>
  <si>
    <t>Distance (mm)</t>
  </si>
  <si>
    <r>
      <t>L (</t>
    </r>
    <r>
      <rPr>
        <b/>
        <sz val="11"/>
        <color theme="1"/>
        <rFont val="Calibri"/>
        <family val="2"/>
      </rPr>
      <t>µ</t>
    </r>
    <r>
      <rPr>
        <b/>
        <sz val="11"/>
        <color theme="1"/>
        <rFont val="ＭＳ Ｐゴシック"/>
        <family val="2"/>
        <scheme val="minor"/>
      </rPr>
      <t>H)</t>
    </r>
  </si>
  <si>
    <t>L Shifted1</t>
  </si>
  <si>
    <t>Distance1</t>
  </si>
  <si>
    <t>Distance2</t>
  </si>
  <si>
    <t>L Shifted2</t>
  </si>
  <si>
    <t>Farthest Target Distance</t>
  </si>
  <si>
    <t>Eff Resolution between Min&amp;Max Distance</t>
  </si>
  <si>
    <t>Continuous Conversion Current</t>
  </si>
  <si>
    <t>Counts</t>
  </si>
  <si>
    <t xml:space="preserve">Physical Resolution </t>
  </si>
  <si>
    <t>Deglitch Field setting</t>
  </si>
  <si>
    <t>Fixed calculation of gap/tooth width in LDC0851 event counting</t>
  </si>
  <si>
    <t>RESET_DEV</t>
  </si>
  <si>
    <t>0x1C</t>
  </si>
  <si>
    <t>LDC131x Resolution Calculations</t>
  </si>
  <si>
    <t>fsensor shift as fraction of fref</t>
  </si>
  <si>
    <t>Gain 16 range used</t>
  </si>
  <si>
    <t>automatically set to 0 with LDC161x</t>
  </si>
  <si>
    <r>
      <rPr>
        <i/>
        <sz val="11"/>
        <rFont val="ＭＳ Ｐゴシック"/>
        <family val="2"/>
        <scheme val="minor"/>
      </rPr>
      <t>f</t>
    </r>
    <r>
      <rPr>
        <vertAlign val="subscript"/>
        <sz val="11"/>
        <rFont val="ＭＳ Ｐゴシック"/>
        <family val="2"/>
        <scheme val="minor"/>
      </rPr>
      <t>SENSOR</t>
    </r>
    <r>
      <rPr>
        <sz val="11"/>
        <rFont val="ＭＳ Ｐゴシック"/>
        <family val="2"/>
        <scheme val="minor"/>
      </rPr>
      <t xml:space="preserve"> at farthest target Distance </t>
    </r>
  </si>
  <si>
    <r>
      <rPr>
        <i/>
        <sz val="11"/>
        <rFont val="ＭＳ Ｐゴシック"/>
        <family val="2"/>
        <scheme val="minor"/>
      </rPr>
      <t>f</t>
    </r>
    <r>
      <rPr>
        <vertAlign val="subscript"/>
        <sz val="11"/>
        <rFont val="ＭＳ Ｐゴシック"/>
        <family val="2"/>
        <scheme val="minor"/>
      </rPr>
      <t>SENSOR</t>
    </r>
    <r>
      <rPr>
        <sz val="11"/>
        <rFont val="ＭＳ Ｐゴシック"/>
        <family val="2"/>
        <scheme val="minor"/>
      </rPr>
      <t xml:space="preserve"> at Closest Target Distance</t>
    </r>
  </si>
  <si>
    <t>Recommended Offset for LDC131x</t>
  </si>
  <si>
    <t>fsensor shift as fraction of fref (actual)</t>
  </si>
  <si>
    <t>data</t>
  </si>
  <si>
    <t>Estimated (0) or Actual (1) Data?</t>
  </si>
  <si>
    <t>Determine LDC131x settings based on:</t>
  </si>
  <si>
    <t>x</t>
  </si>
  <si>
    <t>Output with OFFSET_CHx = 0x0000 &amp; GAIN = 1x</t>
  </si>
  <si>
    <t>LDC131x Output Gain Field setting</t>
  </si>
  <si>
    <t>Estimated Native output code for Fmin</t>
  </si>
  <si>
    <t>Estimated Native output code for fmax</t>
  </si>
  <si>
    <t>Max Output code for subsequent calculations</t>
  </si>
  <si>
    <t>Min Output code for subsequent calculations</t>
  </si>
  <si>
    <t>LDC131x Maximum Output Code Observed</t>
  </si>
  <si>
    <t>LDC131x Minimum Output Code Observed</t>
  </si>
  <si>
    <t>Limitation of LDC131x</t>
  </si>
  <si>
    <t>LDC161x/LDC131x tool now supports LDC131x fully</t>
  </si>
  <si>
    <t>OFFSET_CH0</t>
  </si>
  <si>
    <t>OFFSET_CH1</t>
  </si>
  <si>
    <t>OFFSET_CH2</t>
  </si>
  <si>
    <t>OFFSET_CH3</t>
  </si>
  <si>
    <t>0x0C</t>
  </si>
  <si>
    <t>0x0D</t>
  </si>
  <si>
    <t>0x0E</t>
  </si>
  <si>
    <t>0x0F</t>
  </si>
  <si>
    <t>Resolution Calculations</t>
  </si>
  <si>
    <t xml:space="preserve">Determine LDC131x Gain &amp; Offset Setting </t>
  </si>
  <si>
    <t xml:space="preserve">Calculated Offset code </t>
  </si>
  <si>
    <t>Offset headroom on high side (ratio to low side)</t>
  </si>
  <si>
    <t>Gain=1 Code Delta</t>
  </si>
  <si>
    <t>Headroom codes</t>
  </si>
  <si>
    <t>Offset code (not range checked)</t>
  </si>
  <si>
    <t>Extra codes of range available</t>
  </si>
  <si>
    <t>adjust center of codes for extra headroom for higher frequencies caused by closer targets</t>
  </si>
  <si>
    <t>from target positions estimates</t>
  </si>
  <si>
    <t>selected based on Actual or Estimate</t>
  </si>
  <si>
    <t>Native code range with selected Gain setting</t>
  </si>
  <si>
    <t>Duty Cycled Supply Current Estimator</t>
  </si>
  <si>
    <t>External</t>
  </si>
  <si>
    <t>External Reference Frequency</t>
  </si>
  <si>
    <t>Maximum Effective Reference Frequency</t>
  </si>
  <si>
    <t>divider setting</t>
  </si>
  <si>
    <t>if internal source, set to 1, otherwise use external divider</t>
  </si>
  <si>
    <r>
      <rPr>
        <i/>
        <sz val="11"/>
        <color theme="1"/>
        <rFont val="ＭＳ Ｐゴシック"/>
        <family val="2"/>
        <scheme val="minor"/>
      </rPr>
      <t>f</t>
    </r>
    <r>
      <rPr>
        <vertAlign val="subscript"/>
        <sz val="11"/>
        <color theme="1"/>
        <rFont val="ＭＳ Ｐゴシック"/>
        <family val="2"/>
        <scheme val="minor"/>
      </rPr>
      <t>REF</t>
    </r>
    <r>
      <rPr>
        <sz val="11"/>
        <color theme="1"/>
        <rFont val="ＭＳ Ｐゴシック"/>
        <family val="2"/>
        <scheme val="minor"/>
      </rPr>
      <t xml:space="preserve"> divider </t>
    </r>
  </si>
  <si>
    <t>LDC161x/131x tool handles the fref divider when needed</t>
  </si>
  <si>
    <t>Added  TI Logos</t>
  </si>
  <si>
    <t>Effective Reference Frequency</t>
  </si>
  <si>
    <t>Axial Target Movement Calculations</t>
  </si>
  <si>
    <t>Sensor Inductance for calculations</t>
  </si>
  <si>
    <t>Sensor Capacitance for calculations</t>
  </si>
  <si>
    <t>Entered Sensor RP</t>
  </si>
  <si>
    <t>Entered Sensor Q</t>
  </si>
  <si>
    <t>Sensor RP for Calculations</t>
  </si>
  <si>
    <t>Sensor Q for Calculations</t>
  </si>
  <si>
    <t>this value used for subsequent calculations</t>
  </si>
  <si>
    <t>LDC2112/4</t>
  </si>
  <si>
    <t>Is Spiral Designer tool set to LDC131x/LDC161x?</t>
  </si>
  <si>
    <t>Use Spiral Designer Tool Values checked</t>
  </si>
  <si>
    <t>Sensor Diameter for Calculations</t>
  </si>
  <si>
    <t>L used for graph</t>
  </si>
  <si>
    <t>Sensor Size used for Graph</t>
  </si>
  <si>
    <t>this is easier than complex if statements below</t>
  </si>
  <si>
    <t>Only using the L reduction , does not include skin-effect shifts</t>
  </si>
  <si>
    <t>Recommended from Datasheet</t>
  </si>
  <si>
    <t>used for power calculations below</t>
  </si>
  <si>
    <t>Added check box and link to use Spiral Designer tool values in LDC131x/161x config tool</t>
  </si>
  <si>
    <t>removed some redundant calculations</t>
  </si>
  <si>
    <t>Estimated</t>
  </si>
  <si>
    <t xml:space="preserve">Use LDC131x Gain </t>
  </si>
  <si>
    <t>LDC131x (0) or LDC161x (1)?</t>
  </si>
  <si>
    <r>
      <t>Sensor Parameters</t>
    </r>
    <r>
      <rPr>
        <b/>
        <sz val="11"/>
        <color theme="1"/>
        <rFont val="ＭＳ Ｐゴシック"/>
        <family val="2"/>
        <scheme val="minor"/>
      </rPr>
      <t xml:space="preserve"> (this tool assumes all channels have matching sensors)</t>
    </r>
  </si>
  <si>
    <t>Copied from above</t>
  </si>
  <si>
    <t>If this is above 1, then we need to use a divider &gt;1</t>
  </si>
  <si>
    <t>limit to 2^x between 1 and 8</t>
  </si>
  <si>
    <t>fixed a ldc1101 calc tool issue with the divider - if the ref frequency was too high, then the LHR_Config was messed up. This was due to a divider of 0 occuring in D104</t>
  </si>
  <si>
    <t>Added Instructions to Spiral Inductor Designer</t>
  </si>
  <si>
    <t>Added LDC1000 Tools tab</t>
  </si>
  <si>
    <t>LDC1000/41/51</t>
  </si>
  <si>
    <t>LDC1101 handled on LDC1101 Config Tool</t>
  </si>
  <si>
    <t>LDC1000/10x1</t>
  </si>
  <si>
    <t>LDC1000 Tools</t>
  </si>
  <si>
    <t>LDC1000_Tools</t>
  </si>
  <si>
    <t xml:space="preserve">Calculate the sensor frequency and inductance for the LDC1000/1041/1051. </t>
  </si>
  <si>
    <r>
      <t>LDC1000/1041/1051 R</t>
    </r>
    <r>
      <rPr>
        <b/>
        <vertAlign val="subscript"/>
        <sz val="11"/>
        <color theme="1"/>
        <rFont val="ＭＳ Ｐゴシック"/>
        <family val="2"/>
        <scheme val="minor"/>
      </rPr>
      <t>P</t>
    </r>
    <r>
      <rPr>
        <b/>
        <sz val="11"/>
        <color theme="1"/>
        <rFont val="ＭＳ Ｐゴシック"/>
        <family val="2"/>
        <scheme val="minor"/>
      </rPr>
      <t xml:space="preserve"> Calculator</t>
    </r>
  </si>
  <si>
    <t>LDC1000/1041/1051 Sample Rate from Device Settings</t>
  </si>
  <si>
    <t>Note: LDC1000EVM uses 6MHz</t>
  </si>
  <si>
    <t>Removed Output Code Calculator tab, LDC131x/161x Sensor Config, remote_sensor, &amp; sample rate calculator</t>
  </si>
  <si>
    <t>LDC1000/1041 Inductance Calculator</t>
  </si>
  <si>
    <t>LDC0851 Battery Life Calculator</t>
  </si>
  <si>
    <t>Battery Capacity</t>
  </si>
  <si>
    <t>mAh</t>
  </si>
  <si>
    <t>Board Parasitic Capacitance</t>
  </si>
  <si>
    <t>LDC0851 Numbers</t>
  </si>
  <si>
    <r>
      <t>I</t>
    </r>
    <r>
      <rPr>
        <vertAlign val="subscript"/>
        <sz val="11"/>
        <color theme="1"/>
        <rFont val="ＭＳ Ｐゴシック"/>
        <family val="2"/>
        <scheme val="minor"/>
      </rPr>
      <t>sensor</t>
    </r>
  </si>
  <si>
    <t>Isensor</t>
  </si>
  <si>
    <t>refer to section 9.2.3 of the LDC0851 datasheet for details.</t>
  </si>
  <si>
    <t>Added LDC0851 battery calculations (thanks Luke!)</t>
  </si>
  <si>
    <t>LDC0851 now reports IDD with closest target, not Isensor</t>
  </si>
  <si>
    <t>Battery Lifetime (LDC0851 loading only)</t>
  </si>
  <si>
    <t>new gear picture on LDC0851 tools</t>
  </si>
  <si>
    <r>
      <t>Minimum Angle for one event (</t>
    </r>
    <r>
      <rPr>
        <sz val="11"/>
        <color theme="1"/>
        <rFont val="Calibri"/>
        <family val="2"/>
      </rPr>
      <t>Θ</t>
    </r>
    <r>
      <rPr>
        <vertAlign val="subscript"/>
        <sz val="11"/>
        <color theme="1"/>
        <rFont val="Calibri"/>
        <family val="2"/>
      </rPr>
      <t>EVENT</t>
    </r>
    <r>
      <rPr>
        <sz val="11"/>
        <color theme="1"/>
        <rFont val="Calibri"/>
        <family val="2"/>
      </rPr>
      <t>)</t>
    </r>
  </si>
  <si>
    <t>Resitivity</t>
  </si>
  <si>
    <t>Bronze</t>
  </si>
  <si>
    <t>67Cu33Sn</t>
  </si>
  <si>
    <t>Skin Depth Calculator changed Conductity to Resistivity</t>
  </si>
  <si>
    <t>Added Bronze to Skin Depth Calc tool</t>
  </si>
  <si>
    <t>Configure time + Active time per sample</t>
  </si>
  <si>
    <t>Added config time+ active time to LDC131x/161x duty-cycled calculation</t>
  </si>
  <si>
    <t>Total Shutdown time per second</t>
  </si>
  <si>
    <t>Added timing information on LDC1101 duty cycled measurement</t>
  </si>
  <si>
    <t>Resolution and Sample Rate Calculation (relative movement only)</t>
  </si>
  <si>
    <t>Encoder Calculation Tool</t>
  </si>
  <si>
    <t>Knob Outer Diameter</t>
  </si>
  <si>
    <t>Knob Inner Diameter</t>
  </si>
  <si>
    <t>Trace Edge Clearance</t>
  </si>
  <si>
    <t>Trace Width</t>
  </si>
  <si>
    <t>Trace Space</t>
  </si>
  <si>
    <t>Minimum Trace Width</t>
  </si>
  <si>
    <t>Minimum Trace Space</t>
  </si>
  <si>
    <t>System Needs</t>
  </si>
  <si>
    <t>Sensor Construction</t>
  </si>
  <si>
    <t>Angle of one position</t>
  </si>
  <si>
    <t>Max Sensor Length</t>
  </si>
  <si>
    <t>Width/Length Ratio</t>
  </si>
  <si>
    <t>Clipped Width/Length Ratio</t>
  </si>
  <si>
    <t>center via size</t>
  </si>
  <si>
    <t>sensor routing width</t>
  </si>
  <si>
    <t>inner diameter</t>
  </si>
  <si>
    <t>Ratio LW</t>
  </si>
  <si>
    <t>Area correction</t>
  </si>
  <si>
    <t>Geometric Mean</t>
  </si>
  <si>
    <t>Self Inductance per layer</t>
  </si>
  <si>
    <t>Average scaled by area correction</t>
  </si>
  <si>
    <t>Sensor calculations</t>
  </si>
  <si>
    <t>Number of Layers</t>
  </si>
  <si>
    <t>Target Distance (Z height)</t>
  </si>
  <si>
    <t>Sensor Free-Space Inductance</t>
  </si>
  <si>
    <t>Sensor Inductance with Target interaction</t>
  </si>
  <si>
    <t>PCB thickness between Layer1 &amp; Layer2</t>
  </si>
  <si>
    <t>maximum number of turns</t>
  </si>
  <si>
    <t>Minimum Via diameter</t>
  </si>
  <si>
    <t>Number of positions/rotation</t>
  </si>
  <si>
    <t>Mimimum Center Via Size</t>
  </si>
  <si>
    <t>Coil Length per layer</t>
  </si>
  <si>
    <t>Operating Temp</t>
  </si>
  <si>
    <t>Conductor Resistivity@ Temp</t>
  </si>
  <si>
    <t>Conductor TempCo</t>
  </si>
  <si>
    <t>%/°C</t>
  </si>
  <si>
    <t>Conductor Resistivity@20</t>
  </si>
  <si>
    <t>Trace thickness</t>
  </si>
  <si>
    <t>Trace Thickness</t>
  </si>
  <si>
    <t>DC Resistance (Rs for DC)</t>
  </si>
  <si>
    <t>Maybe add entry for this value</t>
  </si>
  <si>
    <t>Number of PCB Layers</t>
  </si>
  <si>
    <t>Min Rp</t>
  </si>
  <si>
    <t>Skin Depth at Max Fsensor</t>
  </si>
  <si>
    <t>Max Rs (AC)</t>
  </si>
  <si>
    <t>Sample Rate or Maximum RPM</t>
  </si>
  <si>
    <t>Standardized Units (Converted to mm)</t>
  </si>
  <si>
    <t xml:space="preserve">AIML-0402-1R0K-T </t>
  </si>
  <si>
    <t>P/N</t>
  </si>
  <si>
    <t>Q@10MHz</t>
  </si>
  <si>
    <t>Rs@10MHz</t>
  </si>
  <si>
    <t>Fixed Inductor Parameters</t>
  </si>
  <si>
    <t>L free-space total</t>
  </si>
  <si>
    <t>Fsensor free-space</t>
  </si>
  <si>
    <t>L max target</t>
  </si>
  <si>
    <t>Fsensor max target</t>
  </si>
  <si>
    <t>Rs with target</t>
  </si>
  <si>
    <t>Use Fixed Inductor?</t>
  </si>
  <si>
    <t>1=Yes, 0=No</t>
  </si>
  <si>
    <t>Device Minimum Rp</t>
  </si>
  <si>
    <t>Can Device drive min Rp from target?</t>
  </si>
  <si>
    <t>Fsensor Maximum</t>
  </si>
  <si>
    <t>Max Target-Sensor Distance</t>
  </si>
  <si>
    <t>LDC131x Design Space</t>
  </si>
  <si>
    <t>LDC131x System maybe with Fixed Inductor</t>
  </si>
  <si>
    <t>Sample interval</t>
  </si>
  <si>
    <t>ms/channel</t>
  </si>
  <si>
    <t>codes</t>
  </si>
  <si>
    <t>Min Needed Rcount for 100 codes</t>
  </si>
  <si>
    <t>1=yes, 0=no</t>
  </si>
  <si>
    <t>Fref</t>
  </si>
  <si>
    <t>LDC131x code variation (no gain)</t>
  </si>
  <si>
    <t>Minimum code delta (gain=0)</t>
  </si>
  <si>
    <t>PCB thickness between Layer2 &amp; Layer3</t>
  </si>
  <si>
    <t>PCB thickness between Layer3 &amp; Layer4</t>
  </si>
  <si>
    <r>
      <rPr>
        <sz val="10"/>
        <color indexed="8"/>
        <rFont val="Calibri"/>
        <family val="2"/>
      </rPr>
      <t>µH</t>
    </r>
  </si>
  <si>
    <t>Minimum sensor shift</t>
  </si>
  <si>
    <t>ppm</t>
  </si>
  <si>
    <t>LDC211x System</t>
  </si>
  <si>
    <t>LDC211x Design Space</t>
  </si>
  <si>
    <t>LDC131x Sensor Target Interaction</t>
  </si>
  <si>
    <t xml:space="preserve">Target Max Sensor Frequency </t>
  </si>
  <si>
    <t>Target Max Sensor Frequency</t>
  </si>
  <si>
    <t>Delta sensor frequency</t>
  </si>
  <si>
    <t>Ideal Sensor Cap</t>
  </si>
  <si>
    <t>Sensor Standard Value Cap</t>
  </si>
  <si>
    <t>Cap Unit lookup</t>
  </si>
  <si>
    <t>Standard Cap values scaled</t>
  </si>
  <si>
    <t>Consider including space for 2nd vias in 4layer #turns</t>
  </si>
  <si>
    <t>Min Inductance (max target)</t>
  </si>
  <si>
    <t>Max Inductance (min target)</t>
  </si>
  <si>
    <t>Can device drive Min RP?</t>
  </si>
  <si>
    <t>Free-space Maximum Q</t>
  </si>
  <si>
    <t>Actual Sensor Frequency max target</t>
  </si>
  <si>
    <t>Actual sensor frequency min target</t>
  </si>
  <si>
    <t>Skin depth at min frequency</t>
  </si>
  <si>
    <t>Min Rs (AC)</t>
  </si>
  <si>
    <t>Q Max</t>
  </si>
  <si>
    <t>Additional series R needed</t>
  </si>
  <si>
    <t>System Frequency shift</t>
  </si>
  <si>
    <t>Actual Sensor Frequency no target</t>
  </si>
  <si>
    <t>PPM shift</t>
  </si>
  <si>
    <t>LDC211x PPM shift above minimum?</t>
  </si>
  <si>
    <t>is free-space Q below LDC211x max?</t>
  </si>
  <si>
    <t>LDC2114 suitable?</t>
  </si>
  <si>
    <t>LDC2114 Suitable?</t>
  </si>
  <si>
    <t>LDC131x Suitable?</t>
  </si>
  <si>
    <t>Is LDC2114 sample rate ok?</t>
  </si>
  <si>
    <t>LDC0851 System</t>
  </si>
  <si>
    <t>LDC131x suitable?</t>
  </si>
  <si>
    <t>Min Sensor Dimension</t>
  </si>
  <si>
    <t>Sensor Size</t>
  </si>
  <si>
    <t>Number of turns</t>
  </si>
  <si>
    <t>Free-Space Inductance</t>
  </si>
  <si>
    <t>Inductance Shift from Target</t>
  </si>
  <si>
    <t>turns</t>
  </si>
  <si>
    <t>Text Note</t>
  </si>
  <si>
    <t>LDC2114 Sensor Frequency</t>
  </si>
  <si>
    <t>LDC131x Sensor Cap</t>
  </si>
  <si>
    <t>LDC2114 Sensor Cap</t>
  </si>
  <si>
    <t>Normalized Target Distance</t>
  </si>
  <si>
    <t>use -10% of nominal for guardband</t>
  </si>
  <si>
    <t>Number of Turns</t>
  </si>
  <si>
    <t>Self-Inductance per layer</t>
  </si>
  <si>
    <t>Target distance</t>
  </si>
  <si>
    <t>distance i7-i8</t>
  </si>
  <si>
    <t>distance i6-i7</t>
  </si>
  <si>
    <t>distance i5-i6</t>
  </si>
  <si>
    <t>distance i4-i5</t>
  </si>
  <si>
    <t>distance i3-i4</t>
  </si>
  <si>
    <t>distance i2-i3</t>
  </si>
  <si>
    <t>distance i1-i2</t>
  </si>
  <si>
    <t>distance L1-i1</t>
  </si>
  <si>
    <t>PCB thickness L1-L2</t>
  </si>
  <si>
    <t>PCB thickness L2-L3</t>
  </si>
  <si>
    <t>PCB thickness L3-L4</t>
  </si>
  <si>
    <t>PCB thickness L4-L5</t>
  </si>
  <si>
    <t>PCB thickness L5-L6</t>
  </si>
  <si>
    <t>PCB thickness L6-L7</t>
  </si>
  <si>
    <t>PCB thickness L7-L8</t>
  </si>
  <si>
    <t>T Scaling</t>
  </si>
  <si>
    <t>Lmutual sum</t>
  </si>
  <si>
    <t>scale factor</t>
  </si>
  <si>
    <t>Total Inductance free-space</t>
  </si>
  <si>
    <t>Target Interaction sum</t>
  </si>
  <si>
    <t>TI scale</t>
  </si>
  <si>
    <t>Inductance with Target interaction</t>
  </si>
  <si>
    <t>Lmutual for 12</t>
  </si>
  <si>
    <t>Lmutual for 13</t>
  </si>
  <si>
    <t>Lmutual for 14</t>
  </si>
  <si>
    <t>Lmutual for 15</t>
  </si>
  <si>
    <t>Lmutual for 16</t>
  </si>
  <si>
    <t>Lmutual for 17</t>
  </si>
  <si>
    <t>Lmutual for 18</t>
  </si>
  <si>
    <t>Lmutual for 23</t>
  </si>
  <si>
    <t>Lmutual for 24</t>
  </si>
  <si>
    <t>Lmutual for 25</t>
  </si>
  <si>
    <t>Lmutual for 26</t>
  </si>
  <si>
    <t>Lmutual for 27</t>
  </si>
  <si>
    <t>Lmutual for 28</t>
  </si>
  <si>
    <t>Lmutual for 34</t>
  </si>
  <si>
    <t>Lmutual for 35</t>
  </si>
  <si>
    <t>Lmutual for 36</t>
  </si>
  <si>
    <t>Lmutual for 37</t>
  </si>
  <si>
    <t>Lmutual for 38</t>
  </si>
  <si>
    <t>Lmutual for 45</t>
  </si>
  <si>
    <t>Lmutual for 46</t>
  </si>
  <si>
    <t>Lmutual for 47</t>
  </si>
  <si>
    <t>Lmutual for 48</t>
  </si>
  <si>
    <t>Lmutual for 56</t>
  </si>
  <si>
    <t>Lmutual for 57</t>
  </si>
  <si>
    <t>Lmutual for 58</t>
  </si>
  <si>
    <t>Lmutual for 67</t>
  </si>
  <si>
    <t>Lmutual for 68</t>
  </si>
  <si>
    <t>Lmutual for 78</t>
  </si>
  <si>
    <t>Lmutual for i1-L1</t>
  </si>
  <si>
    <t>Lmutual for i1-L2</t>
  </si>
  <si>
    <t>Lmutual for i1-L3</t>
  </si>
  <si>
    <t>Lmutual for i1-L4</t>
  </si>
  <si>
    <t>Lmutual for i1-L5</t>
  </si>
  <si>
    <t>Lmutual for i1-L6</t>
  </si>
  <si>
    <t>Lmutual for i1-L7</t>
  </si>
  <si>
    <t>Lmutual for i1-L8</t>
  </si>
  <si>
    <t>Lmutual for i2-L1</t>
  </si>
  <si>
    <t>Lmutual for i2-L2</t>
  </si>
  <si>
    <t>Lmutual for i2-L3</t>
  </si>
  <si>
    <t>Lmutual for i2-L4</t>
  </si>
  <si>
    <t>Lmutual for i2-L5</t>
  </si>
  <si>
    <t>Lmutual for i2-L6</t>
  </si>
  <si>
    <t>Lmutual for i2-L7</t>
  </si>
  <si>
    <t>Lmutual for i2-L8</t>
  </si>
  <si>
    <t>Lmutual for i3-L1</t>
  </si>
  <si>
    <t>Lmutual for i3-L2</t>
  </si>
  <si>
    <t>Lmutual for i3-L3</t>
  </si>
  <si>
    <t>Lmutual for i3-L4</t>
  </si>
  <si>
    <t>Lmutual for i3-L5</t>
  </si>
  <si>
    <t>Lmutual for i3-L6</t>
  </si>
  <si>
    <t>Lmutual for i3-L7</t>
  </si>
  <si>
    <t>Lmutual for i3-L8</t>
  </si>
  <si>
    <t>Lmutual for i4-L1</t>
  </si>
  <si>
    <t>Lmutual for i4-L2</t>
  </si>
  <si>
    <t>Lmutual for i4-L3</t>
  </si>
  <si>
    <t>Lmutual for i4-L4</t>
  </si>
  <si>
    <t>Lmutual for i4-L5</t>
  </si>
  <si>
    <t>Lmutual for i4-L6</t>
  </si>
  <si>
    <t>Lmutual for i4-L7</t>
  </si>
  <si>
    <t>Lmutual for i4-L8</t>
  </si>
  <si>
    <t>Lmutual for i5-L1</t>
  </si>
  <si>
    <t>Lmutual for i5-L2</t>
  </si>
  <si>
    <t>Lmutual for i5-L3</t>
  </si>
  <si>
    <t>Lmutual for i5-L4</t>
  </si>
  <si>
    <t>Lmutual for i5-L5</t>
  </si>
  <si>
    <t>Lmutual for i5-L6</t>
  </si>
  <si>
    <t>Lmutual for i5-L7</t>
  </si>
  <si>
    <t>Lmutual for i5-L8</t>
  </si>
  <si>
    <t>Lmutual for i6-L1</t>
  </si>
  <si>
    <t>Lmutual for i6-L2</t>
  </si>
  <si>
    <t>Lmutual for i6-L3</t>
  </si>
  <si>
    <t>Lmutual for i6-L4</t>
  </si>
  <si>
    <t>Lmutual for i6-L5</t>
  </si>
  <si>
    <t>Lmutual for i6-L6</t>
  </si>
  <si>
    <t>Lmutual for i6-L7</t>
  </si>
  <si>
    <t>Lmutual for i6-L8</t>
  </si>
  <si>
    <t>Lmutual for i7-L1</t>
  </si>
  <si>
    <t>Lmutual for i7-L2</t>
  </si>
  <si>
    <t>Lmutual for i7-L3</t>
  </si>
  <si>
    <t>Lmutual for i7-L4</t>
  </si>
  <si>
    <t>Lmutual for i7-L5</t>
  </si>
  <si>
    <t>Lmutual for i7-L6</t>
  </si>
  <si>
    <t>Lmutual for i7-L7</t>
  </si>
  <si>
    <t>Lmutual for i7-L8</t>
  </si>
  <si>
    <t>Lmutual for i8-L2</t>
  </si>
  <si>
    <t>Lmutual for i8-L3</t>
  </si>
  <si>
    <t>Lmutual for i8-L4</t>
  </si>
  <si>
    <t>Lmutual for i8-L5</t>
  </si>
  <si>
    <t>Lmutual for i8-L6</t>
  </si>
  <si>
    <t>Lmutual for i8-L7</t>
  </si>
  <si>
    <t>Lmutual for i8-L8</t>
  </si>
  <si>
    <t>LDC0851 Operating Voltage</t>
  </si>
  <si>
    <t>1.8V or 3.3V</t>
  </si>
  <si>
    <t>Max sensor drive current</t>
  </si>
  <si>
    <t>Min L</t>
  </si>
  <si>
    <t>Target Sensor Frequency</t>
  </si>
  <si>
    <t>Parasitic Board Caps</t>
  </si>
  <si>
    <t>Assumes 12pF on LCOM and 4pF of board parasitic</t>
  </si>
  <si>
    <t>LDC0851 Design Space</t>
  </si>
  <si>
    <t>Can LDC0851 Drive sensor?</t>
  </si>
  <si>
    <t>Total Capacitance</t>
  </si>
  <si>
    <t>Fixed Sensor Capacitance</t>
  </si>
  <si>
    <t>Standard Cap Lookup Value</t>
  </si>
  <si>
    <t>Standard Value Cap - possible low:</t>
  </si>
  <si>
    <t>Standard Value Cap - possible high:</t>
  </si>
  <si>
    <t>Closest Standard Value</t>
  </si>
  <si>
    <t>Stupid VLOOKUP</t>
  </si>
  <si>
    <t>Isensor Drive requirement</t>
  </si>
  <si>
    <t>Min Inductance (target interaction)</t>
  </si>
  <si>
    <t>Actual peak Sensor Frequency</t>
  </si>
  <si>
    <t>Min sensor frequency</t>
  </si>
  <si>
    <t>Free-Space (max) inductance</t>
  </si>
  <si>
    <t>LDC0851 Minimum Sample Rate</t>
  </si>
  <si>
    <t>Is LDC0851 fast enough for sampling?</t>
  </si>
  <si>
    <t>LDC0851 Suitable?</t>
  </si>
  <si>
    <t>Sensor Note</t>
  </si>
  <si>
    <t>Max Rcount+SettleCnt for sample rate</t>
  </si>
  <si>
    <t>Rp with max target interaction</t>
  </si>
  <si>
    <t>Rs free space</t>
  </si>
  <si>
    <t>Skin Depth at min Fsensor</t>
  </si>
  <si>
    <t>Settle Count</t>
  </si>
  <si>
    <t>LDC131x Settle Count</t>
  </si>
  <si>
    <t>LDC131x Resolution ok at sample rate?</t>
  </si>
  <si>
    <t>RCOUNT+SETTLECOUNT</t>
  </si>
  <si>
    <t>Sample Rate (2 Channels - No IO limit)</t>
  </si>
  <si>
    <t>Max Sample Rate (IO limit)</t>
  </si>
  <si>
    <t>Sample Rate (2 channels, I/O limited)</t>
  </si>
  <si>
    <t xml:space="preserve">Sample Rate (RPM with nyquist)  </t>
  </si>
  <si>
    <t>LDC131x sample rate ok?</t>
  </si>
  <si>
    <t>Is Cap value reasonable (50pF&lt;Cs&lt;5nF)?</t>
  </si>
  <si>
    <t>Max Sample Rate (80sps-15%</t>
  </si>
  <si>
    <t>Message</t>
  </si>
  <si>
    <t>LDC131x Min RCOUNT</t>
  </si>
  <si>
    <t>LDC131x Max Sensor Frequency</t>
  </si>
  <si>
    <r>
      <t>LDC131x Sensor R</t>
    </r>
    <r>
      <rPr>
        <vertAlign val="subscript"/>
        <sz val="10"/>
        <color theme="1"/>
        <rFont val="ＭＳ Ｐゴシック"/>
        <family val="2"/>
        <scheme val="minor"/>
      </rPr>
      <t>P</t>
    </r>
  </si>
  <si>
    <t>Is cap value reasonable (30pF&lt;C&lt;5nF)?</t>
  </si>
  <si>
    <t>Min Sensor Cap</t>
  </si>
  <si>
    <t>Ideal Sensor cap</t>
  </si>
  <si>
    <t>Sensor cap (min bounded)</t>
  </si>
  <si>
    <t>Is Min Sensor Frequency Ok?</t>
  </si>
  <si>
    <t>Fsensor Minimum</t>
  </si>
  <si>
    <t>Fsensor Note</t>
  </si>
  <si>
    <t>Average Diameter</t>
  </si>
  <si>
    <t>RP Message</t>
  </si>
  <si>
    <t>Sample Rate Message</t>
  </si>
  <si>
    <t>Combined Message</t>
  </si>
  <si>
    <t>Is Sensor idrive within LDC0851 range?</t>
  </si>
  <si>
    <t>Channel Gain setting</t>
  </si>
  <si>
    <t>Desired Net Shift</t>
  </si>
  <si>
    <t>Channel Gain Register Setting</t>
  </si>
  <si>
    <t>Not Set by user inputs</t>
  </si>
  <si>
    <t>Added Encoder Knob Tool</t>
  </si>
  <si>
    <t>Encoder Knob Design Tool</t>
  </si>
  <si>
    <r>
      <rPr>
        <b/>
        <sz val="11"/>
        <color theme="1"/>
        <rFont val="Calibri"/>
        <family val="2"/>
      </rPr>
      <t>←</t>
    </r>
    <r>
      <rPr>
        <b/>
        <sz val="11"/>
        <color theme="1"/>
        <rFont val="ＭＳ Ｐゴシック"/>
        <family val="2"/>
        <scheme val="minor"/>
      </rPr>
      <t>Double-Click For Instructions</t>
    </r>
  </si>
  <si>
    <t>New in Version 1.39!</t>
  </si>
  <si>
    <r>
      <t>Quadrature Angle (</t>
    </r>
    <r>
      <rPr>
        <sz val="11"/>
        <color theme="1"/>
        <rFont val="Calibri"/>
        <family val="2"/>
      </rPr>
      <t>Θ)</t>
    </r>
  </si>
  <si>
    <t>LDC131x Max Sample Rate</t>
  </si>
  <si>
    <t>Recommended minimum sensor Amp</t>
  </si>
  <si>
    <t>Sensor Current Drive</t>
  </si>
  <si>
    <t>Recommended IDRIVE</t>
  </si>
  <si>
    <t>IDRIVE (no limit check)</t>
  </si>
  <si>
    <t>By Chris Oberhauser</t>
  </si>
  <si>
    <t>LDC131x Sensor IDRIVE Setting</t>
  </si>
  <si>
    <t>LDC1314 Supports 2 Encoders?</t>
  </si>
  <si>
    <r>
      <t>LDC2114 Sensor R</t>
    </r>
    <r>
      <rPr>
        <vertAlign val="subscript"/>
        <sz val="10"/>
        <color theme="1"/>
        <rFont val="ＭＳ Ｐゴシック"/>
        <family val="2"/>
        <scheme val="minor"/>
      </rPr>
      <t>P</t>
    </r>
  </si>
  <si>
    <r>
      <t>LDC0851 V</t>
    </r>
    <r>
      <rPr>
        <vertAlign val="subscript"/>
        <sz val="10"/>
        <color theme="1"/>
        <rFont val="ＭＳ Ｐゴシック"/>
        <family val="2"/>
        <scheme val="minor"/>
      </rPr>
      <t>DD</t>
    </r>
  </si>
  <si>
    <t>Max LDC0851 Sample Rate</t>
  </si>
  <si>
    <t>LDC0851 Supply Current</t>
  </si>
  <si>
    <t>Istatic + Idyn</t>
  </si>
  <si>
    <t>Supply Current (2x LDC0851)</t>
  </si>
  <si>
    <t>Encoder Knob instructions added</t>
  </si>
  <si>
    <t>Fix to Spiral inductor calc tool: the racetrack length should use the mm (d26, not the directly entered units)</t>
  </si>
  <si>
    <r>
      <t>I</t>
    </r>
    <r>
      <rPr>
        <vertAlign val="subscript"/>
        <sz val="11"/>
        <color theme="1"/>
        <rFont val="ＭＳ Ｐゴシック"/>
        <family val="2"/>
        <scheme val="minor"/>
      </rPr>
      <t>DD-Max_Target</t>
    </r>
    <r>
      <rPr>
        <sz val="11"/>
        <color theme="1"/>
        <rFont val="ＭＳ Ｐゴシック"/>
        <family val="2"/>
        <scheme val="minor"/>
      </rPr>
      <t xml:space="preserve"> </t>
    </r>
  </si>
  <si>
    <r>
      <t>I</t>
    </r>
    <r>
      <rPr>
        <vertAlign val="subscript"/>
        <sz val="11"/>
        <color theme="1"/>
        <rFont val="ＭＳ Ｐゴシック"/>
        <family val="2"/>
        <scheme val="minor"/>
      </rPr>
      <t>DD</t>
    </r>
    <r>
      <rPr>
        <sz val="11"/>
        <color theme="1"/>
        <rFont val="ＭＳ Ｐゴシック"/>
        <family val="2"/>
        <scheme val="minor"/>
      </rPr>
      <t xml:space="preserve"> (total current) without Target</t>
    </r>
  </si>
  <si>
    <r>
      <rPr>
        <sz val="11"/>
        <color rgb="FF3F3F76"/>
        <rFont val="Calibri"/>
        <family val="2"/>
      </rPr>
      <t>µ</t>
    </r>
    <r>
      <rPr>
        <sz val="11"/>
        <color rgb="FF3F3F76"/>
        <rFont val="ＭＳ Ｐゴシック"/>
        <family val="2"/>
        <scheme val="minor"/>
      </rPr>
      <t>H</t>
    </r>
  </si>
  <si>
    <t>Min Sensor Frequency (fsensor)</t>
  </si>
  <si>
    <r>
      <rPr>
        <sz val="11"/>
        <rFont val="Calibri"/>
        <family val="2"/>
      </rPr>
      <t>µ</t>
    </r>
    <r>
      <rPr>
        <sz val="11"/>
        <rFont val="ＭＳ Ｐゴシック"/>
        <family val="2"/>
        <scheme val="minor"/>
      </rPr>
      <t>A</t>
    </r>
  </si>
  <si>
    <t>Side-by-Side Coils Proximity Estimates</t>
  </si>
  <si>
    <t>Entered Sensor Diameter</t>
  </si>
  <si>
    <t>Updates to LDC0851 Calc tool: duty cycled current, side-by-side coils, and Isensor fixes</t>
  </si>
  <si>
    <t>Fsensor (MHz)</t>
  </si>
  <si>
    <t>Assumes min EN pulse duration</t>
  </si>
  <si>
    <t>tconv (sec)</t>
  </si>
  <si>
    <t>Idyn (mA)</t>
  </si>
  <si>
    <t>Isensor (mA)</t>
  </si>
  <si>
    <t>IDD (mA)</t>
  </si>
  <si>
    <t>Iramp (mA)</t>
  </si>
  <si>
    <t>Ion (mA)</t>
  </si>
  <si>
    <t>Ioff (mA)</t>
  </si>
  <si>
    <t>Iavg (µA)</t>
  </si>
  <si>
    <t>Lifetime (years)</t>
  </si>
  <si>
    <t>Enable pulse duration</t>
  </si>
  <si>
    <t>Minimum EN Pulse Duration for Valid Data</t>
  </si>
  <si>
    <t>Average Current</t>
  </si>
  <si>
    <t>Fixed encoder calc for LDC0851 sensor current</t>
  </si>
  <si>
    <t>I+</t>
  </si>
  <si>
    <t>I-</t>
  </si>
  <si>
    <t>Q+</t>
  </si>
  <si>
    <t>Q-</t>
  </si>
  <si>
    <r>
      <t>0</t>
    </r>
    <r>
      <rPr>
        <b/>
        <sz val="11"/>
        <color theme="1"/>
        <rFont val="Calibri"/>
        <family val="2"/>
      </rPr>
      <t>° Cal</t>
    </r>
  </si>
  <si>
    <r>
      <t>90</t>
    </r>
    <r>
      <rPr>
        <b/>
        <sz val="11"/>
        <color theme="1"/>
        <rFont val="Calibri"/>
        <family val="2"/>
      </rPr>
      <t>° Cal</t>
    </r>
  </si>
  <si>
    <r>
      <t>180</t>
    </r>
    <r>
      <rPr>
        <b/>
        <sz val="11"/>
        <color theme="1"/>
        <rFont val="Calibri"/>
        <family val="2"/>
      </rPr>
      <t>° Cal</t>
    </r>
  </si>
  <si>
    <r>
      <t>360</t>
    </r>
    <r>
      <rPr>
        <b/>
        <sz val="11"/>
        <color theme="1"/>
        <rFont val="Calibri"/>
        <family val="2"/>
      </rPr>
      <t>° Cal</t>
    </r>
  </si>
  <si>
    <t>I</t>
  </si>
  <si>
    <t>Raw Data</t>
  </si>
  <si>
    <t>Magnitude</t>
  </si>
  <si>
    <t>Offset</t>
  </si>
  <si>
    <t>Right now only using magnitude, not 0 crossing for calc</t>
  </si>
  <si>
    <t>Linear Scaling</t>
  </si>
  <si>
    <t>Scaled Cal data</t>
  </si>
  <si>
    <t>Raw Cal Data</t>
  </si>
  <si>
    <t>Distortion Correction</t>
  </si>
  <si>
    <t>Differential Correction</t>
  </si>
  <si>
    <t>Distortion Value</t>
  </si>
  <si>
    <t>Calc Angle</t>
  </si>
  <si>
    <t>radians</t>
  </si>
  <si>
    <t>Distortion Value Calculation</t>
  </si>
  <si>
    <t>Angle(°)</t>
  </si>
  <si>
    <t>Angle(rad)</t>
  </si>
  <si>
    <t>Raw I+</t>
  </si>
  <si>
    <t>Raw I-</t>
  </si>
  <si>
    <t>I Scaled</t>
  </si>
  <si>
    <t>Q Scaled</t>
  </si>
  <si>
    <t>Raw Q+</t>
  </si>
  <si>
    <t>Raw Q-</t>
  </si>
  <si>
    <t>Distortion Test</t>
  </si>
  <si>
    <t>Sin</t>
  </si>
  <si>
    <t>Cos</t>
  </si>
  <si>
    <t>Ideal</t>
  </si>
  <si>
    <t>Error I</t>
  </si>
  <si>
    <t>Error Q</t>
  </si>
  <si>
    <t>(Error I)^2</t>
  </si>
  <si>
    <t>(Error Q)^2</t>
  </si>
  <si>
    <t>Correction</t>
  </si>
  <si>
    <t>System</t>
  </si>
  <si>
    <t>Solver Target</t>
  </si>
  <si>
    <t>Step 1</t>
  </si>
  <si>
    <t>Phase Angle Quadrant</t>
  </si>
  <si>
    <t>Phase Skew Correction</t>
  </si>
  <si>
    <r>
      <rPr>
        <b/>
        <sz val="11"/>
        <color theme="1"/>
        <rFont val="Calibri"/>
        <family val="2"/>
      </rPr>
      <t>β</t>
    </r>
    <r>
      <rPr>
        <b/>
        <sz val="11"/>
        <color theme="1"/>
        <rFont val="ＭＳ Ｐゴシック"/>
        <family val="2"/>
        <scheme val="minor"/>
      </rPr>
      <t>1</t>
    </r>
  </si>
  <si>
    <t>β2</t>
  </si>
  <si>
    <t>β</t>
  </si>
  <si>
    <r>
      <rPr>
        <b/>
        <sz val="11"/>
        <color theme="1"/>
        <rFont val="Calibri"/>
        <family val="2"/>
      </rPr>
      <t>α</t>
    </r>
    <r>
      <rPr>
        <b/>
        <sz val="11"/>
        <color theme="1"/>
        <rFont val="ＭＳ Ｐゴシック"/>
        <family val="2"/>
        <scheme val="minor"/>
      </rPr>
      <t>1</t>
    </r>
  </si>
  <si>
    <t>α2</t>
  </si>
  <si>
    <t>α</t>
  </si>
  <si>
    <t>TIDA-00508 Calculations Tool</t>
  </si>
  <si>
    <t>Random Angle Error</t>
  </si>
  <si>
    <t>Angle Error Mag</t>
  </si>
  <si>
    <t>EXP calculation with random error on the angle</t>
  </si>
  <si>
    <t>Graph of EXP Error</t>
  </si>
  <si>
    <t>Angle</t>
  </si>
  <si>
    <t>I EXP</t>
  </si>
  <si>
    <t>Q EXP</t>
  </si>
  <si>
    <r>
      <t>Angle Error(</t>
    </r>
    <r>
      <rPr>
        <b/>
        <sz val="11"/>
        <color theme="1"/>
        <rFont val="Calibri"/>
        <family val="2"/>
      </rPr>
      <t>°)</t>
    </r>
  </si>
  <si>
    <t>Fix to encoder calculations - the min size difference between inner and outer diameters is 1mm, not simply "1"</t>
  </si>
  <si>
    <t>inch</t>
  </si>
  <si>
    <t>Fix to encoder calculations - was using the raw inner and outer diameters for some later calcs, not the mm values</t>
  </si>
  <si>
    <t>Space for Via (including spaces)</t>
  </si>
  <si>
    <t>Max number of turns based on length</t>
  </si>
  <si>
    <t>Max number of turns based on short base</t>
  </si>
  <si>
    <t>Max Sensor Width (includes edge clearance &amp; trace width</t>
  </si>
  <si>
    <t>Short Base Sensor Width</t>
  </si>
  <si>
    <t>rad</t>
  </si>
  <si>
    <t>Leg Angle</t>
  </si>
  <si>
    <t>Short Base Trace increment</t>
  </si>
  <si>
    <t>Short Base Space increment</t>
  </si>
  <si>
    <t>Max number of turns based on long base</t>
  </si>
  <si>
    <t>Long Base Trace increment</t>
  </si>
  <si>
    <t>Long Base Space increment</t>
  </si>
  <si>
    <t>Differential Conversion</t>
  </si>
  <si>
    <t>0 degree error</t>
  </si>
  <si>
    <t>90 degree error</t>
  </si>
  <si>
    <t>180 degree error</t>
  </si>
  <si>
    <t>270 degree error</t>
  </si>
  <si>
    <r>
      <t>270</t>
    </r>
    <r>
      <rPr>
        <b/>
        <sz val="11"/>
        <color theme="1"/>
        <rFont val="Calibri"/>
        <family val="2"/>
      </rPr>
      <t>° Cal</t>
    </r>
  </si>
  <si>
    <t>Skew correction</t>
  </si>
  <si>
    <t>Measured Angle</t>
  </si>
  <si>
    <r>
      <t>Undistorted 0</t>
    </r>
    <r>
      <rPr>
        <b/>
        <sz val="11"/>
        <color theme="1"/>
        <rFont val="Calibri"/>
        <family val="2"/>
      </rPr>
      <t>° cal</t>
    </r>
  </si>
  <si>
    <r>
      <t>Undistorted 90</t>
    </r>
    <r>
      <rPr>
        <b/>
        <sz val="11"/>
        <color theme="1"/>
        <rFont val="Calibri"/>
        <family val="2"/>
      </rPr>
      <t>° cal</t>
    </r>
  </si>
  <si>
    <r>
      <t>Undistorted 180</t>
    </r>
    <r>
      <rPr>
        <b/>
        <sz val="11"/>
        <color theme="1"/>
        <rFont val="Calibri"/>
        <family val="2"/>
      </rPr>
      <t>° cal</t>
    </r>
  </si>
  <si>
    <r>
      <t>Undistorted 270</t>
    </r>
    <r>
      <rPr>
        <b/>
        <sz val="11"/>
        <color theme="1"/>
        <rFont val="Calibri"/>
        <family val="2"/>
      </rPr>
      <t>° cal</t>
    </r>
  </si>
  <si>
    <t>Spiral inductor designer calculations use image coil method instead of curvefit</t>
  </si>
  <si>
    <t>Target Distance in mm</t>
  </si>
  <si>
    <t>New Inductance with target</t>
  </si>
  <si>
    <t>Inductor inner diameter (mm)</t>
  </si>
  <si>
    <t>diameter entered units</t>
  </si>
  <si>
    <t>spacing units</t>
  </si>
  <si>
    <t>trace width in mm</t>
  </si>
  <si>
    <t>spacing in mm</t>
  </si>
  <si>
    <t>trace width units</t>
  </si>
  <si>
    <t>copper thickness in mm</t>
  </si>
  <si>
    <t>copper thickness units</t>
  </si>
  <si>
    <t>Inductor innder diameter desired units</t>
  </si>
  <si>
    <t>Cleaned up the spiral inductor designer so that it is 1 column</t>
  </si>
  <si>
    <t>spiral inductor design target interaction frequency calc now includes the parasitic capacitance</t>
  </si>
  <si>
    <t>Sensor Shape</t>
  </si>
  <si>
    <t>ratio of long side to short side</t>
  </si>
  <si>
    <t>Maximum Watchdog</t>
  </si>
  <si>
    <t>RCOUNT</t>
  </si>
  <si>
    <t>If RCOUNT is entered, use entered value</t>
  </si>
  <si>
    <t>Cleanup</t>
  </si>
  <si>
    <t>Added setting to fix RCOUNT in the LDC131x0LDC161x Config tool</t>
  </si>
  <si>
    <t>Distortion Value Calculation (EXP calculation)</t>
  </si>
  <si>
    <t>Step 3</t>
  </si>
  <si>
    <t>Step 4</t>
  </si>
  <si>
    <t>Step 5</t>
  </si>
  <si>
    <t>Click on Solve button, then on the next window, make sure that "Keep Solver Solution" is selected, select OK button</t>
  </si>
  <si>
    <t>Refer to EXP Calculation Section</t>
  </si>
  <si>
    <t>EXP Calculation</t>
  </si>
  <si>
    <t>This section is used to find the optimum EXP correction value for a system</t>
  </si>
  <si>
    <t xml:space="preserve">Capture the raw output codes at several angles, 30 degree steps or finer is recommended. Averaging multiple results is acceptable. </t>
  </si>
  <si>
    <t>Enter the raw output codes for the angles, including angle data into Raw I+/I-/Q+/Q- columns of the table below</t>
  </si>
  <si>
    <r>
      <t>Run the SOLVER (on Data Tab) to minimize</t>
    </r>
    <r>
      <rPr>
        <sz val="11"/>
        <color rgb="FFFF0000"/>
        <rFont val="ＭＳ Ｐゴシック"/>
        <family val="2"/>
        <scheme val="minor"/>
      </rPr>
      <t xml:space="preserve"> </t>
    </r>
    <r>
      <rPr>
        <sz val="11"/>
        <color rgb="FFFF0000"/>
        <rFont val="Calibri"/>
        <family val="2"/>
      </rPr>
      <t>∑</t>
    </r>
    <r>
      <rPr>
        <sz val="11"/>
        <color rgb="FFFF0000"/>
        <rFont val="ＭＳ Ｐゴシック"/>
        <family val="2"/>
        <scheme val="minor"/>
      </rPr>
      <t>Error</t>
    </r>
    <r>
      <rPr>
        <sz val="11"/>
        <color rgb="FF00B050"/>
        <rFont val="ＭＳ Ｐゴシック"/>
        <family val="2"/>
        <scheme val="minor"/>
      </rPr>
      <t xml:space="preserve"> </t>
    </r>
    <r>
      <rPr>
        <sz val="11"/>
        <rFont val="ＭＳ Ｐゴシック"/>
        <family val="2"/>
        <scheme val="minor"/>
      </rPr>
      <t>Cell</t>
    </r>
    <r>
      <rPr>
        <sz val="11"/>
        <color rgb="FF00B050"/>
        <rFont val="ＭＳ Ｐゴシック"/>
        <family val="2"/>
        <scheme val="minor"/>
      </rPr>
      <t xml:space="preserve"> </t>
    </r>
    <r>
      <rPr>
        <sz val="11"/>
        <color theme="1"/>
        <rFont val="ＭＳ Ｐゴシック"/>
        <family val="2"/>
        <scheme val="minor"/>
      </rPr>
      <t xml:space="preserve">by changing </t>
    </r>
    <r>
      <rPr>
        <sz val="11"/>
        <color theme="4" tint="-0.249977111117893"/>
        <rFont val="ＭＳ Ｐゴシック"/>
        <family val="2"/>
        <scheme val="minor"/>
      </rPr>
      <t>Solver Target Cell</t>
    </r>
  </si>
  <si>
    <r>
      <t>EXP value is reported in</t>
    </r>
    <r>
      <rPr>
        <sz val="11"/>
        <color rgb="FFFF0000"/>
        <rFont val="ＭＳ Ｐゴシック"/>
        <family val="2"/>
        <scheme val="minor"/>
      </rPr>
      <t xml:space="preserve"> </t>
    </r>
    <r>
      <rPr>
        <b/>
        <sz val="11"/>
        <color theme="9" tint="-0.249977111117893"/>
        <rFont val="ＭＳ Ｐゴシック"/>
        <family val="2"/>
        <scheme val="minor"/>
      </rPr>
      <t>EXP Value</t>
    </r>
    <r>
      <rPr>
        <sz val="11"/>
        <color theme="9" tint="-0.249977111117893"/>
        <rFont val="ＭＳ Ｐゴシック"/>
        <family val="2"/>
        <scheme val="minor"/>
      </rPr>
      <t xml:space="preserve"> cell</t>
    </r>
  </si>
  <si>
    <t>EXP gen</t>
  </si>
  <si>
    <t>I Mag Test</t>
  </si>
  <si>
    <t>I Offset Test</t>
  </si>
  <si>
    <t>Q Mag Test</t>
  </si>
  <si>
    <t>Q Offset Test</t>
  </si>
  <si>
    <r>
      <rPr>
        <b/>
        <sz val="11"/>
        <color theme="1"/>
        <rFont val="Calibri"/>
        <family val="2"/>
      </rPr>
      <t>∑</t>
    </r>
    <r>
      <rPr>
        <b/>
        <sz val="11"/>
        <color theme="1"/>
        <rFont val="ＭＳ Ｐゴシック"/>
        <family val="2"/>
        <scheme val="minor"/>
      </rPr>
      <t>Error</t>
    </r>
  </si>
  <si>
    <t>EXP Value</t>
  </si>
  <si>
    <t>∑Error</t>
  </si>
  <si>
    <t>Updates to Dial Calculator Tool, including some instructions</t>
  </si>
  <si>
    <t>NET code shift</t>
  </si>
  <si>
    <t>CNTSC calculated</t>
  </si>
  <si>
    <t>Low Power Base Increment</t>
  </si>
  <si>
    <t>Normal Power Base Increment</t>
  </si>
  <si>
    <t>INTB pin polarity</t>
  </si>
  <si>
    <t>Active Low</t>
  </si>
  <si>
    <t>Gain Scale</t>
  </si>
  <si>
    <t>Gain Bit Value</t>
  </si>
  <si>
    <t>Gain Scaling Factor</t>
  </si>
  <si>
    <t>Graph Calculations</t>
  </si>
  <si>
    <t>Gain Lookup Table</t>
  </si>
  <si>
    <t>Expanded LDC2114/2 config tool</t>
  </si>
  <si>
    <t>LDC1612</t>
  </si>
  <si>
    <t>Ccom Min</t>
  </si>
  <si>
    <t>Ccom Max</t>
  </si>
  <si>
    <t>Turns (per layer)</t>
  </si>
  <si>
    <t>Clarified Turns on Spiral designer is turns per layer.</t>
  </si>
  <si>
    <t>Updated in Version 1.48</t>
  </si>
  <si>
    <r>
      <t xml:space="preserve">LP Baseline Inc </t>
    </r>
    <r>
      <rPr>
        <b/>
        <sz val="10"/>
        <color theme="1"/>
        <rFont val="ＭＳ Ｐゴシック"/>
        <family val="2"/>
        <scheme val="minor"/>
      </rPr>
      <t>(</t>
    </r>
    <r>
      <rPr>
        <b/>
        <sz val="10"/>
        <color theme="1"/>
        <rFont val="Calibri"/>
        <family val="2"/>
      </rPr>
      <t>Δ</t>
    </r>
    <r>
      <rPr>
        <b/>
        <sz val="10"/>
        <color theme="1"/>
        <rFont val="ＭＳ Ｐゴシック"/>
        <family val="2"/>
        <scheme val="minor"/>
      </rPr>
      <t>code/sample)</t>
    </r>
  </si>
  <si>
    <r>
      <t xml:space="preserve">NP Baseline Inc </t>
    </r>
    <r>
      <rPr>
        <b/>
        <sz val="10"/>
        <color theme="1"/>
        <rFont val="ＭＳ Ｐゴシック"/>
        <family val="2"/>
        <scheme val="minor"/>
      </rPr>
      <t>(</t>
    </r>
    <r>
      <rPr>
        <b/>
        <sz val="10"/>
        <color theme="1"/>
        <rFont val="Calibri"/>
        <family val="2"/>
      </rPr>
      <t>Δ</t>
    </r>
    <r>
      <rPr>
        <b/>
        <sz val="10"/>
        <color theme="1"/>
        <rFont val="ＭＳ Ｐゴシック"/>
        <family val="2"/>
        <scheme val="minor"/>
      </rPr>
      <t>code/sample)</t>
    </r>
  </si>
  <si>
    <t>Gain Setting Register Value</t>
  </si>
  <si>
    <t>0x22</t>
  </si>
  <si>
    <t>0x24</t>
  </si>
  <si>
    <t>0x26</t>
  </si>
  <si>
    <t xml:space="preserve">EN </t>
  </si>
  <si>
    <t>NPSCAN_RATE</t>
  </si>
  <si>
    <t>GAIN0</t>
  </si>
  <si>
    <t>LP_SCAN_RATE</t>
  </si>
  <si>
    <t>GAIN1</t>
  </si>
  <si>
    <t>INTPOL</t>
  </si>
  <si>
    <t>GAIN2</t>
  </si>
  <si>
    <t>LP_BASE_INC</t>
  </si>
  <si>
    <t>GAIN3</t>
  </si>
  <si>
    <t>NP_BASE_INC</t>
  </si>
  <si>
    <t>LC_DIVIDER</t>
  </si>
  <si>
    <t>SENSOR0_CONFIG</t>
  </si>
  <si>
    <t>SENSOR1_CONFIG</t>
  </si>
  <si>
    <t>SENSOR2_CONFIG</t>
  </si>
  <si>
    <t>SENSOR3_CONFIG</t>
  </si>
  <si>
    <r>
      <t xml:space="preserve">Sensor Frequency Shift </t>
    </r>
    <r>
      <rPr>
        <b/>
        <sz val="10"/>
        <color theme="1"/>
        <rFont val="ＭＳ Ｐゴシック"/>
        <family val="2"/>
        <scheme val="minor"/>
      </rPr>
      <t>(ppm)</t>
    </r>
  </si>
  <si>
    <t>Name</t>
  </si>
  <si>
    <t xml:space="preserve">Address </t>
  </si>
  <si>
    <t>LDC2112/4 Configuration Tool</t>
  </si>
  <si>
    <t>Fixed Spiral Inductor problem with Mils for sensor size</t>
  </si>
  <si>
    <t>Long side of inductor in mm</t>
  </si>
  <si>
    <t>Fixed incorrect conditional formatting on LDC2114 tools when channel 2 was not enabled</t>
  </si>
  <si>
    <t>Updated the LDC2114 baseline tracking increment/sample</t>
  </si>
  <si>
    <t>48c</t>
  </si>
  <si>
    <t>Set default values and added instructions</t>
  </si>
  <si>
    <t>Generated RC48</t>
  </si>
  <si>
    <t>Dial Calc tool was completely locked and did not support entries; fixed</t>
  </si>
  <si>
    <t>Fixed LDC2114 Calc - cell C24 was referencing E15 instead of C15; caused the sample interval to be wrong</t>
  </si>
  <si>
    <t xml:space="preserve">PCB thickness L1-2 </t>
  </si>
  <si>
    <t xml:space="preserve">PCB thickness L2-3 </t>
  </si>
  <si>
    <t>PCB thickness L3-4</t>
  </si>
  <si>
    <t>PCB thickness L4-5</t>
  </si>
  <si>
    <t>PCB thickness L5-6</t>
  </si>
  <si>
    <t>PCB thickness L6-7</t>
  </si>
  <si>
    <t>PCB thickness L7-8</t>
  </si>
  <si>
    <t>Released ext48</t>
  </si>
  <si>
    <t>Spiral inductor design was not properly using PCB thicknesses!</t>
  </si>
  <si>
    <t>Fixed conditional formatting on LDC2114 tool to be more informative</t>
  </si>
  <si>
    <r>
      <t>Sensor R</t>
    </r>
    <r>
      <rPr>
        <b/>
        <vertAlign val="subscript"/>
        <sz val="10"/>
        <color theme="1"/>
        <rFont val="ＭＳ Ｐゴシック"/>
        <family val="2"/>
        <scheme val="minor"/>
      </rPr>
      <t>P</t>
    </r>
    <r>
      <rPr>
        <b/>
        <sz val="11"/>
        <color theme="1"/>
        <rFont val="ＭＳ Ｐゴシック"/>
        <family val="2"/>
        <scheme val="minor"/>
      </rPr>
      <t xml:space="preserve"> Range</t>
    </r>
  </si>
  <si>
    <r>
      <t>Sensor R</t>
    </r>
    <r>
      <rPr>
        <b/>
        <vertAlign val="subscript"/>
        <sz val="11"/>
        <color theme="1"/>
        <rFont val="ＭＳ Ｐゴシック"/>
        <family val="2"/>
        <scheme val="minor"/>
      </rPr>
      <t>P</t>
    </r>
  </si>
  <si>
    <t>Hysteresis</t>
  </si>
  <si>
    <t>High Detect Threshold</t>
  </si>
  <si>
    <t>Low Detect Threshold</t>
  </si>
  <si>
    <t>HYST</t>
  </si>
  <si>
    <t>0x18</t>
  </si>
  <si>
    <t>Added HYST calculations and settings for device</t>
  </si>
  <si>
    <t>rev1.49</t>
  </si>
  <si>
    <t>HYST setting (Default = 8)</t>
  </si>
  <si>
    <t>LDC1101 Tool incorrectly labeled SLEEP mode only current consumption Shutdown Only; fixed</t>
  </si>
  <si>
    <t>Sleep Mode Only Current</t>
  </si>
  <si>
    <t>Added small fix to spiral inductor designer conditional formating when there is only 1 layer</t>
  </si>
  <si>
    <t>Updated in Version 1.49</t>
  </si>
  <si>
    <t>0.2&gt; din/dout &gt;0.8 is recommended for highest Q</t>
  </si>
  <si>
    <t>SRF should be &gt;1.25*Fsensor</t>
  </si>
  <si>
    <t>Button Shape</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</si>
</sst>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76" formatCode="0.0"/>
    <numFmt numFmtId="177" formatCode="0.000"/>
    <numFmt numFmtId="178" formatCode="0.0000"/>
    <numFmt numFmtId="179" formatCode="0.000E+00"/>
    <numFmt numFmtId="180" formatCode="##0.00E+0"/>
    <numFmt numFmtId="181" formatCode="0.0%"/>
    <numFmt numFmtId="182" formatCode="0.00000"/>
    <numFmt numFmtId="183" formatCode="0.0000000"/>
    <numFmt numFmtId="184" formatCode="0.000000"/>
  </numFmts>
  <fonts count="122" x14ac:knownFonts="1">
    <font>
      <sz val="11"/>
      <color theme="1"/>
      <name val="ＭＳ Ｐゴシック"/>
      <family val="2"/>
      <scheme val="minor"/>
    </font>
    <font>
      <b/>
      <sz val="11"/>
      <color theme="1"/>
      <name val="ＭＳ Ｐゴシック"/>
      <family val="2"/>
      <scheme val="minor"/>
    </font>
    <font>
      <sz val="11"/>
      <color rgb="FF1F497D"/>
      <name val="ＭＳ Ｐゴシック"/>
      <family val="2"/>
      <scheme val="minor"/>
    </font>
    <font>
      <sz val="8"/>
      <color theme="0" tint="-0.34998626667073579"/>
      <name val="ＭＳ Ｐゴシック"/>
      <family val="2"/>
      <scheme val="minor"/>
    </font>
    <font>
      <b/>
      <sz val="14"/>
      <color theme="1"/>
      <name val="ＭＳ Ｐゴシック"/>
      <family val="2"/>
      <scheme val="minor"/>
    </font>
    <font>
      <b/>
      <sz val="12"/>
      <color theme="1"/>
      <name val="ＭＳ Ｐゴシック"/>
      <family val="2"/>
      <scheme val="minor"/>
    </font>
    <font>
      <i/>
      <sz val="11"/>
      <color theme="1"/>
      <name val="ＭＳ Ｐゴシック"/>
      <family val="2"/>
      <scheme val="minor"/>
    </font>
    <font>
      <sz val="11"/>
      <name val="ＭＳ Ｐゴシック"/>
      <family val="2"/>
      <scheme val="minor"/>
    </font>
    <font>
      <i/>
      <sz val="11"/>
      <name val="ＭＳ Ｐゴシック"/>
      <family val="2"/>
      <scheme val="minor"/>
    </font>
    <font>
      <sz val="8"/>
      <color theme="0" tint="-0.249977111117893"/>
      <name val="ＭＳ Ｐゴシック"/>
      <family val="2"/>
      <scheme val="minor"/>
    </font>
    <font>
      <b/>
      <sz val="11"/>
      <name val="ＭＳ Ｐゴシック"/>
      <family val="2"/>
      <scheme val="minor"/>
    </font>
    <font>
      <b/>
      <sz val="12"/>
      <name val="ＭＳ Ｐゴシック"/>
      <family val="2"/>
      <scheme val="minor"/>
    </font>
    <font>
      <sz val="11"/>
      <color theme="1"/>
      <name val="Calibri"/>
      <family val="2"/>
    </font>
    <font>
      <sz val="9"/>
      <color indexed="81"/>
      <name val="Tahoma"/>
      <family val="2"/>
    </font>
    <font>
      <sz val="11"/>
      <color theme="1"/>
      <name val="ＭＳ Ｐゴシック"/>
      <family val="2"/>
      <scheme val="minor"/>
    </font>
    <font>
      <sz val="11"/>
      <color rgb="FF3F3F76"/>
      <name val="ＭＳ Ｐゴシック"/>
      <family val="2"/>
      <scheme val="minor"/>
    </font>
    <font>
      <b/>
      <sz val="11"/>
      <color theme="0" tint="-0.14999847407452621"/>
      <name val="ＭＳ Ｐゴシック"/>
      <family val="2"/>
      <scheme val="minor"/>
    </font>
    <font>
      <sz val="11"/>
      <color theme="0" tint="-0.14999847407452621"/>
      <name val="ＭＳ Ｐゴシック"/>
      <family val="2"/>
      <scheme val="minor"/>
    </font>
    <font>
      <sz val="12"/>
      <color theme="1"/>
      <name val="ＭＳ Ｐゴシック"/>
      <family val="2"/>
      <scheme val="minor"/>
    </font>
    <font>
      <sz val="10"/>
      <color theme="1"/>
      <name val="ＭＳ Ｐゴシック"/>
      <family val="2"/>
      <scheme val="minor"/>
    </font>
    <font>
      <sz val="9"/>
      <color theme="1"/>
      <name val="ＭＳ Ｐゴシック"/>
      <family val="2"/>
      <scheme val="minor"/>
    </font>
    <font>
      <sz val="10"/>
      <color theme="1"/>
      <name val="Calibri"/>
      <family val="2"/>
    </font>
    <font>
      <b/>
      <sz val="12"/>
      <color rgb="FFFF0000"/>
      <name val="ＭＳ Ｐゴシック"/>
      <family val="2"/>
      <scheme val="minor"/>
    </font>
    <font>
      <sz val="10"/>
      <color rgb="FF005426"/>
      <name val="ＭＳ Ｐゴシック"/>
      <family val="2"/>
      <scheme val="minor"/>
    </font>
    <font>
      <sz val="9"/>
      <color theme="1"/>
      <name val="Calibri"/>
      <family val="2"/>
    </font>
    <font>
      <b/>
      <sz val="10"/>
      <color theme="1"/>
      <name val="ＭＳ Ｐゴシック"/>
      <family val="2"/>
      <scheme val="minor"/>
    </font>
    <font>
      <b/>
      <sz val="11"/>
      <color rgb="FFFF0000"/>
      <name val="ＭＳ Ｐゴシック"/>
      <family val="2"/>
      <scheme val="minor"/>
    </font>
    <font>
      <sz val="11"/>
      <color theme="0" tint="-0.34998626667073579"/>
      <name val="ＭＳ Ｐゴシック"/>
      <family val="2"/>
      <scheme val="minor"/>
    </font>
    <font>
      <sz val="11"/>
      <color rgb="FFFF0000"/>
      <name val="ＭＳ Ｐゴシック"/>
      <family val="2"/>
      <scheme val="minor"/>
    </font>
    <font>
      <sz val="11"/>
      <color theme="0" tint="-0.249977111117893"/>
      <name val="ＭＳ Ｐゴシック"/>
      <family val="2"/>
      <scheme val="minor"/>
    </font>
    <font>
      <u/>
      <sz val="11"/>
      <color theme="10"/>
      <name val="ＭＳ Ｐゴシック"/>
      <family val="2"/>
      <scheme val="minor"/>
    </font>
    <font>
      <sz val="9"/>
      <color theme="0" tint="-0.249977111117893"/>
      <name val="ＭＳ Ｐゴシック"/>
      <family val="2"/>
      <scheme val="minor"/>
    </font>
    <font>
      <i/>
      <sz val="12"/>
      <color theme="5" tint="-0.249977111117893"/>
      <name val="ＭＳ Ｐゴシック"/>
      <family val="2"/>
      <scheme val="minor"/>
    </font>
    <font>
      <i/>
      <sz val="11"/>
      <color theme="0" tint="-0.249977111117893"/>
      <name val="ＭＳ Ｐゴシック"/>
      <family val="2"/>
      <scheme val="minor"/>
    </font>
    <font>
      <b/>
      <sz val="9"/>
      <color indexed="81"/>
      <name val="Tahoma"/>
      <family val="2"/>
    </font>
    <font>
      <sz val="6"/>
      <color theme="0" tint="-4.9989318521683403E-2"/>
      <name val="ＭＳ Ｐゴシック"/>
      <family val="2"/>
      <scheme val="minor"/>
    </font>
    <font>
      <sz val="11"/>
      <color theme="0" tint="-4.9989318521683403E-2"/>
      <name val="ＭＳ Ｐゴシック"/>
      <family val="2"/>
      <scheme val="minor"/>
    </font>
    <font>
      <sz val="12"/>
      <name val="ＭＳ Ｐゴシック"/>
      <family val="2"/>
      <scheme val="minor"/>
    </font>
    <font>
      <sz val="9"/>
      <name val="ＭＳ Ｐゴシック"/>
      <family val="2"/>
      <scheme val="minor"/>
    </font>
    <font>
      <b/>
      <sz val="11"/>
      <color theme="1"/>
      <name val="Calibri"/>
      <family val="2"/>
    </font>
    <font>
      <sz val="9"/>
      <color theme="1" tint="0.34998626667073579"/>
      <name val="ＭＳ Ｐゴシック"/>
      <family val="2"/>
      <scheme val="minor"/>
    </font>
    <font>
      <sz val="11"/>
      <color theme="1" tint="0.34998626667073579"/>
      <name val="ＭＳ Ｐゴシック"/>
      <family val="2"/>
      <scheme val="minor"/>
    </font>
    <font>
      <sz val="10"/>
      <color theme="1" tint="0.34998626667073579"/>
      <name val="Calibri"/>
      <family val="2"/>
    </font>
    <font>
      <sz val="10"/>
      <color theme="1" tint="0.34998626667073579"/>
      <name val="ＭＳ Ｐゴシック"/>
      <family val="2"/>
      <scheme val="minor"/>
    </font>
    <font>
      <sz val="12"/>
      <color rgb="FFFF0000"/>
      <name val="ＭＳ Ｐゴシック"/>
      <family val="2"/>
      <scheme val="minor"/>
    </font>
    <font>
      <b/>
      <sz val="9"/>
      <color theme="1"/>
      <name val="ＭＳ Ｐゴシック"/>
      <family val="2"/>
      <scheme val="minor"/>
    </font>
    <font>
      <b/>
      <i/>
      <sz val="11"/>
      <color theme="1"/>
      <name val="ＭＳ Ｐゴシック"/>
      <family val="2"/>
      <scheme val="minor"/>
    </font>
    <font>
      <sz val="6"/>
      <name val="ＭＳ Ｐゴシック"/>
      <family val="2"/>
      <scheme val="minor"/>
    </font>
    <font>
      <b/>
      <sz val="14"/>
      <name val="ＭＳ Ｐゴシック"/>
      <family val="2"/>
      <scheme val="minor"/>
    </font>
    <font>
      <sz val="7"/>
      <color theme="1"/>
      <name val="ＭＳ Ｐゴシック"/>
      <family val="2"/>
      <scheme val="minor"/>
    </font>
    <font>
      <b/>
      <i/>
      <sz val="11"/>
      <color theme="1"/>
      <name val="Calibri"/>
      <family val="2"/>
    </font>
    <font>
      <sz val="8"/>
      <name val="ＭＳ Ｐゴシック"/>
      <family val="2"/>
      <scheme val="minor"/>
    </font>
    <font>
      <sz val="10"/>
      <name val="ＭＳ Ｐゴシック"/>
      <family val="2"/>
      <scheme val="minor"/>
    </font>
    <font>
      <sz val="10"/>
      <name val="Calibri"/>
      <family val="2"/>
    </font>
    <font>
      <sz val="11"/>
      <color rgb="FFFF00FF"/>
      <name val="ＭＳ Ｐゴシック"/>
      <family val="2"/>
      <scheme val="minor"/>
    </font>
    <font>
      <sz val="9"/>
      <name val="Calibri"/>
      <family val="2"/>
    </font>
    <font>
      <b/>
      <sz val="11"/>
      <color rgb="FFC00000"/>
      <name val="ＭＳ Ｐゴシック"/>
      <family val="2"/>
      <scheme val="minor"/>
    </font>
    <font>
      <b/>
      <sz val="9"/>
      <color indexed="81"/>
      <name val="Calibri"/>
      <family val="2"/>
    </font>
    <font>
      <b/>
      <sz val="9"/>
      <color indexed="81"/>
      <name val="Symbol"/>
      <family val="1"/>
      <charset val="2"/>
    </font>
    <font>
      <b/>
      <sz val="12"/>
      <color indexed="81"/>
      <name val="Symbol"/>
      <family val="1"/>
      <charset val="2"/>
    </font>
    <font>
      <sz val="10"/>
      <color theme="1"/>
      <name val="Symbol"/>
      <family val="1"/>
      <charset val="2"/>
    </font>
    <font>
      <b/>
      <sz val="14"/>
      <color rgb="FFFF00FF"/>
      <name val="ＭＳ Ｐゴシック"/>
      <family val="2"/>
      <scheme val="minor"/>
    </font>
    <font>
      <sz val="8"/>
      <color rgb="FFFF00FF"/>
      <name val="ＭＳ Ｐゴシック"/>
      <family val="2"/>
      <scheme val="minor"/>
    </font>
    <font>
      <b/>
      <sz val="10"/>
      <name val="Calibri"/>
      <family val="2"/>
    </font>
    <font>
      <sz val="16"/>
      <color rgb="FFFF0000"/>
      <name val="ＭＳ Ｐゴシック"/>
      <family val="2"/>
      <scheme val="minor"/>
    </font>
    <font>
      <b/>
      <vertAlign val="subscript"/>
      <sz val="11"/>
      <color theme="1"/>
      <name val="ＭＳ Ｐゴシック"/>
      <family val="2"/>
      <scheme val="minor"/>
    </font>
    <font>
      <b/>
      <i/>
      <sz val="11"/>
      <name val="ＭＳ Ｐゴシック"/>
      <family val="2"/>
      <scheme val="minor"/>
    </font>
    <font>
      <b/>
      <i/>
      <vertAlign val="subscript"/>
      <sz val="11"/>
      <name val="ＭＳ Ｐゴシック"/>
      <family val="2"/>
      <scheme val="minor"/>
    </font>
    <font>
      <vertAlign val="subscript"/>
      <sz val="11"/>
      <color theme="1"/>
      <name val="ＭＳ Ｐゴシック"/>
      <family val="2"/>
      <scheme val="minor"/>
    </font>
    <font>
      <b/>
      <i/>
      <vertAlign val="subscript"/>
      <sz val="11"/>
      <color theme="1"/>
      <name val="ＭＳ Ｐゴシック"/>
      <family val="2"/>
      <scheme val="minor"/>
    </font>
    <font>
      <b/>
      <sz val="14"/>
      <name val="Calibri"/>
      <family val="2"/>
    </font>
    <font>
      <b/>
      <sz val="11"/>
      <color rgb="FF3F3F3F"/>
      <name val="ＭＳ Ｐゴシック"/>
      <family val="2"/>
      <scheme val="minor"/>
    </font>
    <font>
      <sz val="11"/>
      <name val="Calibri"/>
      <family val="2"/>
    </font>
    <font>
      <u/>
      <sz val="11"/>
      <color theme="10"/>
      <name val="Calibri"/>
      <family val="2"/>
    </font>
    <font>
      <sz val="11"/>
      <color theme="0"/>
      <name val="ＭＳ Ｐゴシック"/>
      <family val="2"/>
      <scheme val="minor"/>
    </font>
    <font>
      <sz val="11"/>
      <color theme="1" tint="0.14999847407452621"/>
      <name val="ＭＳ Ｐゴシック"/>
      <family val="2"/>
      <scheme val="minor"/>
    </font>
    <font>
      <vertAlign val="subscript"/>
      <sz val="11"/>
      <name val="ＭＳ Ｐゴシック"/>
      <family val="2"/>
      <scheme val="minor"/>
    </font>
    <font>
      <sz val="12"/>
      <color indexed="8"/>
      <name val="Calibri"/>
      <family val="2"/>
    </font>
    <font>
      <vertAlign val="subscript"/>
      <sz val="11"/>
      <color indexed="8"/>
      <name val="Calibri"/>
      <family val="2"/>
    </font>
    <font>
      <sz val="10"/>
      <color indexed="8"/>
      <name val="Calibri"/>
      <family val="2"/>
    </font>
    <font>
      <sz val="9"/>
      <color indexed="8"/>
      <name val="Calibri"/>
      <family val="2"/>
    </font>
    <font>
      <b/>
      <sz val="10"/>
      <color indexed="8"/>
      <name val="Calibri"/>
      <family val="2"/>
    </font>
    <font>
      <sz val="14"/>
      <color rgb="FFFF0000"/>
      <name val="ＭＳ Ｐゴシック"/>
      <family val="2"/>
      <scheme val="minor"/>
    </font>
    <font>
      <i/>
      <sz val="10"/>
      <color theme="1"/>
      <name val="ＭＳ Ｐゴシック"/>
      <family val="2"/>
      <scheme val="minor"/>
    </font>
    <font>
      <vertAlign val="subscript"/>
      <sz val="12"/>
      <name val="ＭＳ Ｐゴシック"/>
      <family val="2"/>
      <scheme val="minor"/>
    </font>
    <font>
      <vertAlign val="subscript"/>
      <sz val="9"/>
      <color indexed="8"/>
      <name val="Calibri"/>
      <family val="2"/>
    </font>
    <font>
      <b/>
      <i/>
      <sz val="12"/>
      <color rgb="FFFF00FF"/>
      <name val="ＭＳ Ｐゴシック"/>
      <family val="2"/>
      <scheme val="minor"/>
    </font>
    <font>
      <sz val="9.35"/>
      <color theme="1"/>
      <name val="Calibri"/>
      <family val="2"/>
    </font>
    <font>
      <i/>
      <sz val="9"/>
      <color theme="1"/>
      <name val="ＭＳ Ｐゴシック"/>
      <family val="2"/>
      <scheme val="minor"/>
    </font>
    <font>
      <sz val="11"/>
      <color rgb="FF00B050"/>
      <name val="ＭＳ Ｐゴシック"/>
      <family val="2"/>
      <scheme val="minor"/>
    </font>
    <font>
      <b/>
      <vertAlign val="subscript"/>
      <sz val="11"/>
      <color theme="1"/>
      <name val="Calibri"/>
      <family val="2"/>
    </font>
    <font>
      <b/>
      <sz val="11"/>
      <color rgb="FF00B050"/>
      <name val="ＭＳ Ｐゴシック"/>
      <family val="2"/>
      <scheme val="minor"/>
    </font>
    <font>
      <sz val="8"/>
      <color rgb="FF000000"/>
      <name val="Segoe UI"/>
      <family val="2"/>
    </font>
    <font>
      <b/>
      <sz val="10"/>
      <color rgb="FFFF0000"/>
      <name val="ＭＳ Ｐゴシック"/>
      <family val="2"/>
      <scheme val="minor"/>
    </font>
    <font>
      <vertAlign val="subscript"/>
      <sz val="10"/>
      <color theme="1"/>
      <name val="ＭＳ Ｐゴシック"/>
      <family val="2"/>
      <scheme val="minor"/>
    </font>
    <font>
      <sz val="10"/>
      <color rgb="FFFF0000"/>
      <name val="ＭＳ Ｐゴシック"/>
      <family val="2"/>
      <scheme val="minor"/>
    </font>
    <font>
      <b/>
      <vertAlign val="subscript"/>
      <sz val="12"/>
      <color theme="1"/>
      <name val="ＭＳ Ｐゴシック"/>
      <family val="2"/>
      <scheme val="minor"/>
    </font>
    <font>
      <b/>
      <i/>
      <sz val="12"/>
      <color theme="1"/>
      <name val="ＭＳ Ｐゴシック"/>
      <family val="2"/>
      <scheme val="minor"/>
    </font>
    <font>
      <b/>
      <vertAlign val="subscript"/>
      <sz val="12"/>
      <name val="ＭＳ Ｐゴシック"/>
      <family val="2"/>
      <scheme val="minor"/>
    </font>
    <font>
      <i/>
      <sz val="9"/>
      <name val="ＭＳ Ｐゴシック"/>
      <family val="2"/>
      <scheme val="minor"/>
    </font>
    <font>
      <vertAlign val="subscript"/>
      <sz val="9"/>
      <name val="ＭＳ Ｐゴシック"/>
      <family val="2"/>
      <scheme val="minor"/>
    </font>
    <font>
      <b/>
      <sz val="9"/>
      <name val="ＭＳ Ｐゴシック"/>
      <family val="2"/>
      <scheme val="minor"/>
    </font>
    <font>
      <b/>
      <i/>
      <sz val="10"/>
      <name val="ＭＳ Ｐゴシック"/>
      <family val="2"/>
      <scheme val="minor"/>
    </font>
    <font>
      <b/>
      <i/>
      <sz val="10"/>
      <color theme="1"/>
      <name val="ＭＳ Ｐゴシック"/>
      <family val="2"/>
      <scheme val="minor"/>
    </font>
    <font>
      <b/>
      <sz val="10"/>
      <name val="ＭＳ Ｐゴシック"/>
      <family val="2"/>
      <scheme val="minor"/>
    </font>
    <font>
      <i/>
      <sz val="10"/>
      <name val="ＭＳ Ｐゴシック"/>
      <family val="2"/>
      <scheme val="minor"/>
    </font>
    <font>
      <vertAlign val="subscript"/>
      <sz val="11"/>
      <color theme="1"/>
      <name val="Calibri"/>
      <family val="2"/>
    </font>
    <font>
      <b/>
      <sz val="10"/>
      <color theme="1"/>
      <name val="Calibri"/>
      <family val="2"/>
    </font>
    <font>
      <sz val="10"/>
      <color rgb="FFFFFF00"/>
      <name val="ＭＳ Ｐゴシック"/>
      <family val="2"/>
      <scheme val="minor"/>
    </font>
    <font>
      <b/>
      <sz val="11"/>
      <color rgb="FFFF00FF"/>
      <name val="ＭＳ Ｐゴシック"/>
      <family val="2"/>
      <scheme val="minor"/>
    </font>
    <font>
      <sz val="11"/>
      <color rgb="FF3F3F76"/>
      <name val="Calibri"/>
      <family val="2"/>
    </font>
    <font>
      <b/>
      <sz val="12"/>
      <color theme="1"/>
      <name val="Calibri"/>
      <family val="2"/>
    </font>
    <font>
      <sz val="12"/>
      <color theme="1"/>
      <name val="Calibri"/>
      <family val="2"/>
    </font>
    <font>
      <b/>
      <sz val="13"/>
      <color theme="1"/>
      <name val="ＭＳ Ｐゴシック"/>
      <family val="2"/>
      <scheme val="minor"/>
    </font>
    <font>
      <sz val="13"/>
      <color theme="1"/>
      <name val="ＭＳ Ｐゴシック"/>
      <family val="2"/>
      <scheme val="minor"/>
    </font>
    <font>
      <b/>
      <sz val="13"/>
      <name val="ＭＳ Ｐゴシック"/>
      <family val="2"/>
      <scheme val="minor"/>
    </font>
    <font>
      <sz val="11"/>
      <color rgb="FFFF0000"/>
      <name val="Calibri"/>
      <family val="2"/>
    </font>
    <font>
      <sz val="11"/>
      <color theme="4" tint="-0.249977111117893"/>
      <name val="ＭＳ Ｐゴシック"/>
      <family val="2"/>
      <scheme val="minor"/>
    </font>
    <font>
      <b/>
      <sz val="11"/>
      <color theme="9" tint="-0.249977111117893"/>
      <name val="ＭＳ Ｐゴシック"/>
      <family val="2"/>
      <scheme val="minor"/>
    </font>
    <font>
      <sz val="11"/>
      <color theme="9" tint="-0.249977111117893"/>
      <name val="ＭＳ Ｐゴシック"/>
      <family val="2"/>
      <scheme val="minor"/>
    </font>
    <font>
      <b/>
      <vertAlign val="subscript"/>
      <sz val="10"/>
      <color theme="1"/>
      <name val="ＭＳ Ｐゴシック"/>
      <family val="2"/>
      <scheme val="minor"/>
    </font>
    <font>
      <sz val="6"/>
      <name val="ＭＳ Ｐゴシック"/>
      <family val="3"/>
      <charset val="128"/>
      <scheme val="minor"/>
    </font>
  </fonts>
  <fills count="15">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FFCC99"/>
      </patternFill>
    </fill>
    <fill>
      <patternFill patternType="solid">
        <fgColor rgb="FFF2F2F2"/>
      </patternFill>
    </fill>
    <fill>
      <patternFill patternType="solid">
        <fgColor rgb="FFFFFFCC"/>
      </patternFill>
    </fill>
    <fill>
      <patternFill patternType="solid">
        <fgColor theme="0"/>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0000"/>
        <bgColor indexed="64"/>
      </patternFill>
    </fill>
    <fill>
      <patternFill patternType="solid">
        <fgColor rgb="FF92D050"/>
        <bgColor indexed="64"/>
      </patternFill>
    </fill>
    <fill>
      <patternFill patternType="solid">
        <fgColor rgb="FFFFE285"/>
        <bgColor indexed="64"/>
      </patternFill>
    </fill>
    <fill>
      <patternFill patternType="solid">
        <fgColor theme="4" tint="0.39997558519241921"/>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double">
        <color auto="1"/>
      </right>
      <top style="double">
        <color auto="1"/>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rgb="FF3F3F3F"/>
      </left>
      <right style="thin">
        <color rgb="FF3F3F3F"/>
      </right>
      <top/>
      <bottom style="thin">
        <color rgb="FF3F3F3F"/>
      </bottom>
      <diagonal/>
    </border>
    <border>
      <left style="thin">
        <color rgb="FF3F3F3F"/>
      </left>
      <right/>
      <top/>
      <bottom style="thin">
        <color rgb="FF3F3F3F"/>
      </bottom>
      <diagonal/>
    </border>
    <border>
      <left/>
      <right style="thin">
        <color rgb="FF3F3F3F"/>
      </right>
      <top/>
      <bottom style="thin">
        <color rgb="FF3F3F3F"/>
      </bottom>
      <diagonal/>
    </border>
    <border>
      <left/>
      <right/>
      <top style="thin">
        <color indexed="64"/>
      </top>
      <bottom style="thin">
        <color indexed="64"/>
      </bottom>
      <diagonal/>
    </border>
  </borders>
  <cellStyleXfs count="7">
    <xf numFmtId="0" fontId="0" fillId="0" borderId="0"/>
    <xf numFmtId="0" fontId="15" fillId="4" borderId="2" applyNumberFormat="0" applyAlignment="0" applyProtection="0"/>
    <xf numFmtId="0" fontId="14" fillId="6" borderId="3" applyNumberFormat="0" applyFont="0" applyAlignment="0" applyProtection="0"/>
    <xf numFmtId="0" fontId="30" fillId="0" borderId="0" applyNumberFormat="0" applyFill="0" applyBorder="0" applyAlignment="0" applyProtection="0"/>
    <xf numFmtId="0" fontId="71" fillId="5" borderId="14" applyNumberFormat="0" applyAlignment="0" applyProtection="0"/>
    <xf numFmtId="0" fontId="73" fillId="0" borderId="0" applyNumberFormat="0" applyFill="0" applyBorder="0" applyAlignment="0" applyProtection="0">
      <alignment vertical="top"/>
      <protection locked="0"/>
    </xf>
    <xf numFmtId="9" fontId="14" fillId="0" borderId="0" applyFont="0" applyFill="0" applyBorder="0" applyAlignment="0" applyProtection="0"/>
  </cellStyleXfs>
  <cellXfs count="822">
    <xf numFmtId="0" fontId="0" fillId="0" borderId="0" xfId="0"/>
    <xf numFmtId="0" fontId="1" fillId="0" borderId="0" xfId="0" applyFont="1" applyProtection="1"/>
    <xf numFmtId="0" fontId="0" fillId="0" borderId="0" xfId="0" applyProtection="1"/>
    <xf numFmtId="0" fontId="3" fillId="0" borderId="0" xfId="0" applyFont="1" applyProtection="1"/>
    <xf numFmtId="0" fontId="4" fillId="0" borderId="0" xfId="0" applyFont="1"/>
    <xf numFmtId="0" fontId="18" fillId="0" borderId="0" xfId="0" applyFont="1"/>
    <xf numFmtId="0" fontId="19" fillId="0" borderId="0" xfId="0" applyFont="1"/>
    <xf numFmtId="0" fontId="0" fillId="0" borderId="0" xfId="0" applyFont="1"/>
    <xf numFmtId="0" fontId="20" fillId="0" borderId="0" xfId="0" applyFont="1"/>
    <xf numFmtId="0" fontId="1" fillId="0" borderId="0" xfId="0" applyFont="1"/>
    <xf numFmtId="0" fontId="0" fillId="0" borderId="0" xfId="0" applyAlignment="1">
      <alignment horizontal="right"/>
    </xf>
    <xf numFmtId="0" fontId="0" fillId="0" borderId="1" xfId="0" applyBorder="1"/>
    <xf numFmtId="0" fontId="0" fillId="0" borderId="0" xfId="0" applyFill="1"/>
    <xf numFmtId="0" fontId="0" fillId="0" borderId="0" xfId="0" applyBorder="1"/>
    <xf numFmtId="0" fontId="1" fillId="0" borderId="0" xfId="0" applyFont="1" applyAlignment="1"/>
    <xf numFmtId="11" fontId="0" fillId="0" borderId="0" xfId="0" applyNumberFormat="1"/>
    <xf numFmtId="0" fontId="0" fillId="2" borderId="1" xfId="0" applyFill="1" applyBorder="1"/>
    <xf numFmtId="0" fontId="27" fillId="0" borderId="0" xfId="0" applyFont="1" applyFill="1"/>
    <xf numFmtId="0" fontId="29" fillId="0" borderId="0" xfId="0" applyFont="1"/>
    <xf numFmtId="0" fontId="12" fillId="0" borderId="0" xfId="0" applyFont="1"/>
    <xf numFmtId="0" fontId="30" fillId="0" borderId="0" xfId="3"/>
    <xf numFmtId="0" fontId="21" fillId="0" borderId="0" xfId="0" applyFont="1"/>
    <xf numFmtId="0" fontId="5" fillId="0" borderId="0" xfId="0" applyFont="1"/>
    <xf numFmtId="0" fontId="24" fillId="0" borderId="0" xfId="0" applyFont="1"/>
    <xf numFmtId="0" fontId="31" fillId="0" borderId="0" xfId="0" applyFont="1"/>
    <xf numFmtId="0" fontId="0" fillId="0" borderId="0" xfId="0" applyFill="1" applyBorder="1"/>
    <xf numFmtId="0" fontId="32" fillId="0" borderId="0" xfId="0" applyFont="1"/>
    <xf numFmtId="177" fontId="1" fillId="3" borderId="1" xfId="0" applyNumberFormat="1" applyFont="1" applyFill="1" applyBorder="1"/>
    <xf numFmtId="0" fontId="0" fillId="3" borderId="1" xfId="0" applyFill="1" applyBorder="1"/>
    <xf numFmtId="0" fontId="1" fillId="0" borderId="0" xfId="0" applyFont="1" applyBorder="1" applyAlignment="1">
      <alignment horizontal="center"/>
    </xf>
    <xf numFmtId="0" fontId="0" fillId="0" borderId="0" xfId="0" applyFont="1" applyBorder="1" applyAlignment="1">
      <alignment horizontal="left"/>
    </xf>
    <xf numFmtId="0" fontId="1" fillId="0" borderId="0" xfId="0" applyFont="1" applyBorder="1"/>
    <xf numFmtId="0" fontId="1" fillId="0" borderId="0" xfId="0" applyFont="1" applyBorder="1" applyAlignment="1">
      <alignment horizontal="right"/>
    </xf>
    <xf numFmtId="0" fontId="35" fillId="0" borderId="0" xfId="0" applyFont="1" applyBorder="1"/>
    <xf numFmtId="178" fontId="1" fillId="0" borderId="0" xfId="0" applyNumberFormat="1" applyFont="1" applyFill="1" applyBorder="1"/>
    <xf numFmtId="2" fontId="1" fillId="3" borderId="1" xfId="0" applyNumberFormat="1" applyFont="1" applyFill="1" applyBorder="1"/>
    <xf numFmtId="0" fontId="1" fillId="0" borderId="0" xfId="0" applyFont="1" applyBorder="1" applyAlignment="1">
      <alignment horizontal="left"/>
    </xf>
    <xf numFmtId="176" fontId="0" fillId="3" borderId="1" xfId="0" applyNumberFormat="1" applyFill="1" applyBorder="1"/>
    <xf numFmtId="0" fontId="9" fillId="0" borderId="0" xfId="0" applyFont="1"/>
    <xf numFmtId="0" fontId="5" fillId="0" borderId="0" xfId="0" applyFont="1" applyBorder="1" applyAlignment="1"/>
    <xf numFmtId="178" fontId="0" fillId="3" borderId="1" xfId="0" applyNumberFormat="1" applyFont="1" applyFill="1" applyBorder="1"/>
    <xf numFmtId="2" fontId="0" fillId="3" borderId="1" xfId="0" applyNumberFormat="1" applyFont="1" applyFill="1" applyBorder="1"/>
    <xf numFmtId="0" fontId="5" fillId="3" borderId="1" xfId="0" applyFont="1" applyFill="1" applyBorder="1"/>
    <xf numFmtId="0" fontId="36" fillId="0" borderId="0" xfId="0" applyFont="1" applyFill="1"/>
    <xf numFmtId="0" fontId="36" fillId="0" borderId="0" xfId="0" applyFont="1"/>
    <xf numFmtId="0" fontId="0" fillId="2" borderId="1" xfId="0" applyFill="1" applyBorder="1" applyProtection="1">
      <protection locked="0"/>
    </xf>
    <xf numFmtId="177" fontId="0" fillId="2" borderId="1" xfId="0" applyNumberFormat="1" applyFill="1" applyBorder="1" applyProtection="1">
      <protection locked="0"/>
    </xf>
    <xf numFmtId="2" fontId="5" fillId="3" borderId="1" xfId="0" applyNumberFormat="1" applyFont="1" applyFill="1" applyBorder="1"/>
    <xf numFmtId="2" fontId="5" fillId="3" borderId="1" xfId="0" applyNumberFormat="1" applyFont="1" applyFill="1" applyBorder="1" applyProtection="1"/>
    <xf numFmtId="176" fontId="20" fillId="3" borderId="1" xfId="0" applyNumberFormat="1" applyFont="1" applyFill="1" applyBorder="1" applyProtection="1"/>
    <xf numFmtId="177" fontId="15" fillId="3" borderId="1" xfId="1" applyNumberFormat="1" applyFill="1" applyBorder="1"/>
    <xf numFmtId="2" fontId="7" fillId="2" borderId="1" xfId="0" applyNumberFormat="1" applyFont="1" applyFill="1" applyBorder="1" applyProtection="1">
      <protection locked="0"/>
    </xf>
    <xf numFmtId="0" fontId="0" fillId="2" borderId="1" xfId="0" applyFill="1" applyBorder="1" applyAlignment="1" applyProtection="1">
      <alignment horizontal="right"/>
      <protection locked="0"/>
    </xf>
    <xf numFmtId="0" fontId="0" fillId="3" borderId="1" xfId="0" applyFill="1" applyBorder="1" applyAlignment="1">
      <alignment horizontal="right"/>
    </xf>
    <xf numFmtId="2" fontId="0" fillId="3" borderId="1" xfId="0" applyNumberFormat="1" applyFill="1" applyBorder="1"/>
    <xf numFmtId="177" fontId="37" fillId="3" borderId="1" xfId="0" applyNumberFormat="1" applyFont="1" applyFill="1" applyBorder="1"/>
    <xf numFmtId="0" fontId="46" fillId="0" borderId="0" xfId="0" applyFont="1"/>
    <xf numFmtId="0" fontId="1" fillId="0" borderId="0" xfId="0" applyFont="1" applyFill="1"/>
    <xf numFmtId="0" fontId="1" fillId="0" borderId="0" xfId="0" applyFont="1" applyFill="1" applyBorder="1"/>
    <xf numFmtId="0" fontId="47" fillId="0" borderId="0" xfId="0" applyFont="1" applyBorder="1"/>
    <xf numFmtId="0" fontId="18" fillId="0" borderId="0" xfId="0" applyFont="1" applyFill="1" applyBorder="1"/>
    <xf numFmtId="0" fontId="7" fillId="0" borderId="0" xfId="0" applyFont="1"/>
    <xf numFmtId="178" fontId="10" fillId="3" borderId="1" xfId="0" applyNumberFormat="1" applyFont="1" applyFill="1" applyBorder="1"/>
    <xf numFmtId="0" fontId="5" fillId="0" borderId="0" xfId="0" applyFont="1" applyFill="1"/>
    <xf numFmtId="0" fontId="21" fillId="3" borderId="1" xfId="0" applyFont="1" applyFill="1" applyBorder="1"/>
    <xf numFmtId="0" fontId="19" fillId="3" borderId="1" xfId="0" applyFont="1" applyFill="1" applyBorder="1"/>
    <xf numFmtId="0" fontId="1" fillId="3" borderId="1" xfId="0" applyFont="1" applyFill="1" applyBorder="1" applyAlignment="1">
      <alignment horizontal="center" vertical="center" wrapText="1"/>
    </xf>
    <xf numFmtId="0" fontId="46" fillId="3" borderId="1" xfId="0" applyFont="1" applyFill="1" applyBorder="1" applyAlignment="1">
      <alignment horizontal="center" vertical="center" wrapText="1"/>
    </xf>
    <xf numFmtId="0" fontId="50" fillId="3" borderId="1" xfId="0" applyFont="1" applyFill="1" applyBorder="1" applyAlignment="1">
      <alignment horizontal="center" vertical="center" wrapText="1"/>
    </xf>
    <xf numFmtId="0" fontId="0" fillId="3" borderId="1" xfId="0" applyFill="1" applyBorder="1" applyAlignment="1">
      <alignment vertical="center" wrapText="1"/>
    </xf>
    <xf numFmtId="0" fontId="25" fillId="3" borderId="1" xfId="0" applyFont="1" applyFill="1" applyBorder="1" applyAlignment="1">
      <alignment horizontal="center" vertical="center" wrapText="1"/>
    </xf>
    <xf numFmtId="0" fontId="26" fillId="0" borderId="0" xfId="0" applyFont="1"/>
    <xf numFmtId="0" fontId="6" fillId="0" borderId="0" xfId="0" applyFont="1" applyFill="1"/>
    <xf numFmtId="0" fontId="33" fillId="0" borderId="0" xfId="0" applyFont="1" applyFill="1"/>
    <xf numFmtId="177" fontId="20" fillId="0" borderId="0" xfId="0" applyNumberFormat="1" applyFont="1"/>
    <xf numFmtId="0" fontId="0" fillId="9" borderId="0" xfId="0" applyFill="1"/>
    <xf numFmtId="0" fontId="7" fillId="9" borderId="0" xfId="0" applyFont="1" applyFill="1"/>
    <xf numFmtId="0" fontId="51" fillId="9" borderId="0" xfId="0" applyFont="1" applyFill="1"/>
    <xf numFmtId="0" fontId="7" fillId="9" borderId="1" xfId="0" applyFont="1" applyFill="1" applyBorder="1"/>
    <xf numFmtId="11" fontId="7" fillId="9" borderId="1" xfId="0" applyNumberFormat="1" applyFont="1" applyFill="1" applyBorder="1"/>
    <xf numFmtId="177" fontId="0" fillId="9" borderId="0" xfId="0" applyNumberFormat="1" applyFill="1"/>
    <xf numFmtId="0" fontId="47" fillId="9" borderId="0" xfId="0" applyFont="1" applyFill="1" applyBorder="1"/>
    <xf numFmtId="0" fontId="35" fillId="9" borderId="0" xfId="0" applyFont="1" applyFill="1" applyBorder="1"/>
    <xf numFmtId="0" fontId="51" fillId="9" borderId="0" xfId="0" applyFont="1" applyFill="1" applyProtection="1"/>
    <xf numFmtId="0" fontId="51" fillId="9" borderId="0" xfId="0" applyFont="1" applyFill="1" applyProtection="1">
      <protection locked="0"/>
    </xf>
    <xf numFmtId="0" fontId="28" fillId="0" borderId="0" xfId="0" applyFont="1"/>
    <xf numFmtId="0" fontId="52" fillId="0" borderId="0" xfId="0" applyFont="1"/>
    <xf numFmtId="0" fontId="51" fillId="0" borderId="0" xfId="0" applyFont="1"/>
    <xf numFmtId="0" fontId="53" fillId="0" borderId="0" xfId="0" applyFont="1"/>
    <xf numFmtId="0" fontId="0" fillId="0" borderId="8" xfId="0" applyFont="1" applyBorder="1"/>
    <xf numFmtId="0" fontId="0" fillId="0" borderId="9" xfId="0" applyFont="1" applyBorder="1"/>
    <xf numFmtId="0" fontId="0" fillId="0" borderId="10" xfId="0" applyFont="1" applyBorder="1"/>
    <xf numFmtId="0" fontId="4" fillId="0" borderId="0" xfId="0" applyFont="1" applyFill="1" applyBorder="1"/>
    <xf numFmtId="0" fontId="19" fillId="0" borderId="0" xfId="0" applyFont="1" applyFill="1" applyBorder="1"/>
    <xf numFmtId="0" fontId="0" fillId="0" borderId="0" xfId="0" applyFont="1" applyAlignment="1">
      <alignment wrapText="1"/>
    </xf>
    <xf numFmtId="177" fontId="5" fillId="3" borderId="1" xfId="0" applyNumberFormat="1" applyFont="1" applyFill="1" applyBorder="1"/>
    <xf numFmtId="2" fontId="11" fillId="3" borderId="1" xfId="0" applyNumberFormat="1" applyFont="1" applyFill="1" applyBorder="1"/>
    <xf numFmtId="0" fontId="0" fillId="0" borderId="0" xfId="0" applyFont="1" applyFill="1" applyBorder="1"/>
    <xf numFmtId="2" fontId="0" fillId="0" borderId="0" xfId="0" applyNumberFormat="1" applyFill="1" applyBorder="1"/>
    <xf numFmtId="0" fontId="55" fillId="0" borderId="0" xfId="0" applyFont="1"/>
    <xf numFmtId="48" fontId="7" fillId="3" borderId="1" xfId="0" applyNumberFormat="1" applyFont="1" applyFill="1" applyBorder="1"/>
    <xf numFmtId="0" fontId="48" fillId="0" borderId="0" xfId="0" applyFont="1" applyFill="1"/>
    <xf numFmtId="0" fontId="0" fillId="0" borderId="0" xfId="0" applyFill="1" applyAlignment="1">
      <alignment horizontal="center"/>
    </xf>
    <xf numFmtId="0" fontId="56" fillId="0" borderId="0" xfId="0" applyFont="1" applyFill="1"/>
    <xf numFmtId="0" fontId="11" fillId="0" borderId="0" xfId="0" applyFont="1" applyFill="1"/>
    <xf numFmtId="0" fontId="0" fillId="9" borderId="1" xfId="0" applyFill="1" applyBorder="1" applyAlignment="1">
      <alignment horizontal="center"/>
    </xf>
    <xf numFmtId="0" fontId="0" fillId="0" borderId="0" xfId="0" applyFill="1" applyBorder="1" applyAlignment="1">
      <alignment horizontal="center"/>
    </xf>
    <xf numFmtId="2" fontId="0" fillId="9" borderId="1" xfId="0" applyNumberFormat="1" applyFill="1" applyBorder="1" applyAlignment="1">
      <alignment horizontal="center"/>
    </xf>
    <xf numFmtId="48" fontId="0" fillId="0" borderId="0" xfId="0" applyNumberFormat="1"/>
    <xf numFmtId="177" fontId="0" fillId="9" borderId="1" xfId="0" applyNumberFormat="1" applyFill="1" applyBorder="1" applyAlignment="1">
      <alignment horizontal="center"/>
    </xf>
    <xf numFmtId="180" fontId="0" fillId="0" borderId="0" xfId="0" applyNumberFormat="1"/>
    <xf numFmtId="176" fontId="0" fillId="9" borderId="1" xfId="0" applyNumberFormat="1" applyFill="1" applyBorder="1" applyAlignment="1">
      <alignment horizontal="center"/>
    </xf>
    <xf numFmtId="2" fontId="0" fillId="3" borderId="1" xfId="0" applyNumberFormat="1" applyFill="1" applyBorder="1" applyAlignment="1">
      <alignment horizontal="center"/>
    </xf>
    <xf numFmtId="177" fontId="0" fillId="9" borderId="1" xfId="0" applyNumberFormat="1" applyFill="1" applyBorder="1"/>
    <xf numFmtId="180" fontId="19" fillId="0" borderId="0" xfId="0" applyNumberFormat="1" applyFont="1" applyFill="1" applyBorder="1" applyAlignment="1">
      <alignment horizontal="left"/>
    </xf>
    <xf numFmtId="0" fontId="60" fillId="0" borderId="0" xfId="0" applyFont="1" applyFill="1" applyBorder="1" applyAlignment="1">
      <alignment horizontal="left"/>
    </xf>
    <xf numFmtId="0" fontId="19" fillId="0" borderId="0" xfId="0" applyFont="1" applyFill="1" applyBorder="1" applyAlignment="1">
      <alignment horizontal="left"/>
    </xf>
    <xf numFmtId="0" fontId="19" fillId="0" borderId="0" xfId="0" applyFont="1" applyAlignment="1">
      <alignment horizontal="left"/>
    </xf>
    <xf numFmtId="0" fontId="0" fillId="9" borderId="1" xfId="0" applyFill="1" applyBorder="1"/>
    <xf numFmtId="0" fontId="0" fillId="10" borderId="0" xfId="0" applyFill="1"/>
    <xf numFmtId="0" fontId="1" fillId="10" borderId="0" xfId="0" applyFont="1" applyFill="1"/>
    <xf numFmtId="0" fontId="8" fillId="0" borderId="0" xfId="0" applyFont="1" applyFill="1"/>
    <xf numFmtId="0" fontId="0" fillId="3" borderId="1" xfId="0" applyFill="1" applyBorder="1" applyAlignment="1">
      <alignment horizontal="center"/>
    </xf>
    <xf numFmtId="0" fontId="62" fillId="0" borderId="0" xfId="0" applyFont="1" applyProtection="1"/>
    <xf numFmtId="0" fontId="52" fillId="9" borderId="1" xfId="0" applyFont="1" applyFill="1" applyBorder="1" applyAlignment="1">
      <alignment horizontal="center"/>
    </xf>
    <xf numFmtId="0" fontId="45" fillId="9" borderId="1" xfId="0" applyFont="1" applyFill="1" applyBorder="1"/>
    <xf numFmtId="0" fontId="20" fillId="0" borderId="0" xfId="0" applyFont="1" applyAlignment="1">
      <alignment horizontal="center"/>
    </xf>
    <xf numFmtId="11" fontId="20" fillId="9" borderId="1" xfId="0" applyNumberFormat="1" applyFont="1" applyFill="1" applyBorder="1" applyAlignment="1">
      <alignment horizontal="center"/>
    </xf>
    <xf numFmtId="0" fontId="20" fillId="0" borderId="0" xfId="0" applyFont="1" applyFill="1" applyBorder="1" applyAlignment="1">
      <alignment horizontal="center"/>
    </xf>
    <xf numFmtId="0" fontId="45" fillId="0" borderId="0" xfId="0" applyFont="1" applyFill="1" applyBorder="1"/>
    <xf numFmtId="0" fontId="45" fillId="0" borderId="0" xfId="0" applyFont="1" applyFill="1"/>
    <xf numFmtId="176" fontId="20" fillId="9" borderId="1" xfId="0" applyNumberFormat="1" applyFont="1" applyFill="1" applyBorder="1"/>
    <xf numFmtId="177" fontId="20" fillId="9" borderId="1" xfId="0" applyNumberFormat="1" applyFont="1" applyFill="1" applyBorder="1"/>
    <xf numFmtId="2" fontId="20" fillId="9" borderId="1" xfId="0" applyNumberFormat="1" applyFont="1" applyFill="1" applyBorder="1"/>
    <xf numFmtId="48" fontId="20" fillId="0" borderId="0" xfId="0" applyNumberFormat="1" applyFont="1" applyFill="1" applyBorder="1"/>
    <xf numFmtId="48" fontId="20" fillId="0" borderId="0" xfId="0" applyNumberFormat="1" applyFont="1"/>
    <xf numFmtId="48" fontId="20" fillId="9" borderId="1" xfId="0" applyNumberFormat="1" applyFont="1" applyFill="1" applyBorder="1"/>
    <xf numFmtId="0" fontId="20" fillId="0" borderId="0" xfId="0" applyFont="1" applyFill="1" applyBorder="1"/>
    <xf numFmtId="0" fontId="20" fillId="0" borderId="0" xfId="0" applyFont="1" applyAlignment="1">
      <alignment horizontal="left"/>
    </xf>
    <xf numFmtId="0" fontId="64" fillId="0" borderId="0" xfId="0" applyFont="1"/>
    <xf numFmtId="0" fontId="66" fillId="0" borderId="0" xfId="0" applyFont="1" applyFill="1"/>
    <xf numFmtId="0" fontId="7" fillId="0" borderId="1" xfId="0" applyFont="1" applyBorder="1"/>
    <xf numFmtId="0" fontId="7" fillId="9" borderId="1" xfId="0" applyNumberFormat="1" applyFont="1" applyFill="1" applyBorder="1"/>
    <xf numFmtId="0" fontId="19" fillId="0" borderId="0" xfId="0" applyFont="1" applyFill="1"/>
    <xf numFmtId="2" fontId="11" fillId="3" borderId="1" xfId="0" applyNumberFormat="1" applyFont="1" applyFill="1" applyBorder="1" applyAlignment="1">
      <alignment vertical="center"/>
    </xf>
    <xf numFmtId="0" fontId="11" fillId="9" borderId="11" xfId="0" applyNumberFormat="1" applyFont="1" applyFill="1" applyBorder="1"/>
    <xf numFmtId="177" fontId="5" fillId="9" borderId="0" xfId="0" applyNumberFormat="1" applyFont="1" applyFill="1"/>
    <xf numFmtId="0" fontId="5" fillId="9" borderId="0" xfId="0" applyFont="1" applyFill="1"/>
    <xf numFmtId="177" fontId="37" fillId="9" borderId="7" xfId="0" applyNumberFormat="1" applyFont="1" applyFill="1" applyBorder="1"/>
    <xf numFmtId="2" fontId="37" fillId="9" borderId="1" xfId="0" applyNumberFormat="1" applyFont="1" applyFill="1" applyBorder="1"/>
    <xf numFmtId="176" fontId="7" fillId="2" borderId="1" xfId="0" applyNumberFormat="1" applyFont="1" applyFill="1" applyBorder="1" applyProtection="1">
      <protection locked="0"/>
    </xf>
    <xf numFmtId="0" fontId="0" fillId="9" borderId="1" xfId="0" applyFill="1" applyBorder="1" applyProtection="1">
      <protection locked="0"/>
    </xf>
    <xf numFmtId="2" fontId="0" fillId="2" borderId="1" xfId="0" applyNumberFormat="1" applyFill="1" applyBorder="1" applyProtection="1">
      <protection locked="0"/>
    </xf>
    <xf numFmtId="2" fontId="0" fillId="9" borderId="1" xfId="0" applyNumberFormat="1" applyFill="1" applyBorder="1" applyProtection="1">
      <protection locked="0"/>
    </xf>
    <xf numFmtId="0" fontId="4" fillId="0" borderId="0" xfId="0" applyFont="1" applyProtection="1"/>
    <xf numFmtId="0" fontId="30" fillId="0" borderId="0" xfId="3" applyProtection="1"/>
    <xf numFmtId="0" fontId="18" fillId="0" borderId="0" xfId="0" applyFont="1" applyProtection="1"/>
    <xf numFmtId="0" fontId="44" fillId="0" borderId="0" xfId="0" applyFont="1" applyProtection="1"/>
    <xf numFmtId="0" fontId="7" fillId="0" borderId="1" xfId="0" applyFont="1" applyBorder="1" applyProtection="1"/>
    <xf numFmtId="0" fontId="0" fillId="0" borderId="1" xfId="0" applyBorder="1" applyProtection="1"/>
    <xf numFmtId="0" fontId="0" fillId="9" borderId="1" xfId="0" applyFill="1" applyBorder="1" applyProtection="1"/>
    <xf numFmtId="0" fontId="72" fillId="0" borderId="1" xfId="0" applyFont="1" applyBorder="1" applyProtection="1"/>
    <xf numFmtId="0" fontId="28" fillId="0" borderId="0" xfId="0" applyFont="1" applyProtection="1"/>
    <xf numFmtId="177" fontId="7" fillId="3" borderId="1" xfId="0" applyNumberFormat="1" applyFont="1" applyFill="1" applyBorder="1" applyProtection="1"/>
    <xf numFmtId="1" fontId="7" fillId="3" borderId="1" xfId="0" applyNumberFormat="1" applyFont="1" applyFill="1" applyBorder="1" applyProtection="1"/>
    <xf numFmtId="0" fontId="0" fillId="0" borderId="0" xfId="0" applyFont="1" applyProtection="1"/>
    <xf numFmtId="0" fontId="7" fillId="9" borderId="0" xfId="0" applyFont="1" applyFill="1" applyProtection="1"/>
    <xf numFmtId="0" fontId="0" fillId="0" borderId="1" xfId="0" applyFont="1" applyBorder="1" applyProtection="1"/>
    <xf numFmtId="0" fontId="0" fillId="0" borderId="0" xfId="0" applyFont="1" applyFill="1" applyBorder="1" applyProtection="1"/>
    <xf numFmtId="0" fontId="7" fillId="0" borderId="1" xfId="0" applyFont="1" applyFill="1" applyBorder="1" applyProtection="1"/>
    <xf numFmtId="177" fontId="0" fillId="3" borderId="1" xfId="0" applyNumberFormat="1" applyFill="1" applyBorder="1" applyProtection="1"/>
    <xf numFmtId="0" fontId="0" fillId="3" borderId="1" xfId="0" applyFill="1" applyBorder="1" applyProtection="1"/>
    <xf numFmtId="2" fontId="0" fillId="3" borderId="1" xfId="0" applyNumberFormat="1" applyFill="1" applyBorder="1" applyProtection="1"/>
    <xf numFmtId="0" fontId="37" fillId="0" borderId="1" xfId="0" applyFont="1" applyFill="1" applyBorder="1" applyProtection="1"/>
    <xf numFmtId="177" fontId="0" fillId="9" borderId="1" xfId="0" applyNumberFormat="1" applyFill="1" applyBorder="1" applyProtection="1"/>
    <xf numFmtId="0" fontId="7" fillId="0" borderId="0" xfId="0" applyFont="1" applyProtection="1"/>
    <xf numFmtId="0" fontId="75" fillId="0" borderId="0" xfId="0" applyFont="1" applyProtection="1"/>
    <xf numFmtId="0" fontId="74" fillId="0" borderId="0" xfId="0" applyFont="1" applyProtection="1"/>
    <xf numFmtId="0" fontId="36" fillId="0" borderId="0" xfId="0" applyFont="1" applyProtection="1"/>
    <xf numFmtId="0" fontId="74" fillId="0" borderId="0" xfId="0" applyFont="1" applyAlignment="1" applyProtection="1">
      <alignment vertical="center"/>
    </xf>
    <xf numFmtId="0" fontId="18" fillId="2" borderId="1" xfId="0" applyFont="1" applyFill="1" applyBorder="1" applyAlignment="1" applyProtection="1">
      <alignment horizontal="right"/>
      <protection locked="0"/>
    </xf>
    <xf numFmtId="0" fontId="23" fillId="2" borderId="1" xfId="0" applyFont="1" applyFill="1" applyBorder="1" applyAlignment="1" applyProtection="1">
      <alignment horizontal="center"/>
      <protection locked="0"/>
    </xf>
    <xf numFmtId="177" fontId="4" fillId="2" borderId="1" xfId="0" applyNumberFormat="1" applyFont="1" applyFill="1" applyBorder="1" applyAlignment="1" applyProtection="1">
      <alignment horizontal="right"/>
      <protection locked="0"/>
    </xf>
    <xf numFmtId="177" fontId="0" fillId="2" borderId="1" xfId="0" applyNumberFormat="1" applyFill="1" applyBorder="1" applyAlignment="1" applyProtection="1">
      <alignment horizontal="right"/>
      <protection locked="0"/>
    </xf>
    <xf numFmtId="0" fontId="0" fillId="0" borderId="0" xfId="0" applyBorder="1" applyProtection="1">
      <protection locked="0"/>
    </xf>
    <xf numFmtId="0" fontId="0" fillId="0" borderId="0" xfId="0" applyAlignment="1" applyProtection="1">
      <alignment horizontal="right"/>
    </xf>
    <xf numFmtId="0" fontId="30" fillId="0" borderId="0" xfId="3" applyAlignment="1" applyProtection="1"/>
    <xf numFmtId="0" fontId="6" fillId="0" borderId="0" xfId="0" applyFont="1" applyAlignment="1" applyProtection="1">
      <alignment vertical="center"/>
    </xf>
    <xf numFmtId="0" fontId="0" fillId="0" borderId="0" xfId="0" applyAlignment="1" applyProtection="1"/>
    <xf numFmtId="0" fontId="4" fillId="0" borderId="0" xfId="0" applyFont="1" applyAlignment="1" applyProtection="1"/>
    <xf numFmtId="0" fontId="1" fillId="2" borderId="0" xfId="0" applyFont="1" applyFill="1" applyProtection="1"/>
    <xf numFmtId="0" fontId="0" fillId="2" borderId="0" xfId="0" applyFill="1" applyProtection="1"/>
    <xf numFmtId="0" fontId="1" fillId="3" borderId="0" xfId="0" applyFont="1" applyFill="1" applyProtection="1"/>
    <xf numFmtId="0" fontId="0" fillId="3" borderId="0" xfId="0" applyFill="1" applyProtection="1"/>
    <xf numFmtId="0" fontId="18" fillId="0" borderId="1" xfId="0" applyFont="1" applyBorder="1" applyAlignment="1" applyProtection="1">
      <alignment horizontal="left"/>
    </xf>
    <xf numFmtId="0" fontId="18" fillId="0" borderId="1" xfId="0" applyFont="1" applyBorder="1" applyAlignment="1" applyProtection="1">
      <alignment horizontal="center"/>
    </xf>
    <xf numFmtId="0" fontId="18" fillId="0" borderId="1" xfId="0" applyFont="1" applyFill="1" applyBorder="1" applyAlignment="1" applyProtection="1">
      <alignment horizontal="left"/>
    </xf>
    <xf numFmtId="0" fontId="18" fillId="0" borderId="1" xfId="0" applyFont="1" applyBorder="1" applyAlignment="1" applyProtection="1"/>
    <xf numFmtId="0" fontId="17" fillId="0" borderId="0" xfId="0" applyFont="1" applyProtection="1"/>
    <xf numFmtId="0" fontId="18" fillId="0" borderId="1" xfId="0" applyFont="1" applyBorder="1" applyProtection="1"/>
    <xf numFmtId="0" fontId="0" fillId="0" borderId="1" xfId="0" applyBorder="1" applyAlignment="1" applyProtection="1">
      <alignment horizontal="center"/>
    </xf>
    <xf numFmtId="0" fontId="19" fillId="0" borderId="1" xfId="0" applyFont="1" applyFill="1" applyBorder="1" applyAlignment="1" applyProtection="1">
      <alignment horizontal="left"/>
    </xf>
    <xf numFmtId="0" fontId="0" fillId="0" borderId="1" xfId="0" applyBorder="1" applyAlignment="1" applyProtection="1"/>
    <xf numFmtId="0" fontId="23" fillId="9" borderId="1" xfId="0" applyFont="1" applyFill="1" applyBorder="1" applyAlignment="1" applyProtection="1">
      <alignment horizontal="center"/>
    </xf>
    <xf numFmtId="0" fontId="23" fillId="0" borderId="1" xfId="0" applyFont="1" applyFill="1" applyBorder="1" applyAlignment="1" applyProtection="1">
      <alignment horizontal="center"/>
    </xf>
    <xf numFmtId="0" fontId="20" fillId="0" borderId="1" xfId="0" applyFont="1" applyFill="1" applyBorder="1" applyProtection="1"/>
    <xf numFmtId="0" fontId="20" fillId="0" borderId="1" xfId="0" applyFont="1" applyFill="1" applyBorder="1" applyAlignment="1" applyProtection="1">
      <alignment horizontal="center"/>
    </xf>
    <xf numFmtId="179" fontId="20" fillId="3" borderId="1" xfId="0" applyNumberFormat="1" applyFont="1" applyFill="1" applyBorder="1" applyAlignment="1" applyProtection="1">
      <alignment horizontal="right" vertical="center"/>
    </xf>
    <xf numFmtId="0" fontId="20" fillId="0" borderId="1" xfId="0" applyFont="1" applyFill="1" applyBorder="1" applyAlignment="1" applyProtection="1">
      <alignment horizontal="left" vertical="center"/>
    </xf>
    <xf numFmtId="0" fontId="0" fillId="0" borderId="1" xfId="0" applyFill="1" applyBorder="1" applyAlignment="1" applyProtection="1"/>
    <xf numFmtId="0" fontId="0" fillId="0" borderId="13" xfId="0" applyBorder="1" applyProtection="1"/>
    <xf numFmtId="0" fontId="0" fillId="0" borderId="1" xfId="0" applyFill="1" applyBorder="1" applyProtection="1"/>
    <xf numFmtId="0" fontId="0" fillId="0" borderId="1" xfId="0" applyFill="1" applyBorder="1" applyAlignment="1" applyProtection="1">
      <alignment horizontal="center"/>
    </xf>
    <xf numFmtId="2" fontId="1" fillId="3" borderId="1" xfId="0" applyNumberFormat="1" applyFont="1" applyFill="1" applyBorder="1" applyAlignment="1" applyProtection="1">
      <alignment horizontal="right"/>
    </xf>
    <xf numFmtId="2" fontId="20" fillId="9" borderId="1" xfId="0" applyNumberFormat="1" applyFont="1" applyFill="1" applyBorder="1" applyAlignment="1" applyProtection="1">
      <alignment horizontal="right"/>
    </xf>
    <xf numFmtId="0" fontId="20" fillId="0" borderId="1" xfId="0" applyFont="1" applyFill="1" applyBorder="1" applyAlignment="1" applyProtection="1">
      <alignment horizontal="left"/>
    </xf>
    <xf numFmtId="178" fontId="20" fillId="9" borderId="1" xfId="0" applyNumberFormat="1" applyFont="1" applyFill="1" applyBorder="1" applyAlignment="1" applyProtection="1">
      <alignment horizontal="right"/>
    </xf>
    <xf numFmtId="177" fontId="1" fillId="3" borderId="1" xfId="0" applyNumberFormat="1" applyFont="1" applyFill="1" applyBorder="1" applyAlignment="1" applyProtection="1">
      <alignment horizontal="right"/>
    </xf>
    <xf numFmtId="0" fontId="0" fillId="0" borderId="0" xfId="0" applyFill="1" applyProtection="1"/>
    <xf numFmtId="177" fontId="0" fillId="3" borderId="1" xfId="0" applyNumberFormat="1" applyFill="1" applyBorder="1" applyAlignment="1" applyProtection="1">
      <alignment horizontal="right"/>
    </xf>
    <xf numFmtId="0" fontId="28" fillId="0" borderId="1" xfId="0" applyFont="1" applyFill="1" applyBorder="1" applyAlignment="1" applyProtection="1"/>
    <xf numFmtId="0" fontId="1" fillId="0" borderId="1" xfId="0" applyFont="1" applyFill="1" applyBorder="1" applyProtection="1"/>
    <xf numFmtId="177" fontId="4" fillId="3" borderId="1" xfId="0" applyNumberFormat="1" applyFont="1" applyFill="1" applyBorder="1" applyAlignment="1" applyProtection="1">
      <alignment horizontal="right"/>
    </xf>
    <xf numFmtId="0" fontId="25" fillId="0" borderId="1" xfId="0" applyFont="1" applyFill="1" applyBorder="1" applyAlignment="1" applyProtection="1">
      <alignment horizontal="left"/>
    </xf>
    <xf numFmtId="0" fontId="26" fillId="0" borderId="1" xfId="0" applyFont="1" applyFill="1" applyBorder="1" applyAlignment="1" applyProtection="1"/>
    <xf numFmtId="0" fontId="1" fillId="0" borderId="1" xfId="0" applyFont="1" applyFill="1" applyBorder="1" applyAlignment="1" applyProtection="1">
      <alignment horizontal="left"/>
    </xf>
    <xf numFmtId="0" fontId="40" fillId="0" borderId="1" xfId="0" applyFont="1" applyFill="1" applyBorder="1" applyProtection="1"/>
    <xf numFmtId="0" fontId="40" fillId="0" borderId="1" xfId="0" applyFont="1" applyFill="1" applyBorder="1" applyAlignment="1" applyProtection="1">
      <alignment horizontal="center"/>
    </xf>
    <xf numFmtId="0" fontId="40" fillId="0" borderId="1" xfId="0" applyFont="1" applyFill="1" applyBorder="1" applyAlignment="1" applyProtection="1">
      <alignment horizontal="left"/>
    </xf>
    <xf numFmtId="0" fontId="41" fillId="0" borderId="1" xfId="0" applyFont="1" applyFill="1" applyBorder="1" applyProtection="1"/>
    <xf numFmtId="0" fontId="41" fillId="0" borderId="1" xfId="0" applyFont="1" applyFill="1" applyBorder="1" applyAlignment="1" applyProtection="1">
      <alignment horizontal="center"/>
    </xf>
    <xf numFmtId="0" fontId="42" fillId="0" borderId="1" xfId="0" applyFont="1" applyFill="1" applyBorder="1" applyAlignment="1" applyProtection="1">
      <alignment horizontal="left"/>
    </xf>
    <xf numFmtId="0" fontId="43" fillId="0" borderId="1" xfId="0" applyFont="1" applyFill="1" applyBorder="1" applyAlignment="1" applyProtection="1">
      <alignment horizontal="left"/>
    </xf>
    <xf numFmtId="0" fontId="63" fillId="0" borderId="1" xfId="0" applyFont="1" applyFill="1" applyBorder="1" applyAlignment="1" applyProtection="1">
      <alignment horizontal="left"/>
    </xf>
    <xf numFmtId="0" fontId="0" fillId="0" borderId="1" xfId="0" applyFont="1" applyFill="1" applyBorder="1" applyProtection="1"/>
    <xf numFmtId="0" fontId="0" fillId="0" borderId="1" xfId="0" applyFont="1" applyFill="1" applyBorder="1" applyAlignment="1" applyProtection="1">
      <alignment horizontal="center"/>
    </xf>
    <xf numFmtId="0" fontId="12" fillId="0" borderId="1" xfId="0" applyFont="1" applyFill="1" applyBorder="1" applyAlignment="1" applyProtection="1">
      <alignment horizontal="left"/>
    </xf>
    <xf numFmtId="2" fontId="5" fillId="3" borderId="1" xfId="0" applyNumberFormat="1" applyFont="1" applyFill="1" applyBorder="1" applyAlignment="1" applyProtection="1">
      <alignment horizontal="right"/>
    </xf>
    <xf numFmtId="0" fontId="0" fillId="0" borderId="1" xfId="0" applyFont="1" applyBorder="1" applyAlignment="1" applyProtection="1">
      <alignment horizontal="center"/>
    </xf>
    <xf numFmtId="2" fontId="0" fillId="0" borderId="1" xfId="0" applyNumberFormat="1" applyFont="1" applyBorder="1" applyAlignment="1" applyProtection="1">
      <alignment horizontal="left"/>
    </xf>
    <xf numFmtId="2" fontId="0" fillId="0" borderId="1" xfId="0" applyNumberFormat="1" applyBorder="1" applyAlignment="1" applyProtection="1">
      <alignment horizontal="right"/>
    </xf>
    <xf numFmtId="0" fontId="54" fillId="0" borderId="1" xfId="0" applyFont="1" applyBorder="1" applyAlignment="1" applyProtection="1">
      <alignment horizontal="right"/>
    </xf>
    <xf numFmtId="0" fontId="11" fillId="0" borderId="1" xfId="0" applyFont="1" applyBorder="1" applyProtection="1"/>
    <xf numFmtId="0" fontId="37" fillId="0" borderId="1" xfId="0" applyFont="1" applyBorder="1" applyAlignment="1" applyProtection="1">
      <alignment horizontal="center"/>
    </xf>
    <xf numFmtId="177" fontId="48" fillId="3" borderId="1" xfId="0" applyNumberFormat="1" applyFont="1" applyFill="1" applyBorder="1" applyProtection="1"/>
    <xf numFmtId="0" fontId="10" fillId="0" borderId="1" xfId="0" applyFont="1" applyBorder="1" applyAlignment="1" applyProtection="1">
      <alignment horizontal="left"/>
    </xf>
    <xf numFmtId="0" fontId="48" fillId="0" borderId="1" xfId="0" applyFont="1" applyBorder="1" applyProtection="1"/>
    <xf numFmtId="2" fontId="48" fillId="3" borderId="1" xfId="0" applyNumberFormat="1" applyFont="1" applyFill="1" applyBorder="1" applyAlignment="1" applyProtection="1">
      <alignment horizontal="right"/>
    </xf>
    <xf numFmtId="0" fontId="70" fillId="0" borderId="1" xfId="0" applyFont="1" applyFill="1" applyBorder="1" applyAlignment="1" applyProtection="1">
      <alignment horizontal="left"/>
    </xf>
    <xf numFmtId="0" fontId="7" fillId="0" borderId="1" xfId="0" applyFont="1" applyBorder="1" applyAlignment="1" applyProtection="1">
      <alignment horizontal="center"/>
    </xf>
    <xf numFmtId="0" fontId="0" fillId="2" borderId="1" xfId="0" applyFont="1" applyFill="1" applyBorder="1" applyProtection="1">
      <protection locked="0"/>
    </xf>
    <xf numFmtId="0" fontId="5" fillId="0" borderId="0" xfId="0" applyFont="1" applyFill="1" applyProtection="1"/>
    <xf numFmtId="0" fontId="21" fillId="3" borderId="1" xfId="0" applyFont="1" applyFill="1" applyBorder="1" applyProtection="1"/>
    <xf numFmtId="0" fontId="19" fillId="3" borderId="1" xfId="0" applyFont="1" applyFill="1" applyBorder="1" applyProtection="1"/>
    <xf numFmtId="177" fontId="1" fillId="3" borderId="1" xfId="0" applyNumberFormat="1" applyFont="1" applyFill="1" applyBorder="1" applyProtection="1"/>
    <xf numFmtId="0" fontId="49" fillId="0" borderId="0" xfId="0" applyFont="1" applyProtection="1"/>
    <xf numFmtId="0" fontId="0" fillId="3" borderId="1" xfId="0" applyFont="1" applyFill="1" applyBorder="1" applyProtection="1"/>
    <xf numFmtId="0" fontId="12" fillId="3" borderId="1" xfId="0" applyFont="1" applyFill="1" applyBorder="1" applyProtection="1"/>
    <xf numFmtId="2" fontId="1" fillId="3" borderId="1" xfId="0" applyNumberFormat="1" applyFont="1" applyFill="1" applyBorder="1" applyProtection="1"/>
    <xf numFmtId="0" fontId="0" fillId="7" borderId="0" xfId="0" applyFill="1" applyBorder="1" applyProtection="1"/>
    <xf numFmtId="0" fontId="5" fillId="0" borderId="0" xfId="0" applyFont="1" applyAlignment="1" applyProtection="1"/>
    <xf numFmtId="0" fontId="0" fillId="2" borderId="1" xfId="0" applyFill="1" applyBorder="1" applyAlignment="1" applyProtection="1">
      <alignment wrapText="1"/>
    </xf>
    <xf numFmtId="0" fontId="0" fillId="3" borderId="1" xfId="0" applyFill="1" applyBorder="1" applyAlignment="1" applyProtection="1">
      <alignment wrapText="1"/>
    </xf>
    <xf numFmtId="0" fontId="0" fillId="9" borderId="1" xfId="0" applyFill="1" applyBorder="1" applyAlignment="1" applyProtection="1">
      <alignment vertical="center" wrapText="1"/>
    </xf>
    <xf numFmtId="176" fontId="0" fillId="2" borderId="1" xfId="0" applyNumberFormat="1" applyFill="1" applyBorder="1" applyProtection="1">
      <protection locked="0"/>
    </xf>
    <xf numFmtId="1" fontId="0" fillId="2" borderId="1" xfId="0" applyNumberFormat="1" applyFill="1" applyBorder="1" applyProtection="1">
      <protection locked="0"/>
    </xf>
    <xf numFmtId="0" fontId="20" fillId="2" borderId="1" xfId="0" applyFont="1" applyFill="1" applyBorder="1" applyProtection="1">
      <protection locked="0"/>
    </xf>
    <xf numFmtId="0" fontId="20" fillId="0" borderId="0" xfId="0" applyFont="1" applyProtection="1">
      <protection locked="0"/>
    </xf>
    <xf numFmtId="0" fontId="7" fillId="2" borderId="1" xfId="0" applyFont="1" applyFill="1" applyBorder="1" applyProtection="1">
      <protection locked="0"/>
    </xf>
    <xf numFmtId="0" fontId="37" fillId="9" borderId="1" xfId="0" applyNumberFormat="1" applyFont="1" applyFill="1" applyBorder="1" applyProtection="1">
      <protection locked="0"/>
    </xf>
    <xf numFmtId="0" fontId="18" fillId="2" borderId="1" xfId="0" applyFont="1" applyFill="1" applyBorder="1" applyProtection="1">
      <protection locked="0"/>
    </xf>
    <xf numFmtId="177" fontId="37" fillId="2" borderId="1" xfId="0" applyNumberFormat="1" applyFont="1" applyFill="1" applyBorder="1" applyProtection="1">
      <protection locked="0"/>
    </xf>
    <xf numFmtId="2" fontId="37" fillId="2" borderId="1" xfId="0" applyNumberFormat="1" applyFont="1" applyFill="1" applyBorder="1" applyProtection="1">
      <protection locked="0"/>
    </xf>
    <xf numFmtId="177" fontId="18" fillId="2" borderId="7" xfId="0" applyNumberFormat="1" applyFont="1" applyFill="1" applyBorder="1" applyProtection="1">
      <protection locked="0"/>
    </xf>
    <xf numFmtId="0" fontId="18" fillId="9" borderId="1" xfId="0" applyFont="1" applyFill="1" applyBorder="1" applyProtection="1">
      <protection locked="0"/>
    </xf>
    <xf numFmtId="0" fontId="19" fillId="2" borderId="1" xfId="0" applyFont="1" applyFill="1" applyBorder="1" applyProtection="1">
      <protection locked="0"/>
    </xf>
    <xf numFmtId="0" fontId="7" fillId="9" borderId="1" xfId="0" applyNumberFormat="1" applyFont="1" applyFill="1" applyBorder="1" applyProtection="1">
      <protection locked="0"/>
    </xf>
    <xf numFmtId="0" fontId="7" fillId="2" borderId="1" xfId="0" applyNumberFormat="1" applyFont="1" applyFill="1" applyBorder="1" applyProtection="1">
      <protection locked="0"/>
    </xf>
    <xf numFmtId="0" fontId="7" fillId="2" borderId="1" xfId="0" applyNumberFormat="1" applyFont="1" applyFill="1" applyBorder="1" applyAlignment="1" applyProtection="1">
      <alignment horizontal="right"/>
      <protection locked="0"/>
    </xf>
    <xf numFmtId="0" fontId="15" fillId="2" borderId="1" xfId="1" applyFill="1" applyBorder="1" applyProtection="1">
      <protection locked="0"/>
    </xf>
    <xf numFmtId="0" fontId="47" fillId="0" borderId="0" xfId="1" applyFont="1" applyFill="1" applyBorder="1" applyProtection="1">
      <protection locked="0"/>
    </xf>
    <xf numFmtId="0" fontId="47" fillId="0" borderId="0" xfId="0" applyFont="1" applyBorder="1" applyProtection="1">
      <protection locked="0"/>
    </xf>
    <xf numFmtId="0" fontId="35" fillId="9" borderId="0" xfId="1" applyFont="1" applyFill="1" applyBorder="1" applyProtection="1">
      <protection locked="0"/>
    </xf>
    <xf numFmtId="0" fontId="35" fillId="0" borderId="0" xfId="0" applyFont="1" applyBorder="1" applyProtection="1">
      <protection locked="0"/>
    </xf>
    <xf numFmtId="2" fontId="15" fillId="2" borderId="1" xfId="1" applyNumberFormat="1" applyFill="1" applyBorder="1" applyProtection="1">
      <protection locked="0"/>
    </xf>
    <xf numFmtId="0" fontId="6" fillId="0" borderId="0" xfId="0" applyFont="1" applyProtection="1"/>
    <xf numFmtId="0" fontId="38" fillId="3" borderId="1" xfId="0" applyFont="1" applyFill="1" applyBorder="1" applyProtection="1"/>
    <xf numFmtId="0" fontId="8" fillId="0" borderId="0" xfId="0" applyFont="1" applyFill="1" applyBorder="1" applyProtection="1"/>
    <xf numFmtId="0" fontId="9" fillId="0" borderId="0" xfId="0" applyFont="1" applyProtection="1"/>
    <xf numFmtId="11" fontId="51" fillId="9" borderId="0" xfId="0" applyNumberFormat="1" applyFont="1" applyFill="1" applyProtection="1"/>
    <xf numFmtId="0" fontId="10" fillId="0" borderId="0" xfId="0" applyFont="1" applyProtection="1"/>
    <xf numFmtId="177" fontId="11" fillId="3" borderId="1" xfId="0" applyNumberFormat="1" applyFont="1" applyFill="1" applyBorder="1" applyProtection="1"/>
    <xf numFmtId="0" fontId="2" fillId="0" borderId="0" xfId="0" applyFont="1" applyAlignment="1" applyProtection="1">
      <alignment vertical="center"/>
    </xf>
    <xf numFmtId="0" fontId="1" fillId="9" borderId="0" xfId="0" applyFont="1" applyFill="1" applyAlignment="1" applyProtection="1">
      <alignment vertical="center"/>
    </xf>
    <xf numFmtId="0" fontId="1" fillId="9" borderId="0" xfId="0" applyFont="1" applyFill="1" applyProtection="1"/>
    <xf numFmtId="0" fontId="61" fillId="9" borderId="0" xfId="0" applyFont="1" applyFill="1" applyProtection="1"/>
    <xf numFmtId="0" fontId="0" fillId="9" borderId="0" xfId="0" applyFont="1" applyFill="1" applyAlignment="1" applyProtection="1">
      <alignment vertical="center"/>
    </xf>
    <xf numFmtId="0" fontId="0" fillId="9" borderId="0" xfId="0" applyFont="1" applyFill="1" applyProtection="1"/>
    <xf numFmtId="0" fontId="16" fillId="0" borderId="0" xfId="0" applyFont="1" applyProtection="1"/>
    <xf numFmtId="0" fontId="5" fillId="0" borderId="1" xfId="0" applyFont="1" applyFill="1" applyBorder="1" applyProtection="1"/>
    <xf numFmtId="0" fontId="5" fillId="0" borderId="1" xfId="0" applyFont="1" applyBorder="1" applyProtection="1"/>
    <xf numFmtId="0" fontId="7" fillId="0" borderId="1" xfId="0" applyFont="1" applyBorder="1" applyAlignment="1" applyProtection="1">
      <alignment horizontal="left"/>
    </xf>
    <xf numFmtId="0" fontId="82" fillId="0" borderId="1" xfId="0" applyFont="1" applyBorder="1" applyAlignment="1" applyProtection="1"/>
    <xf numFmtId="176" fontId="11" fillId="3" borderId="1" xfId="0" applyNumberFormat="1" applyFont="1" applyFill="1" applyBorder="1" applyAlignment="1" applyProtection="1">
      <alignment horizontal="right"/>
    </xf>
    <xf numFmtId="0" fontId="53" fillId="0" borderId="1" xfId="0" applyFont="1" applyFill="1" applyBorder="1" applyAlignment="1" applyProtection="1">
      <alignment horizontal="left"/>
    </xf>
    <xf numFmtId="0" fontId="39" fillId="0" borderId="1" xfId="0" applyFont="1" applyFill="1" applyBorder="1" applyAlignment="1" applyProtection="1">
      <alignment horizontal="left"/>
    </xf>
    <xf numFmtId="0" fontId="22" fillId="0" borderId="1" xfId="0" applyFont="1" applyBorder="1" applyAlignment="1" applyProtection="1">
      <alignment horizontal="center"/>
    </xf>
    <xf numFmtId="0" fontId="11" fillId="0" borderId="1" xfId="0" applyFont="1" applyBorder="1" applyAlignment="1" applyProtection="1">
      <alignment horizontal="left"/>
    </xf>
    <xf numFmtId="14" fontId="0" fillId="0" borderId="0" xfId="0" applyNumberFormat="1"/>
    <xf numFmtId="0" fontId="1" fillId="9" borderId="1" xfId="0" applyFont="1" applyFill="1" applyBorder="1"/>
    <xf numFmtId="0" fontId="83" fillId="0" borderId="0" xfId="0" applyFont="1" applyProtection="1"/>
    <xf numFmtId="0" fontId="12" fillId="0" borderId="1" xfId="0" applyFont="1" applyBorder="1" applyProtection="1"/>
    <xf numFmtId="0" fontId="0" fillId="0" borderId="0" xfId="0" quotePrefix="1" applyFill="1" applyBorder="1"/>
    <xf numFmtId="0" fontId="10" fillId="0" borderId="1" xfId="0" applyFont="1" applyBorder="1" applyProtection="1"/>
    <xf numFmtId="0" fontId="7" fillId="0" borderId="1" xfId="0" applyFont="1" applyBorder="1" applyAlignment="1" applyProtection="1">
      <alignment horizontal="right"/>
    </xf>
    <xf numFmtId="0" fontId="7" fillId="0" borderId="1" xfId="0" applyFont="1" applyBorder="1" applyAlignment="1" applyProtection="1"/>
    <xf numFmtId="182" fontId="0" fillId="9" borderId="1" xfId="0" applyNumberFormat="1" applyFill="1" applyBorder="1" applyAlignment="1" applyProtection="1">
      <alignment horizontal="right"/>
    </xf>
    <xf numFmtId="0" fontId="48" fillId="3" borderId="1" xfId="0" applyFont="1" applyFill="1" applyBorder="1" applyAlignment="1" applyProtection="1">
      <alignment horizontal="right"/>
    </xf>
    <xf numFmtId="0" fontId="37" fillId="0" borderId="1" xfId="0" applyFont="1" applyBorder="1" applyAlignment="1" applyProtection="1">
      <alignment horizontal="left"/>
    </xf>
    <xf numFmtId="2" fontId="7" fillId="9" borderId="1" xfId="0" applyNumberFormat="1" applyFont="1" applyFill="1" applyBorder="1" applyAlignment="1" applyProtection="1">
      <alignment horizontal="right"/>
    </xf>
    <xf numFmtId="183" fontId="0" fillId="9" borderId="1" xfId="0" applyNumberFormat="1" applyFill="1" applyBorder="1"/>
    <xf numFmtId="178" fontId="0" fillId="9" borderId="1" xfId="0" applyNumberFormat="1" applyFill="1" applyBorder="1" applyProtection="1"/>
    <xf numFmtId="2" fontId="40" fillId="9" borderId="1" xfId="0" applyNumberFormat="1" applyFont="1" applyFill="1" applyBorder="1" applyAlignment="1" applyProtection="1">
      <alignment horizontal="right"/>
    </xf>
    <xf numFmtId="177" fontId="41" fillId="9" borderId="1" xfId="0" applyNumberFormat="1" applyFont="1" applyFill="1" applyBorder="1" applyAlignment="1" applyProtection="1">
      <alignment horizontal="right"/>
    </xf>
    <xf numFmtId="178" fontId="41" fillId="9" borderId="1" xfId="0" applyNumberFormat="1" applyFont="1" applyFill="1" applyBorder="1" applyAlignment="1" applyProtection="1">
      <alignment horizontal="right"/>
    </xf>
    <xf numFmtId="177" fontId="10" fillId="9" borderId="1" xfId="0" applyNumberFormat="1" applyFont="1" applyFill="1" applyBorder="1" applyAlignment="1" applyProtection="1">
      <alignment horizontal="right"/>
    </xf>
    <xf numFmtId="176" fontId="1" fillId="9" borderId="1" xfId="0" applyNumberFormat="1" applyFont="1" applyFill="1" applyBorder="1" applyAlignment="1" applyProtection="1">
      <alignment horizontal="right"/>
    </xf>
    <xf numFmtId="176" fontId="37" fillId="9" borderId="1" xfId="0" applyNumberFormat="1" applyFont="1" applyFill="1" applyBorder="1" applyAlignment="1" applyProtection="1">
      <alignment horizontal="right"/>
    </xf>
    <xf numFmtId="0" fontId="37" fillId="0" borderId="1" xfId="0" applyFont="1" applyBorder="1" applyProtection="1"/>
    <xf numFmtId="176" fontId="5" fillId="9" borderId="1" xfId="0" applyNumberFormat="1" applyFont="1" applyFill="1" applyBorder="1" applyAlignment="1" applyProtection="1">
      <alignment horizontal="right"/>
    </xf>
    <xf numFmtId="0" fontId="0" fillId="0" borderId="0" xfId="0" applyProtection="1">
      <protection locked="0"/>
    </xf>
    <xf numFmtId="0" fontId="0" fillId="0" borderId="0" xfId="0" applyAlignment="1" applyProtection="1">
      <alignment horizontal="right"/>
      <protection locked="0"/>
    </xf>
    <xf numFmtId="0" fontId="0" fillId="0" borderId="0" xfId="0" applyAlignment="1" applyProtection="1">
      <protection locked="0"/>
    </xf>
    <xf numFmtId="0" fontId="22" fillId="0" borderId="1" xfId="0" applyFont="1" applyFill="1" applyBorder="1" applyAlignment="1" applyProtection="1"/>
    <xf numFmtId="0" fontId="20" fillId="7" borderId="1" xfId="2" applyFont="1" applyFill="1" applyBorder="1" applyProtection="1"/>
    <xf numFmtId="0" fontId="20" fillId="7" borderId="1" xfId="2" applyFont="1" applyFill="1" applyBorder="1" applyAlignment="1" applyProtection="1">
      <alignment horizontal="center"/>
    </xf>
    <xf numFmtId="11" fontId="20" fillId="8" borderId="1" xfId="2" applyNumberFormat="1" applyFont="1" applyFill="1" applyBorder="1" applyAlignment="1" applyProtection="1">
      <alignment horizontal="right"/>
      <protection locked="0"/>
    </xf>
    <xf numFmtId="0" fontId="20" fillId="7" borderId="1" xfId="2" applyFont="1" applyFill="1" applyBorder="1" applyAlignment="1" applyProtection="1">
      <alignment horizontal="left"/>
    </xf>
    <xf numFmtId="0" fontId="20" fillId="7" borderId="1" xfId="2" applyFont="1" applyFill="1" applyBorder="1" applyAlignment="1" applyProtection="1"/>
    <xf numFmtId="177" fontId="20" fillId="8" borderId="1" xfId="2" applyNumberFormat="1" applyFont="1" applyFill="1" applyBorder="1" applyAlignment="1" applyProtection="1">
      <alignment horizontal="right"/>
      <protection locked="0"/>
    </xf>
    <xf numFmtId="0" fontId="80" fillId="7" borderId="1" xfId="2" applyFont="1" applyFill="1" applyBorder="1" applyAlignment="1" applyProtection="1">
      <alignment horizontal="center"/>
    </xf>
    <xf numFmtId="2" fontId="20" fillId="8" borderId="1" xfId="2" applyNumberFormat="1" applyFont="1" applyFill="1" applyBorder="1" applyAlignment="1" applyProtection="1">
      <alignment horizontal="right"/>
      <protection locked="0"/>
    </xf>
    <xf numFmtId="176" fontId="20" fillId="8" borderId="1" xfId="2" applyNumberFormat="1" applyFont="1" applyFill="1" applyBorder="1" applyAlignment="1" applyProtection="1">
      <alignment horizontal="right"/>
      <protection locked="0"/>
    </xf>
    <xf numFmtId="0" fontId="0" fillId="7" borderId="1" xfId="0" applyFill="1" applyBorder="1" applyProtection="1"/>
    <xf numFmtId="0" fontId="16" fillId="0" borderId="0" xfId="0" applyFont="1" applyProtection="1">
      <protection locked="0"/>
    </xf>
    <xf numFmtId="0" fontId="17" fillId="0" borderId="0" xfId="0" applyFont="1" applyProtection="1">
      <protection locked="0"/>
    </xf>
    <xf numFmtId="11" fontId="51" fillId="9" borderId="1" xfId="0" applyNumberFormat="1" applyFont="1" applyFill="1" applyBorder="1" applyProtection="1"/>
    <xf numFmtId="182" fontId="0" fillId="9" borderId="1" xfId="0" applyNumberFormat="1" applyFill="1" applyBorder="1" applyProtection="1"/>
    <xf numFmtId="176" fontId="7" fillId="3" borderId="1" xfId="0" applyNumberFormat="1" applyFont="1" applyFill="1" applyBorder="1" applyProtection="1"/>
    <xf numFmtId="2" fontId="0" fillId="9" borderId="1" xfId="0" applyNumberFormat="1" applyFill="1" applyBorder="1" applyProtection="1"/>
    <xf numFmtId="1" fontId="10" fillId="3" borderId="1" xfId="0" applyNumberFormat="1" applyFont="1" applyFill="1" applyBorder="1"/>
    <xf numFmtId="0" fontId="1" fillId="3" borderId="1" xfId="0" applyFont="1" applyFill="1" applyBorder="1" applyAlignment="1" applyProtection="1">
      <alignment horizontal="right"/>
    </xf>
    <xf numFmtId="0" fontId="6" fillId="0" borderId="1" xfId="0" applyFont="1" applyBorder="1" applyAlignment="1" applyProtection="1"/>
    <xf numFmtId="0" fontId="8" fillId="0" borderId="1" xfId="0" applyFont="1" applyBorder="1" applyAlignment="1" applyProtection="1"/>
    <xf numFmtId="1" fontId="7" fillId="9" borderId="1" xfId="0" applyNumberFormat="1" applyFont="1" applyFill="1" applyBorder="1"/>
    <xf numFmtId="1" fontId="0" fillId="9" borderId="0" xfId="0" applyNumberFormat="1" applyFont="1" applyFill="1" applyBorder="1"/>
    <xf numFmtId="1" fontId="0" fillId="9" borderId="0" xfId="0" applyNumberFormat="1" applyFont="1" applyFill="1" applyBorder="1" applyAlignment="1">
      <alignment horizontal="right"/>
    </xf>
    <xf numFmtId="176" fontId="1" fillId="9" borderId="15" xfId="0" applyNumberFormat="1" applyFont="1" applyFill="1" applyBorder="1"/>
    <xf numFmtId="2" fontId="0" fillId="2" borderId="1" xfId="0" applyNumberFormat="1" applyFont="1" applyFill="1" applyBorder="1" applyProtection="1">
      <protection locked="0"/>
    </xf>
    <xf numFmtId="0" fontId="86" fillId="0" borderId="0" xfId="0" applyFont="1" applyProtection="1"/>
    <xf numFmtId="2" fontId="1" fillId="3" borderId="1" xfId="0" quotePrefix="1" applyNumberFormat="1" applyFont="1" applyFill="1" applyBorder="1"/>
    <xf numFmtId="0" fontId="89" fillId="0" borderId="0" xfId="0" applyFont="1" applyProtection="1">
      <protection locked="0"/>
    </xf>
    <xf numFmtId="0" fontId="0" fillId="0" borderId="0" xfId="0" applyAlignment="1"/>
    <xf numFmtId="0" fontId="14" fillId="2" borderId="1" xfId="1" applyFont="1" applyFill="1" applyBorder="1" applyAlignment="1" applyProtection="1">
      <alignment horizontal="right"/>
      <protection locked="0"/>
    </xf>
    <xf numFmtId="9" fontId="0" fillId="0" borderId="0" xfId="6" applyFont="1"/>
    <xf numFmtId="0" fontId="15" fillId="2" borderId="1" xfId="1" applyFill="1" applyBorder="1" applyAlignment="1" applyProtection="1">
      <alignment horizontal="right"/>
      <protection locked="0"/>
    </xf>
    <xf numFmtId="0" fontId="0" fillId="0" borderId="0" xfId="0" applyNumberFormat="1"/>
    <xf numFmtId="0" fontId="7" fillId="2" borderId="1" xfId="1" applyFont="1" applyFill="1" applyBorder="1" applyAlignment="1" applyProtection="1">
      <alignment horizontal="right"/>
      <protection locked="0"/>
    </xf>
    <xf numFmtId="0" fontId="1" fillId="0" borderId="0" xfId="0" applyFont="1" applyFill="1" applyBorder="1" applyAlignment="1">
      <alignment horizontal="right"/>
    </xf>
    <xf numFmtId="0" fontId="0" fillId="0" borderId="0" xfId="0" applyNumberFormat="1" applyAlignment="1">
      <alignment horizontal="right"/>
    </xf>
    <xf numFmtId="0" fontId="12" fillId="3" borderId="1" xfId="0" applyFont="1" applyFill="1" applyBorder="1" applyAlignment="1" applyProtection="1">
      <alignment horizontal="right"/>
    </xf>
    <xf numFmtId="0" fontId="12" fillId="3" borderId="1" xfId="0" applyFont="1" applyFill="1" applyBorder="1" applyAlignment="1" applyProtection="1">
      <alignment horizontal="left"/>
    </xf>
    <xf numFmtId="0" fontId="39" fillId="0" borderId="0" xfId="0" applyFont="1" applyFill="1" applyBorder="1" applyAlignment="1">
      <alignment horizontal="right"/>
    </xf>
    <xf numFmtId="0" fontId="0" fillId="0" borderId="0" xfId="0" applyFill="1" applyBorder="1" applyAlignment="1" applyProtection="1">
      <alignment horizontal="left" vertical="center"/>
    </xf>
    <xf numFmtId="0" fontId="7" fillId="9" borderId="1" xfId="1" applyFont="1" applyFill="1" applyBorder="1" applyAlignment="1" applyProtection="1">
      <alignment horizontal="right"/>
    </xf>
    <xf numFmtId="0" fontId="14" fillId="2" borderId="16" xfId="1" applyFont="1" applyFill="1" applyBorder="1" applyAlignment="1" applyProtection="1">
      <alignment horizontal="right"/>
      <protection locked="0"/>
    </xf>
    <xf numFmtId="177" fontId="12" fillId="3" borderId="1" xfId="0" applyNumberFormat="1" applyFont="1" applyFill="1" applyBorder="1" applyAlignment="1" applyProtection="1">
      <alignment horizontal="right"/>
    </xf>
    <xf numFmtId="11" fontId="12" fillId="3" borderId="1" xfId="0" applyNumberFormat="1" applyFont="1" applyFill="1" applyBorder="1" applyAlignment="1" applyProtection="1">
      <alignment horizontal="right"/>
    </xf>
    <xf numFmtId="0" fontId="39" fillId="0" borderId="0" xfId="0" applyFont="1" applyBorder="1" applyAlignment="1">
      <alignment horizontal="right"/>
    </xf>
    <xf numFmtId="0" fontId="1" fillId="0" borderId="0" xfId="0" applyFont="1" applyAlignment="1">
      <alignment horizontal="right"/>
    </xf>
    <xf numFmtId="177" fontId="7" fillId="3" borderId="1" xfId="0" applyNumberFormat="1" applyFont="1" applyFill="1" applyBorder="1"/>
    <xf numFmtId="177" fontId="10" fillId="3" borderId="1" xfId="0" applyNumberFormat="1" applyFont="1" applyFill="1" applyBorder="1"/>
    <xf numFmtId="178" fontId="0" fillId="0" borderId="0" xfId="0" applyNumberFormat="1"/>
    <xf numFmtId="16" fontId="0" fillId="0" borderId="0" xfId="0" applyNumberFormat="1"/>
    <xf numFmtId="177" fontId="0" fillId="9" borderId="1" xfId="0" applyNumberFormat="1" applyFill="1" applyBorder="1" applyAlignment="1" applyProtection="1">
      <alignment horizontal="right"/>
      <protection locked="0"/>
    </xf>
    <xf numFmtId="0" fontId="18" fillId="3" borderId="1" xfId="0" applyFont="1" applyFill="1" applyBorder="1" applyProtection="1"/>
    <xf numFmtId="0" fontId="26" fillId="0" borderId="0" xfId="0" applyFont="1" applyAlignment="1" applyProtection="1">
      <alignment vertical="center" wrapText="1"/>
    </xf>
    <xf numFmtId="0" fontId="0" fillId="0" borderId="0" xfId="0" applyAlignment="1">
      <alignment vertical="center" wrapText="1"/>
    </xf>
    <xf numFmtId="0" fontId="30" fillId="0" borderId="0" xfId="3" applyAlignment="1">
      <alignment vertical="center"/>
    </xf>
    <xf numFmtId="0" fontId="1" fillId="0" borderId="0" xfId="0" applyFont="1" applyAlignment="1">
      <alignment vertical="center" wrapText="1"/>
    </xf>
    <xf numFmtId="0" fontId="30" fillId="0" borderId="0" xfId="3" applyBorder="1" applyAlignment="1">
      <alignment horizontal="left"/>
    </xf>
    <xf numFmtId="0" fontId="1" fillId="2" borderId="1" xfId="0" applyFont="1" applyFill="1" applyBorder="1" applyAlignment="1" applyProtection="1">
      <alignment horizontal="center"/>
      <protection locked="0"/>
    </xf>
    <xf numFmtId="0" fontId="30" fillId="0" borderId="0" xfId="3" applyFill="1" applyBorder="1"/>
    <xf numFmtId="0" fontId="6" fillId="0" borderId="0" xfId="0" applyFont="1"/>
    <xf numFmtId="0" fontId="26" fillId="0" borderId="0" xfId="0" applyFont="1" applyAlignment="1" applyProtection="1">
      <alignment vertical="center" wrapText="1"/>
    </xf>
    <xf numFmtId="0" fontId="0" fillId="0" borderId="0" xfId="0" applyAlignment="1">
      <alignment vertical="center" wrapText="1"/>
    </xf>
    <xf numFmtId="0" fontId="91" fillId="0" borderId="0" xfId="0" applyFont="1" applyAlignment="1">
      <alignment vertical="center" wrapText="1"/>
    </xf>
    <xf numFmtId="0" fontId="19" fillId="0" borderId="0" xfId="0" applyFont="1" applyFill="1" applyBorder="1" applyProtection="1">
      <protection locked="0"/>
    </xf>
    <xf numFmtId="0" fontId="0" fillId="0" borderId="0" xfId="0" applyFont="1" applyBorder="1"/>
    <xf numFmtId="0" fontId="88" fillId="7" borderId="0" xfId="0" applyFont="1" applyFill="1" applyBorder="1"/>
    <xf numFmtId="0" fontId="93" fillId="0" borderId="0" xfId="0" applyFont="1"/>
    <xf numFmtId="177" fontId="0" fillId="9" borderId="0" xfId="0" applyNumberFormat="1" applyFont="1" applyFill="1" applyBorder="1"/>
    <xf numFmtId="177" fontId="0" fillId="0" borderId="0" xfId="0" applyNumberFormat="1" applyFont="1" applyFill="1" applyBorder="1"/>
    <xf numFmtId="0" fontId="36" fillId="7" borderId="0" xfId="0" applyFont="1" applyFill="1" applyProtection="1">
      <protection locked="0"/>
    </xf>
    <xf numFmtId="0" fontId="74" fillId="7" borderId="0" xfId="0" applyFont="1" applyFill="1" applyProtection="1">
      <protection locked="0"/>
    </xf>
    <xf numFmtId="1" fontId="7" fillId="3" borderId="1" xfId="0" applyNumberFormat="1" applyFont="1" applyFill="1" applyBorder="1"/>
    <xf numFmtId="2" fontId="0" fillId="9" borderId="0" xfId="0" applyNumberFormat="1" applyFont="1" applyFill="1"/>
    <xf numFmtId="1" fontId="0" fillId="3" borderId="1" xfId="0" applyNumberFormat="1" applyFont="1" applyFill="1" applyBorder="1"/>
    <xf numFmtId="1" fontId="0" fillId="3" borderId="7" xfId="0" applyNumberFormat="1" applyFont="1" applyFill="1" applyBorder="1"/>
    <xf numFmtId="0" fontId="0" fillId="0" borderId="1" xfId="0" applyFont="1" applyBorder="1"/>
    <xf numFmtId="0" fontId="74" fillId="0" borderId="1" xfId="0" applyFont="1" applyFill="1" applyBorder="1" applyProtection="1">
      <protection locked="0"/>
    </xf>
    <xf numFmtId="0" fontId="74" fillId="0" borderId="0" xfId="0" applyFont="1" applyFill="1" applyBorder="1"/>
    <xf numFmtId="0" fontId="74" fillId="7" borderId="1" xfId="0" applyFont="1" applyFill="1" applyBorder="1" applyProtection="1">
      <protection locked="0"/>
    </xf>
    <xf numFmtId="0" fontId="5" fillId="0" borderId="0" xfId="0" applyFont="1" applyAlignment="1">
      <alignment horizontal="right"/>
    </xf>
    <xf numFmtId="178" fontId="0" fillId="9" borderId="1" xfId="0" applyNumberFormat="1" applyFill="1" applyBorder="1" applyProtection="1">
      <protection locked="0"/>
    </xf>
    <xf numFmtId="0" fontId="5" fillId="0" borderId="0" xfId="0" applyFont="1" applyProtection="1"/>
    <xf numFmtId="0" fontId="5" fillId="0" borderId="0" xfId="0" applyFont="1" applyFill="1" applyBorder="1" applyProtection="1"/>
    <xf numFmtId="177" fontId="7" fillId="0" borderId="9" xfId="0" applyNumberFormat="1" applyFont="1" applyFill="1" applyBorder="1" applyProtection="1"/>
    <xf numFmtId="0" fontId="0" fillId="0" borderId="0" xfId="0" applyFill="1" applyBorder="1" applyProtection="1"/>
    <xf numFmtId="2" fontId="7" fillId="3" borderId="1" xfId="0" applyNumberFormat="1" applyFont="1" applyFill="1" applyBorder="1" applyProtection="1"/>
    <xf numFmtId="177" fontId="7" fillId="9" borderId="1" xfId="0" applyNumberFormat="1" applyFont="1" applyFill="1" applyBorder="1" applyProtection="1"/>
    <xf numFmtId="0" fontId="0" fillId="0" borderId="1" xfId="0" applyBorder="1" applyProtection="1">
      <protection locked="0"/>
    </xf>
    <xf numFmtId="2" fontId="0" fillId="0" borderId="0" xfId="0" applyNumberFormat="1"/>
    <xf numFmtId="177" fontId="0" fillId="0" borderId="0" xfId="0" applyNumberFormat="1"/>
    <xf numFmtId="0" fontId="0" fillId="0" borderId="0" xfId="0" applyAlignment="1">
      <alignment horizontal="center"/>
    </xf>
    <xf numFmtId="0" fontId="30" fillId="0" borderId="0" xfId="3" applyProtection="1">
      <protection locked="0"/>
    </xf>
    <xf numFmtId="0" fontId="5" fillId="0" borderId="0" xfId="0" applyFont="1" applyFill="1" applyAlignment="1">
      <alignment horizontal="left"/>
    </xf>
    <xf numFmtId="176" fontId="0" fillId="2" borderId="1" xfId="0" applyNumberFormat="1" applyFill="1" applyBorder="1" applyAlignment="1" applyProtection="1">
      <alignment horizontal="right"/>
      <protection locked="0"/>
    </xf>
    <xf numFmtId="0" fontId="1" fillId="9" borderId="1" xfId="0" applyFont="1" applyFill="1" applyBorder="1" applyAlignment="1">
      <alignment horizontal="center"/>
    </xf>
    <xf numFmtId="2" fontId="0" fillId="2" borderId="1" xfId="0" applyNumberFormat="1" applyFill="1" applyBorder="1" applyAlignment="1" applyProtection="1">
      <alignment horizontal="right"/>
      <protection locked="0"/>
    </xf>
    <xf numFmtId="0" fontId="0" fillId="0" borderId="1" xfId="0" applyBorder="1" applyAlignment="1">
      <alignment horizontal="left"/>
    </xf>
    <xf numFmtId="0" fontId="0" fillId="0" borderId="1" xfId="0" applyBorder="1" applyAlignment="1">
      <alignment horizontal="center"/>
    </xf>
    <xf numFmtId="177" fontId="0" fillId="3" borderId="1" xfId="0" applyNumberFormat="1" applyFill="1" applyBorder="1" applyAlignment="1">
      <alignment horizontal="right"/>
    </xf>
    <xf numFmtId="1" fontId="0" fillId="3" borderId="1" xfId="0" applyNumberFormat="1" applyFill="1" applyBorder="1" applyAlignment="1">
      <alignment horizontal="center"/>
    </xf>
    <xf numFmtId="2" fontId="0" fillId="3" borderId="1" xfId="0" applyNumberFormat="1" applyFill="1" applyBorder="1" applyAlignment="1">
      <alignment horizontal="right"/>
    </xf>
    <xf numFmtId="0" fontId="0" fillId="0" borderId="0" xfId="0" applyFill="1" applyAlignment="1">
      <alignment horizontal="right"/>
    </xf>
    <xf numFmtId="0" fontId="0" fillId="11" borderId="1" xfId="0" applyFill="1" applyBorder="1" applyAlignment="1" applyProtection="1">
      <alignment horizontal="right"/>
      <protection locked="0"/>
    </xf>
    <xf numFmtId="0" fontId="1" fillId="10" borderId="1" xfId="0" applyFont="1" applyFill="1" applyBorder="1" applyAlignment="1">
      <alignment horizontal="right"/>
    </xf>
    <xf numFmtId="176" fontId="19" fillId="3" borderId="1" xfId="0" applyNumberFormat="1" applyFont="1" applyFill="1" applyBorder="1" applyAlignment="1">
      <alignment horizontal="right"/>
    </xf>
    <xf numFmtId="2" fontId="52" fillId="3" borderId="1" xfId="0" applyNumberFormat="1" applyFont="1" applyFill="1" applyBorder="1" applyAlignment="1">
      <alignment horizontal="right"/>
    </xf>
    <xf numFmtId="2" fontId="19" fillId="3" borderId="1" xfId="0" applyNumberFormat="1" applyFont="1" applyFill="1" applyBorder="1" applyAlignment="1">
      <alignment horizontal="right"/>
    </xf>
    <xf numFmtId="1" fontId="1" fillId="10" borderId="1" xfId="0" applyNumberFormat="1" applyFont="1" applyFill="1" applyBorder="1" applyAlignment="1">
      <alignment horizontal="right"/>
    </xf>
    <xf numFmtId="2" fontId="1" fillId="10" borderId="1" xfId="0" applyNumberFormat="1" applyFont="1" applyFill="1" applyBorder="1" applyAlignment="1">
      <alignment horizontal="center"/>
    </xf>
    <xf numFmtId="0" fontId="1" fillId="9" borderId="0" xfId="0" applyFont="1" applyFill="1" applyBorder="1"/>
    <xf numFmtId="0" fontId="0" fillId="9" borderId="0" xfId="0" applyFill="1" applyAlignment="1">
      <alignment horizontal="center"/>
    </xf>
    <xf numFmtId="0" fontId="0" fillId="9" borderId="0" xfId="0" applyFill="1" applyBorder="1"/>
    <xf numFmtId="181" fontId="0" fillId="9" borderId="1" xfId="0" applyNumberFormat="1" applyFill="1" applyBorder="1" applyAlignment="1" applyProtection="1">
      <alignment horizontal="center"/>
      <protection locked="0"/>
    </xf>
    <xf numFmtId="0" fontId="0" fillId="9" borderId="0" xfId="0" applyFill="1" applyBorder="1" applyAlignment="1">
      <alignment horizontal="center"/>
    </xf>
    <xf numFmtId="0" fontId="19" fillId="9" borderId="0" xfId="0" applyFont="1" applyFill="1" applyBorder="1" applyAlignment="1">
      <alignment horizontal="left"/>
    </xf>
    <xf numFmtId="180" fontId="19" fillId="9" borderId="0" xfId="0" applyNumberFormat="1" applyFont="1" applyFill="1" applyBorder="1" applyAlignment="1">
      <alignment horizontal="left"/>
    </xf>
    <xf numFmtId="10" fontId="0" fillId="9" borderId="1" xfId="0" applyNumberFormat="1" applyFill="1" applyBorder="1" applyAlignment="1" applyProtection="1">
      <alignment horizontal="center"/>
      <protection locked="0"/>
    </xf>
    <xf numFmtId="48" fontId="19" fillId="9" borderId="0" xfId="0" applyNumberFormat="1" applyFont="1" applyFill="1" applyBorder="1" applyAlignment="1">
      <alignment horizontal="left"/>
    </xf>
    <xf numFmtId="0" fontId="5" fillId="0" borderId="0" xfId="0" applyFont="1" applyFill="1" applyBorder="1"/>
    <xf numFmtId="2" fontId="20" fillId="0" borderId="0" xfId="0" applyNumberFormat="1" applyFont="1" applyFill="1" applyBorder="1"/>
    <xf numFmtId="1" fontId="0" fillId="2" borderId="1" xfId="0" applyNumberFormat="1" applyFill="1" applyBorder="1" applyAlignment="1" applyProtection="1">
      <alignment horizontal="right"/>
      <protection locked="0"/>
    </xf>
    <xf numFmtId="1" fontId="0" fillId="9" borderId="1" xfId="0" applyNumberFormat="1" applyFill="1" applyBorder="1" applyAlignment="1" applyProtection="1">
      <alignment horizontal="right"/>
      <protection locked="0"/>
    </xf>
    <xf numFmtId="2" fontId="0" fillId="2" borderId="1" xfId="0" applyNumberFormat="1" applyFont="1" applyFill="1" applyBorder="1" applyAlignment="1">
      <alignment horizontal="right"/>
    </xf>
    <xf numFmtId="0" fontId="0" fillId="0" borderId="0" xfId="0" applyFont="1" applyAlignment="1">
      <alignment horizontal="left"/>
    </xf>
    <xf numFmtId="177" fontId="28" fillId="9" borderId="1" xfId="0" applyNumberFormat="1" applyFont="1" applyFill="1" applyBorder="1" applyAlignment="1">
      <alignment horizontal="center"/>
    </xf>
    <xf numFmtId="0" fontId="0" fillId="0" borderId="0" xfId="0" applyFont="1" applyAlignment="1">
      <alignment horizontal="center"/>
    </xf>
    <xf numFmtId="177" fontId="0" fillId="9" borderId="1" xfId="0" applyNumberFormat="1" applyFont="1" applyFill="1" applyBorder="1" applyAlignment="1">
      <alignment horizontal="center"/>
    </xf>
    <xf numFmtId="0" fontId="0" fillId="9" borderId="1" xfId="0" applyFont="1" applyFill="1" applyBorder="1" applyAlignment="1">
      <alignment horizontal="center"/>
    </xf>
    <xf numFmtId="180" fontId="21" fillId="0" borderId="0" xfId="0" applyNumberFormat="1" applyFont="1" applyFill="1" applyBorder="1" applyAlignment="1">
      <alignment horizontal="left"/>
    </xf>
    <xf numFmtId="2" fontId="1" fillId="3" borderId="1" xfId="0" applyNumberFormat="1" applyFont="1" applyFill="1" applyBorder="1" applyAlignment="1">
      <alignment horizontal="right"/>
    </xf>
    <xf numFmtId="0" fontId="7" fillId="0" borderId="0" xfId="0" applyFont="1" applyBorder="1"/>
    <xf numFmtId="0" fontId="95" fillId="0" borderId="0" xfId="0" applyFont="1" applyAlignment="1">
      <alignment horizontal="left"/>
    </xf>
    <xf numFmtId="0" fontId="52" fillId="0" borderId="0" xfId="0" applyFont="1" applyBorder="1"/>
    <xf numFmtId="0" fontId="52" fillId="9" borderId="11" xfId="0" applyNumberFormat="1" applyFont="1" applyFill="1" applyBorder="1" applyAlignment="1" applyProtection="1">
      <alignment horizontal="right"/>
      <protection locked="0"/>
    </xf>
    <xf numFmtId="0" fontId="26" fillId="0" borderId="0" xfId="0" applyFont="1" applyAlignment="1">
      <alignment horizontal="left"/>
    </xf>
    <xf numFmtId="0" fontId="52" fillId="9" borderId="11" xfId="0" applyNumberFormat="1" applyFont="1" applyFill="1" applyBorder="1"/>
    <xf numFmtId="0" fontId="19" fillId="0" borderId="0" xfId="0" applyFont="1" applyFill="1" applyBorder="1" applyAlignment="1">
      <alignment wrapText="1"/>
    </xf>
    <xf numFmtId="0" fontId="19" fillId="9" borderId="1" xfId="0" applyFont="1" applyFill="1" applyBorder="1" applyAlignment="1">
      <alignment horizontal="right"/>
    </xf>
    <xf numFmtId="0" fontId="19" fillId="9" borderId="1" xfId="0" applyFont="1" applyFill="1" applyBorder="1" applyAlignment="1">
      <alignment horizontal="center"/>
    </xf>
    <xf numFmtId="0" fontId="19" fillId="9" borderId="1" xfId="0" applyFont="1" applyFill="1" applyBorder="1"/>
    <xf numFmtId="2" fontId="19" fillId="9" borderId="7" xfId="0" applyNumberFormat="1" applyFont="1" applyFill="1" applyBorder="1"/>
    <xf numFmtId="0" fontId="19" fillId="9" borderId="7" xfId="0" applyFont="1" applyFill="1" applyBorder="1"/>
    <xf numFmtId="176" fontId="0" fillId="9" borderId="1" xfId="0" applyNumberFormat="1" applyFill="1" applyBorder="1" applyProtection="1">
      <protection locked="0"/>
    </xf>
    <xf numFmtId="1" fontId="0" fillId="9" borderId="1" xfId="0" applyNumberFormat="1" applyFill="1" applyBorder="1" applyProtection="1">
      <protection locked="0"/>
    </xf>
    <xf numFmtId="178" fontId="1" fillId="3" borderId="1" xfId="0" applyNumberFormat="1" applyFont="1" applyFill="1" applyBorder="1"/>
    <xf numFmtId="1" fontId="7" fillId="9" borderId="0" xfId="0" applyNumberFormat="1" applyFont="1" applyFill="1" applyBorder="1"/>
    <xf numFmtId="2" fontId="0" fillId="3" borderId="16" xfId="0" applyNumberFormat="1" applyFill="1" applyBorder="1" applyAlignment="1">
      <alignment horizontal="right"/>
    </xf>
    <xf numFmtId="0" fontId="0" fillId="0" borderId="0" xfId="0" applyFill="1" applyBorder="1" applyAlignment="1">
      <alignment horizontal="left"/>
    </xf>
    <xf numFmtId="2" fontId="0" fillId="0" borderId="0" xfId="0" applyNumberFormat="1" applyFill="1" applyBorder="1" applyAlignment="1">
      <alignment horizontal="center"/>
    </xf>
    <xf numFmtId="2" fontId="0" fillId="9" borderId="1" xfId="0" applyNumberFormat="1" applyFill="1" applyBorder="1" applyAlignment="1">
      <alignment horizontal="right"/>
    </xf>
    <xf numFmtId="0" fontId="19" fillId="0" borderId="1" xfId="0" applyFont="1" applyFill="1" applyBorder="1" applyAlignment="1">
      <alignment horizontal="left"/>
    </xf>
    <xf numFmtId="0" fontId="0" fillId="0" borderId="0" xfId="0" applyFill="1" applyProtection="1">
      <protection locked="0"/>
    </xf>
    <xf numFmtId="0" fontId="0" fillId="0" borderId="0" xfId="0" applyAlignment="1" applyProtection="1">
      <alignment horizontal="center"/>
      <protection locked="0"/>
    </xf>
    <xf numFmtId="180" fontId="0" fillId="0" borderId="0" xfId="0" applyNumberFormat="1" applyProtection="1">
      <protection locked="0"/>
    </xf>
    <xf numFmtId="0" fontId="19" fillId="2" borderId="1" xfId="0" applyFont="1" applyFill="1" applyBorder="1" applyAlignment="1" applyProtection="1">
      <alignment horizontal="left"/>
      <protection locked="0"/>
    </xf>
    <xf numFmtId="0" fontId="0" fillId="0" borderId="0" xfId="0" applyAlignment="1">
      <alignment horizontal="center"/>
    </xf>
    <xf numFmtId="0" fontId="0" fillId="0" borderId="0" xfId="0" applyAlignment="1">
      <alignment horizontal="center"/>
    </xf>
    <xf numFmtId="0" fontId="18" fillId="0" borderId="0" xfId="0" applyFont="1" applyBorder="1" applyAlignment="1">
      <alignment wrapText="1"/>
    </xf>
    <xf numFmtId="2" fontId="11" fillId="0" borderId="0" xfId="0" applyNumberFormat="1" applyFont="1" applyFill="1" applyBorder="1" applyAlignment="1">
      <alignment vertical="center"/>
    </xf>
    <xf numFmtId="0" fontId="11" fillId="0" borderId="0" xfId="0" applyFont="1" applyFill="1" applyBorder="1"/>
    <xf numFmtId="177" fontId="7" fillId="9" borderId="1" xfId="0" applyNumberFormat="1" applyFont="1" applyFill="1" applyBorder="1" applyProtection="1">
      <protection locked="0"/>
    </xf>
    <xf numFmtId="178" fontId="7" fillId="9" borderId="1" xfId="0" applyNumberFormat="1" applyFont="1" applyFill="1" applyBorder="1"/>
    <xf numFmtId="2" fontId="0" fillId="9" borderId="1" xfId="0" applyNumberFormat="1" applyFill="1" applyBorder="1"/>
    <xf numFmtId="1" fontId="0" fillId="9" borderId="1" xfId="0" applyNumberFormat="1" applyFill="1" applyBorder="1"/>
    <xf numFmtId="177" fontId="7" fillId="9" borderId="1" xfId="0" applyNumberFormat="1" applyFont="1" applyFill="1" applyBorder="1"/>
    <xf numFmtId="0" fontId="7" fillId="0" borderId="0" xfId="0" applyFont="1" applyFill="1" applyBorder="1"/>
    <xf numFmtId="0" fontId="0" fillId="0" borderId="0" xfId="0" applyBorder="1" applyAlignment="1">
      <alignment wrapText="1"/>
    </xf>
    <xf numFmtId="0" fontId="37" fillId="0" borderId="0" xfId="0" applyFont="1" applyFill="1" applyBorder="1" applyAlignment="1">
      <alignment vertical="center" wrapText="1"/>
    </xf>
    <xf numFmtId="0" fontId="0" fillId="2" borderId="1" xfId="0" applyFill="1" applyBorder="1" applyAlignment="1" applyProtection="1">
      <alignment horizontal="center"/>
      <protection locked="0"/>
    </xf>
    <xf numFmtId="0" fontId="0" fillId="0" borderId="0" xfId="0" applyAlignment="1">
      <alignment horizontal="center"/>
    </xf>
    <xf numFmtId="177" fontId="0" fillId="9" borderId="1" xfId="0" applyNumberFormat="1" applyFill="1" applyBorder="1" applyProtection="1">
      <protection locked="0"/>
    </xf>
    <xf numFmtId="0" fontId="97" fillId="0" borderId="0" xfId="0" applyFont="1" applyProtection="1"/>
    <xf numFmtId="0" fontId="0" fillId="7" borderId="17" xfId="0" applyFill="1" applyBorder="1" applyProtection="1">
      <protection locked="0"/>
    </xf>
    <xf numFmtId="0" fontId="0" fillId="7" borderId="17" xfId="0" applyFill="1" applyBorder="1" applyAlignment="1" applyProtection="1">
      <alignment horizontal="center"/>
      <protection locked="0"/>
    </xf>
    <xf numFmtId="0" fontId="5" fillId="0" borderId="17" xfId="0" applyFont="1" applyFill="1" applyBorder="1" applyProtection="1">
      <protection locked="0"/>
    </xf>
    <xf numFmtId="0" fontId="0" fillId="0" borderId="17" xfId="0" applyFill="1" applyBorder="1" applyProtection="1">
      <protection locked="0"/>
    </xf>
    <xf numFmtId="0" fontId="0" fillId="0" borderId="17" xfId="0" applyBorder="1" applyAlignment="1" applyProtection="1">
      <alignment horizontal="right"/>
      <protection locked="0"/>
    </xf>
    <xf numFmtId="0" fontId="0" fillId="0" borderId="17" xfId="0" applyBorder="1" applyAlignment="1" applyProtection="1">
      <protection locked="0"/>
    </xf>
    <xf numFmtId="0" fontId="0" fillId="0" borderId="17" xfId="0" applyBorder="1" applyProtection="1">
      <protection locked="0"/>
    </xf>
    <xf numFmtId="2" fontId="0" fillId="0" borderId="17" xfId="0" applyNumberFormat="1" applyBorder="1" applyAlignment="1" applyProtection="1">
      <alignment horizontal="right"/>
      <protection locked="0"/>
    </xf>
    <xf numFmtId="0" fontId="1" fillId="9" borderId="17" xfId="0" applyFont="1" applyFill="1" applyBorder="1" applyProtection="1">
      <protection locked="0"/>
    </xf>
    <xf numFmtId="0" fontId="1" fillId="9" borderId="17" xfId="0" applyFont="1" applyFill="1" applyBorder="1" applyAlignment="1" applyProtection="1">
      <alignment horizontal="right"/>
      <protection locked="0"/>
    </xf>
    <xf numFmtId="0" fontId="0" fillId="9" borderId="17" xfId="0" applyFill="1" applyBorder="1" applyProtection="1">
      <protection locked="0"/>
    </xf>
    <xf numFmtId="0" fontId="0" fillId="9" borderId="17" xfId="0" applyFill="1" applyBorder="1" applyAlignment="1" applyProtection="1">
      <alignment horizontal="right"/>
      <protection locked="0"/>
    </xf>
    <xf numFmtId="0" fontId="0" fillId="9" borderId="17" xfId="0" applyFill="1" applyBorder="1" applyAlignment="1" applyProtection="1">
      <protection locked="0"/>
    </xf>
    <xf numFmtId="176" fontId="11" fillId="3" borderId="1" xfId="0" applyNumberFormat="1" applyFont="1" applyFill="1" applyBorder="1" applyAlignment="1">
      <alignment vertical="center"/>
    </xf>
    <xf numFmtId="1" fontId="5" fillId="3" borderId="1" xfId="0" applyNumberFormat="1" applyFont="1" applyFill="1" applyBorder="1" applyAlignment="1" applyProtection="1">
      <alignment vertical="center"/>
    </xf>
    <xf numFmtId="1" fontId="7" fillId="3" borderId="1" xfId="0" applyNumberFormat="1" applyFont="1" applyFill="1" applyBorder="1" applyProtection="1">
      <protection locked="0"/>
    </xf>
    <xf numFmtId="0" fontId="8" fillId="0" borderId="0" xfId="0" applyFont="1" applyFill="1" applyBorder="1"/>
    <xf numFmtId="0" fontId="0" fillId="0" borderId="0" xfId="0" applyFont="1" applyFill="1"/>
    <xf numFmtId="0" fontId="29" fillId="0" borderId="0" xfId="0" applyFont="1" applyFill="1"/>
    <xf numFmtId="0" fontId="38" fillId="9" borderId="1" xfId="0" applyFont="1" applyFill="1" applyBorder="1"/>
    <xf numFmtId="2" fontId="0" fillId="9" borderId="16" xfId="0" applyNumberFormat="1" applyFill="1" applyBorder="1" applyAlignment="1" applyProtection="1">
      <alignment horizontal="right"/>
      <protection locked="0"/>
    </xf>
    <xf numFmtId="0" fontId="0" fillId="9" borderId="1" xfId="0" applyFill="1" applyBorder="1" applyAlignment="1">
      <alignment horizontal="left"/>
    </xf>
    <xf numFmtId="2" fontId="25" fillId="9" borderId="1" xfId="0" applyNumberFormat="1" applyFont="1" applyFill="1" applyBorder="1"/>
    <xf numFmtId="0" fontId="18" fillId="0" borderId="0" xfId="0" applyFont="1" applyFill="1" applyBorder="1" applyProtection="1">
      <protection locked="0"/>
    </xf>
    <xf numFmtId="0" fontId="7" fillId="0" borderId="16" xfId="0" applyFont="1" applyBorder="1"/>
    <xf numFmtId="177" fontId="11" fillId="0" borderId="0" xfId="0" applyNumberFormat="1" applyFont="1" applyFill="1" applyBorder="1"/>
    <xf numFmtId="2" fontId="37" fillId="0" borderId="0" xfId="0" applyNumberFormat="1" applyFont="1" applyFill="1" applyBorder="1"/>
    <xf numFmtId="0" fontId="18" fillId="0" borderId="0" xfId="0" applyFont="1" applyFill="1" applyBorder="1" applyAlignment="1">
      <alignment wrapText="1"/>
    </xf>
    <xf numFmtId="0" fontId="21" fillId="0" borderId="0" xfId="0" applyFont="1" applyFill="1" applyBorder="1"/>
    <xf numFmtId="178" fontId="37" fillId="9" borderId="0" xfId="0" applyNumberFormat="1" applyFont="1" applyFill="1" applyBorder="1"/>
    <xf numFmtId="0" fontId="1" fillId="3" borderId="1" xfId="0" applyFont="1" applyFill="1" applyBorder="1" applyAlignment="1">
      <alignment horizontal="center"/>
    </xf>
    <xf numFmtId="178" fontId="37" fillId="9" borderId="1" xfId="0" applyNumberFormat="1" applyFont="1" applyFill="1" applyBorder="1"/>
    <xf numFmtId="1" fontId="11" fillId="3" borderId="1" xfId="0" applyNumberFormat="1" applyFont="1" applyFill="1" applyBorder="1" applyAlignment="1">
      <alignment vertical="center"/>
    </xf>
    <xf numFmtId="177" fontId="18" fillId="9" borderId="1" xfId="0" applyNumberFormat="1" applyFont="1" applyFill="1" applyBorder="1"/>
    <xf numFmtId="2" fontId="37" fillId="9" borderId="1" xfId="0" applyNumberFormat="1" applyFont="1" applyFill="1" applyBorder="1" applyAlignment="1">
      <alignment vertical="center"/>
    </xf>
    <xf numFmtId="176" fontId="37" fillId="9" borderId="1" xfId="0" applyNumberFormat="1" applyFont="1" applyFill="1" applyBorder="1" applyAlignment="1">
      <alignment vertical="center"/>
    </xf>
    <xf numFmtId="178" fontId="37" fillId="3" borderId="1" xfId="0" applyNumberFormat="1" applyFont="1" applyFill="1" applyBorder="1"/>
    <xf numFmtId="0" fontId="38" fillId="0" borderId="0" xfId="0" applyFont="1"/>
    <xf numFmtId="177" fontId="38" fillId="9" borderId="1" xfId="0" applyNumberFormat="1" applyFont="1" applyFill="1" applyBorder="1" applyProtection="1">
      <protection locked="0"/>
    </xf>
    <xf numFmtId="2" fontId="38" fillId="9" borderId="1" xfId="0" applyNumberFormat="1" applyFont="1" applyFill="1" applyBorder="1" applyProtection="1">
      <protection locked="0"/>
    </xf>
    <xf numFmtId="0" fontId="37" fillId="3" borderId="1" xfId="0" applyNumberFormat="1" applyFont="1" applyFill="1" applyBorder="1"/>
    <xf numFmtId="0" fontId="0" fillId="0" borderId="0" xfId="0" applyAlignment="1">
      <alignment vertical="center"/>
    </xf>
    <xf numFmtId="0" fontId="0" fillId="0" borderId="0" xfId="0" quotePrefix="1"/>
    <xf numFmtId="177" fontId="18" fillId="3" borderId="1" xfId="0" applyNumberFormat="1" applyFont="1" applyFill="1" applyBorder="1"/>
    <xf numFmtId="0" fontId="7" fillId="3" borderId="1" xfId="0" applyNumberFormat="1" applyFont="1" applyFill="1" applyBorder="1"/>
    <xf numFmtId="0" fontId="37" fillId="3" borderId="1" xfId="0" applyNumberFormat="1" applyFont="1" applyFill="1" applyBorder="1" applyAlignment="1">
      <alignment horizontal="right"/>
    </xf>
    <xf numFmtId="0" fontId="101" fillId="9" borderId="16" xfId="0" applyFont="1" applyFill="1" applyBorder="1" applyAlignment="1" applyProtection="1">
      <alignment horizontal="center"/>
      <protection locked="0"/>
    </xf>
    <xf numFmtId="0" fontId="20" fillId="9" borderId="1" xfId="0" applyFont="1" applyFill="1" applyBorder="1"/>
    <xf numFmtId="0" fontId="25" fillId="9" borderId="1" xfId="0" applyFont="1" applyFill="1" applyBorder="1"/>
    <xf numFmtId="0" fontId="19" fillId="9" borderId="16" xfId="0" applyFont="1" applyFill="1" applyBorder="1" applyProtection="1"/>
    <xf numFmtId="0" fontId="19" fillId="9" borderId="1" xfId="0" applyFont="1" applyFill="1" applyBorder="1" applyProtection="1"/>
    <xf numFmtId="0" fontId="19" fillId="9" borderId="12" xfId="0" applyFont="1" applyFill="1" applyBorder="1" applyProtection="1"/>
    <xf numFmtId="0" fontId="1" fillId="9" borderId="16" xfId="0" applyFont="1" applyFill="1" applyBorder="1" applyAlignment="1" applyProtection="1">
      <alignment horizontal="center"/>
    </xf>
    <xf numFmtId="0" fontId="1" fillId="2" borderId="16" xfId="0" applyFont="1" applyFill="1" applyBorder="1" applyAlignment="1" applyProtection="1">
      <alignment horizontal="center"/>
      <protection locked="0"/>
    </xf>
    <xf numFmtId="0" fontId="10" fillId="0" borderId="0"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1" fillId="0" borderId="16" xfId="0" applyFont="1" applyBorder="1"/>
    <xf numFmtId="0" fontId="10" fillId="9" borderId="16" xfId="0" applyFont="1" applyFill="1" applyBorder="1" applyAlignment="1" applyProtection="1">
      <alignment horizontal="center"/>
    </xf>
    <xf numFmtId="176" fontId="11" fillId="3" borderId="1" xfId="0" applyNumberFormat="1" applyFont="1" applyFill="1" applyBorder="1" applyProtection="1"/>
    <xf numFmtId="176" fontId="18" fillId="9" borderId="1" xfId="0" applyNumberFormat="1" applyFont="1" applyFill="1" applyBorder="1"/>
    <xf numFmtId="176" fontId="11" fillId="9" borderId="1" xfId="0" applyNumberFormat="1" applyFont="1" applyFill="1" applyBorder="1" applyProtection="1"/>
    <xf numFmtId="0" fontId="7" fillId="9" borderId="1" xfId="0" applyNumberFormat="1" applyFont="1" applyFill="1" applyBorder="1" applyProtection="1"/>
    <xf numFmtId="2" fontId="5" fillId="3" borderId="1" xfId="0" applyNumberFormat="1" applyFont="1" applyFill="1" applyBorder="1" applyAlignment="1" applyProtection="1">
      <alignment vertical="center"/>
    </xf>
    <xf numFmtId="0" fontId="11" fillId="0" borderId="0" xfId="0" applyFont="1"/>
    <xf numFmtId="0" fontId="0" fillId="0" borderId="0" xfId="0" applyFont="1" applyBorder="1" applyAlignment="1">
      <alignment wrapText="1"/>
    </xf>
    <xf numFmtId="0" fontId="7" fillId="0" borderId="0" xfId="0" applyFont="1" applyFill="1" applyBorder="1" applyAlignment="1">
      <alignment vertical="center" wrapText="1"/>
    </xf>
    <xf numFmtId="2" fontId="18" fillId="3" borderId="1" xfId="0" applyNumberFormat="1" applyFont="1" applyFill="1" applyBorder="1" applyProtection="1"/>
    <xf numFmtId="2" fontId="37" fillId="3" borderId="1" xfId="0" applyNumberFormat="1" applyFont="1" applyFill="1" applyBorder="1"/>
    <xf numFmtId="178" fontId="0" fillId="9" borderId="0" xfId="0" applyNumberFormat="1" applyFill="1"/>
    <xf numFmtId="0" fontId="1" fillId="9" borderId="0" xfId="0" applyFont="1" applyFill="1"/>
    <xf numFmtId="2" fontId="0" fillId="9" borderId="0" xfId="0" applyNumberFormat="1" applyFill="1"/>
    <xf numFmtId="2" fontId="7" fillId="3" borderId="1" xfId="0" applyNumberFormat="1" applyFont="1" applyFill="1" applyBorder="1"/>
    <xf numFmtId="1" fontId="11" fillId="9" borderId="1" xfId="0" applyNumberFormat="1" applyFont="1" applyFill="1" applyBorder="1"/>
    <xf numFmtId="176" fontId="11" fillId="3" borderId="1" xfId="0" applyNumberFormat="1" applyFont="1" applyFill="1" applyBorder="1"/>
    <xf numFmtId="0" fontId="0" fillId="0" borderId="18" xfId="0" applyBorder="1" applyProtection="1">
      <protection locked="0"/>
    </xf>
    <xf numFmtId="0" fontId="102" fillId="0" borderId="0" xfId="0" applyFont="1"/>
    <xf numFmtId="0" fontId="103" fillId="0" borderId="0" xfId="0" applyFont="1" applyFill="1" applyBorder="1"/>
    <xf numFmtId="0" fontId="104" fillId="9" borderId="1" xfId="0" applyNumberFormat="1" applyFont="1" applyFill="1" applyBorder="1" applyAlignment="1">
      <alignment horizontal="right"/>
    </xf>
    <xf numFmtId="0" fontId="104" fillId="0" borderId="0" xfId="0" applyNumberFormat="1" applyFont="1" applyFill="1" applyBorder="1" applyAlignment="1">
      <alignment horizontal="right"/>
    </xf>
    <xf numFmtId="182" fontId="52" fillId="9" borderId="0" xfId="0" applyNumberFormat="1" applyFont="1" applyFill="1" applyBorder="1" applyAlignment="1">
      <alignment horizontal="right"/>
    </xf>
    <xf numFmtId="2" fontId="52" fillId="9" borderId="0" xfId="0" applyNumberFormat="1" applyFont="1" applyFill="1" applyBorder="1" applyAlignment="1">
      <alignment horizontal="right"/>
    </xf>
    <xf numFmtId="0" fontId="52" fillId="9" borderId="0" xfId="0" applyNumberFormat="1" applyFont="1" applyFill="1" applyBorder="1" applyAlignment="1">
      <alignment horizontal="right"/>
    </xf>
    <xf numFmtId="2" fontId="52" fillId="9" borderId="1" xfId="0" applyNumberFormat="1" applyFont="1" applyFill="1" applyBorder="1"/>
    <xf numFmtId="176" fontId="52" fillId="9" borderId="1" xfId="0" applyNumberFormat="1" applyFont="1" applyFill="1" applyBorder="1" applyProtection="1"/>
    <xf numFmtId="177" fontId="52" fillId="9" borderId="1" xfId="0" applyNumberFormat="1" applyFont="1" applyFill="1" applyBorder="1" applyProtection="1"/>
    <xf numFmtId="0" fontId="52" fillId="9" borderId="1" xfId="0" applyNumberFormat="1" applyFont="1" applyFill="1" applyBorder="1" applyProtection="1"/>
    <xf numFmtId="0" fontId="105" fillId="0" borderId="0" xfId="0" applyFont="1" applyBorder="1"/>
    <xf numFmtId="0" fontId="52" fillId="0" borderId="0" xfId="0" applyNumberFormat="1" applyFont="1" applyFill="1" applyBorder="1" applyAlignment="1">
      <alignment horizontal="right"/>
    </xf>
    <xf numFmtId="178" fontId="52" fillId="9" borderId="0" xfId="0" applyNumberFormat="1" applyFont="1" applyFill="1" applyBorder="1" applyAlignment="1">
      <alignment horizontal="right"/>
    </xf>
    <xf numFmtId="0" fontId="7" fillId="3" borderId="1" xfId="0" applyNumberFormat="1" applyFont="1" applyFill="1" applyBorder="1" applyAlignment="1">
      <alignment horizontal="right"/>
    </xf>
    <xf numFmtId="2" fontId="37" fillId="0" borderId="0" xfId="0" applyNumberFormat="1" applyFont="1" applyFill="1" applyBorder="1" applyProtection="1">
      <protection locked="0"/>
    </xf>
    <xf numFmtId="0" fontId="54" fillId="0" borderId="0" xfId="0" applyFont="1"/>
    <xf numFmtId="177" fontId="54" fillId="0" borderId="0" xfId="0" applyNumberFormat="1" applyFont="1"/>
    <xf numFmtId="0" fontId="52" fillId="0" borderId="0" xfId="0" applyFont="1" applyBorder="1" applyAlignment="1">
      <alignment wrapText="1"/>
    </xf>
    <xf numFmtId="177" fontId="52" fillId="9" borderId="1" xfId="0" applyNumberFormat="1" applyFont="1" applyFill="1" applyBorder="1" applyAlignment="1">
      <alignment horizontal="right"/>
    </xf>
    <xf numFmtId="178" fontId="52" fillId="9" borderId="1" xfId="0" applyNumberFormat="1" applyFont="1" applyFill="1" applyBorder="1" applyAlignment="1">
      <alignment horizontal="right"/>
    </xf>
    <xf numFmtId="0" fontId="52" fillId="9" borderId="1" xfId="0" applyNumberFormat="1" applyFont="1" applyFill="1" applyBorder="1" applyAlignment="1">
      <alignment horizontal="right"/>
    </xf>
    <xf numFmtId="1" fontId="7" fillId="3" borderId="1" xfId="0" applyNumberFormat="1" applyFont="1" applyFill="1" applyBorder="1" applyAlignment="1">
      <alignment horizontal="right"/>
    </xf>
    <xf numFmtId="0" fontId="52" fillId="0" borderId="0" xfId="0" applyFont="1" applyFill="1" applyBorder="1"/>
    <xf numFmtId="0" fontId="102" fillId="0" borderId="0" xfId="0" applyFont="1" applyBorder="1"/>
    <xf numFmtId="177" fontId="7" fillId="9" borderId="0" xfId="0" applyNumberFormat="1" applyFont="1" applyFill="1" applyBorder="1"/>
    <xf numFmtId="176" fontId="52" fillId="9" borderId="1" xfId="0" applyNumberFormat="1" applyFont="1" applyFill="1" applyBorder="1" applyAlignment="1">
      <alignment horizontal="right"/>
    </xf>
    <xf numFmtId="0" fontId="52" fillId="2" borderId="1" xfId="0" applyNumberFormat="1" applyFont="1" applyFill="1" applyBorder="1" applyAlignment="1" applyProtection="1">
      <alignment horizontal="right"/>
      <protection locked="0"/>
    </xf>
    <xf numFmtId="2" fontId="19" fillId="3" borderId="1" xfId="0" applyNumberFormat="1" applyFont="1" applyFill="1" applyBorder="1" applyProtection="1"/>
    <xf numFmtId="2" fontId="0" fillId="3" borderId="1" xfId="0" applyNumberFormat="1" applyFont="1" applyFill="1" applyBorder="1" applyAlignment="1" applyProtection="1">
      <alignment horizontal="right"/>
    </xf>
    <xf numFmtId="1" fontId="7" fillId="9" borderId="1" xfId="0" applyNumberFormat="1" applyFont="1" applyFill="1" applyBorder="1" applyProtection="1"/>
    <xf numFmtId="2" fontId="52" fillId="3" borderId="1" xfId="0" applyNumberFormat="1" applyFont="1" applyFill="1" applyBorder="1" applyProtection="1"/>
    <xf numFmtId="0" fontId="19" fillId="9" borderId="0" xfId="0" applyFont="1" applyFill="1" applyBorder="1" applyProtection="1">
      <protection locked="0"/>
    </xf>
    <xf numFmtId="2" fontId="52" fillId="9" borderId="1" xfId="0" applyNumberFormat="1" applyFont="1" applyFill="1" applyBorder="1" applyProtection="1">
      <protection locked="0"/>
    </xf>
    <xf numFmtId="0" fontId="19" fillId="9" borderId="0" xfId="0" applyFont="1" applyFill="1" applyBorder="1" applyProtection="1"/>
    <xf numFmtId="0" fontId="53" fillId="9" borderId="0" xfId="0" applyFont="1" applyFill="1"/>
    <xf numFmtId="2" fontId="52" fillId="9" borderId="0" xfId="0" applyNumberFormat="1" applyFont="1" applyFill="1" applyBorder="1" applyProtection="1">
      <protection locked="0"/>
    </xf>
    <xf numFmtId="182" fontId="0" fillId="9" borderId="1" xfId="0" applyNumberFormat="1" applyFill="1" applyBorder="1"/>
    <xf numFmtId="178" fontId="52" fillId="9" borderId="1" xfId="0" applyNumberFormat="1" applyFont="1" applyFill="1" applyBorder="1" applyAlignment="1" applyProtection="1">
      <alignment horizontal="right"/>
      <protection locked="0"/>
    </xf>
    <xf numFmtId="0" fontId="0" fillId="0" borderId="0" xfId="0" applyAlignment="1">
      <alignment wrapText="1"/>
    </xf>
    <xf numFmtId="0" fontId="0" fillId="0" borderId="0" xfId="0" applyAlignment="1">
      <alignment vertical="center" wrapText="1"/>
    </xf>
    <xf numFmtId="0" fontId="7" fillId="9" borderId="1" xfId="0" applyFont="1" applyFill="1" applyBorder="1" applyProtection="1">
      <protection locked="0"/>
    </xf>
    <xf numFmtId="11" fontId="7" fillId="9" borderId="0" xfId="0" applyNumberFormat="1" applyFont="1" applyFill="1" applyProtection="1"/>
    <xf numFmtId="0" fontId="7" fillId="9" borderId="0" xfId="0" applyNumberFormat="1" applyFont="1" applyFill="1" applyProtection="1"/>
    <xf numFmtId="177" fontId="7" fillId="9" borderId="0" xfId="0" applyNumberFormat="1" applyFont="1" applyFill="1" applyProtection="1"/>
    <xf numFmtId="2" fontId="7" fillId="9" borderId="0" xfId="0" applyNumberFormat="1" applyFont="1" applyFill="1" applyProtection="1"/>
    <xf numFmtId="178" fontId="7" fillId="9" borderId="0" xfId="0" applyNumberFormat="1" applyFont="1" applyFill="1" applyProtection="1"/>
    <xf numFmtId="0" fontId="10" fillId="9" borderId="0" xfId="0" applyFont="1" applyFill="1" applyProtection="1"/>
    <xf numFmtId="0" fontId="7" fillId="0" borderId="1" xfId="1" applyFont="1" applyFill="1" applyBorder="1"/>
    <xf numFmtId="0" fontId="7" fillId="2" borderId="1" xfId="1" applyFont="1" applyFill="1" applyBorder="1" applyProtection="1">
      <protection locked="0"/>
    </xf>
    <xf numFmtId="0" fontId="15" fillId="0" borderId="1" xfId="1" applyFill="1" applyBorder="1"/>
    <xf numFmtId="0" fontId="7" fillId="2" borderId="1" xfId="1" applyNumberFormat="1" applyFont="1" applyFill="1" applyBorder="1" applyProtection="1">
      <protection locked="0"/>
    </xf>
    <xf numFmtId="0" fontId="10" fillId="0" borderId="0" xfId="1" applyFont="1" applyFill="1" applyBorder="1"/>
    <xf numFmtId="0" fontId="7" fillId="0" borderId="0" xfId="1" applyFont="1" applyFill="1" applyBorder="1"/>
    <xf numFmtId="0" fontId="15" fillId="0" borderId="0" xfId="1" applyFill="1" applyBorder="1"/>
    <xf numFmtId="0" fontId="10" fillId="0" borderId="19" xfId="4" applyFont="1" applyFill="1" applyBorder="1"/>
    <xf numFmtId="177" fontId="7" fillId="9" borderId="1" xfId="1" applyNumberFormat="1" applyFont="1" applyFill="1" applyBorder="1"/>
    <xf numFmtId="0" fontId="10" fillId="0" borderId="20" xfId="4" applyFont="1" applyFill="1" applyBorder="1"/>
    <xf numFmtId="0" fontId="72" fillId="0" borderId="11" xfId="0" applyFont="1" applyBorder="1" applyProtection="1"/>
    <xf numFmtId="0" fontId="0" fillId="0" borderId="1" xfId="0" applyFill="1" applyBorder="1"/>
    <xf numFmtId="0" fontId="0" fillId="0" borderId="0" xfId="0" applyAlignment="1">
      <alignment horizontal="center"/>
    </xf>
    <xf numFmtId="2" fontId="7" fillId="2" borderId="1" xfId="1" applyNumberFormat="1" applyFont="1" applyFill="1" applyBorder="1" applyAlignment="1" applyProtection="1">
      <alignment horizontal="right"/>
      <protection locked="0"/>
    </xf>
    <xf numFmtId="1" fontId="7" fillId="2" borderId="1" xfId="1" applyNumberFormat="1" applyFont="1" applyFill="1" applyBorder="1" applyAlignment="1" applyProtection="1">
      <alignment horizontal="right"/>
      <protection locked="0"/>
    </xf>
    <xf numFmtId="0" fontId="7" fillId="9" borderId="0" xfId="1" applyFont="1" applyFill="1" applyBorder="1" applyAlignment="1" applyProtection="1">
      <alignment horizontal="right"/>
    </xf>
    <xf numFmtId="176" fontId="7" fillId="2" borderId="1" xfId="1" applyNumberFormat="1" applyFont="1" applyFill="1" applyBorder="1" applyAlignment="1" applyProtection="1">
      <alignment horizontal="right"/>
      <protection locked="0"/>
    </xf>
    <xf numFmtId="0" fontId="0" fillId="7" borderId="11" xfId="0" applyFill="1" applyBorder="1"/>
    <xf numFmtId="1" fontId="7" fillId="7" borderId="0" xfId="1" applyNumberFormat="1" applyFont="1" applyFill="1" applyBorder="1" applyAlignment="1" applyProtection="1">
      <alignment horizontal="right"/>
      <protection locked="0"/>
    </xf>
    <xf numFmtId="0" fontId="39" fillId="0" borderId="0" xfId="0" applyFont="1" applyFill="1" applyBorder="1" applyAlignment="1">
      <alignment horizontal="left"/>
    </xf>
    <xf numFmtId="0" fontId="19" fillId="0" borderId="0" xfId="0" applyFont="1" applyFill="1" applyBorder="1" applyAlignment="1" applyProtection="1">
      <alignment horizontal="left" vertical="center"/>
    </xf>
    <xf numFmtId="0" fontId="19" fillId="0" borderId="0" xfId="0" applyFont="1" applyBorder="1"/>
    <xf numFmtId="0" fontId="107" fillId="9" borderId="0" xfId="0" applyFont="1" applyFill="1" applyBorder="1" applyAlignment="1">
      <alignment horizontal="left"/>
    </xf>
    <xf numFmtId="2" fontId="52" fillId="9" borderId="1" xfId="1" applyNumberFormat="1" applyFont="1" applyFill="1" applyBorder="1" applyAlignment="1" applyProtection="1">
      <alignment horizontal="right"/>
    </xf>
    <xf numFmtId="177" fontId="52" fillId="9" borderId="1" xfId="1" applyNumberFormat="1" applyFont="1" applyFill="1" applyBorder="1" applyAlignment="1" applyProtection="1">
      <alignment horizontal="right"/>
    </xf>
    <xf numFmtId="177" fontId="7" fillId="9" borderId="1" xfId="1" applyNumberFormat="1" applyFont="1" applyFill="1" applyBorder="1" applyAlignment="1" applyProtection="1">
      <alignment horizontal="right"/>
    </xf>
    <xf numFmtId="0" fontId="0" fillId="0" borderId="0" xfId="0" applyAlignment="1">
      <alignment horizontal="left"/>
    </xf>
    <xf numFmtId="0" fontId="39" fillId="9" borderId="0" xfId="0" applyFont="1" applyFill="1" applyBorder="1" applyAlignment="1">
      <alignment horizontal="left"/>
    </xf>
    <xf numFmtId="177" fontId="0" fillId="9" borderId="1" xfId="0" applyNumberFormat="1" applyFont="1" applyFill="1" applyBorder="1" applyAlignment="1" applyProtection="1">
      <alignment horizontal="right"/>
      <protection locked="0"/>
    </xf>
    <xf numFmtId="177" fontId="0" fillId="9" borderId="1" xfId="0" applyNumberFormat="1" applyFont="1" applyFill="1" applyBorder="1" applyAlignment="1" applyProtection="1">
      <alignment horizontal="right"/>
    </xf>
    <xf numFmtId="0" fontId="19" fillId="9" borderId="0" xfId="0" applyFont="1" applyFill="1" applyBorder="1"/>
    <xf numFmtId="0" fontId="19" fillId="0" borderId="0" xfId="0" applyFont="1" applyFill="1" applyBorder="1" applyAlignment="1" applyProtection="1">
      <alignment horizontal="left"/>
    </xf>
    <xf numFmtId="177" fontId="7" fillId="2" borderId="1" xfId="1" applyNumberFormat="1" applyFont="1" applyFill="1" applyBorder="1" applyAlignment="1" applyProtection="1">
      <alignment horizontal="right"/>
      <protection locked="0"/>
    </xf>
    <xf numFmtId="0" fontId="0" fillId="0" borderId="0" xfId="0" applyFill="1" applyBorder="1" applyAlignment="1">
      <alignment vertical="center"/>
    </xf>
    <xf numFmtId="1" fontId="52" fillId="9" borderId="1" xfId="1" applyNumberFormat="1" applyFont="1" applyFill="1" applyBorder="1" applyAlignment="1" applyProtection="1">
      <alignment horizontal="right"/>
    </xf>
    <xf numFmtId="0" fontId="21" fillId="0" borderId="0" xfId="0" applyFont="1" applyFill="1" applyBorder="1" applyAlignment="1" applyProtection="1">
      <alignment horizontal="left"/>
    </xf>
    <xf numFmtId="1" fontId="7" fillId="2" borderId="16" xfId="1" applyNumberFormat="1" applyFont="1" applyFill="1" applyBorder="1" applyAlignment="1" applyProtection="1">
      <alignment horizontal="right"/>
      <protection locked="0"/>
    </xf>
    <xf numFmtId="178" fontId="52" fillId="9" borderId="1" xfId="1" applyNumberFormat="1" applyFont="1" applyFill="1" applyBorder="1" applyAlignment="1" applyProtection="1">
      <alignment horizontal="right"/>
    </xf>
    <xf numFmtId="0" fontId="21" fillId="0" borderId="0" xfId="0" applyFont="1" applyFill="1" applyBorder="1" applyAlignment="1" applyProtection="1">
      <alignment horizontal="left" vertical="center"/>
    </xf>
    <xf numFmtId="176" fontId="52" fillId="9" borderId="1" xfId="1" applyNumberFormat="1" applyFont="1" applyFill="1" applyBorder="1" applyAlignment="1" applyProtection="1">
      <alignment horizontal="right"/>
    </xf>
    <xf numFmtId="177" fontId="19" fillId="9" borderId="1" xfId="1" applyNumberFormat="1" applyFont="1" applyFill="1" applyBorder="1" applyAlignment="1" applyProtection="1">
      <alignment horizontal="right"/>
    </xf>
    <xf numFmtId="176" fontId="108" fillId="9" borderId="1" xfId="1" applyNumberFormat="1" applyFont="1" applyFill="1" applyBorder="1" applyAlignment="1" applyProtection="1">
      <alignment horizontal="right"/>
    </xf>
    <xf numFmtId="11" fontId="19" fillId="9" borderId="1" xfId="1" applyNumberFormat="1" applyFont="1" applyFill="1" applyBorder="1" applyAlignment="1" applyProtection="1">
      <alignment horizontal="right"/>
    </xf>
    <xf numFmtId="1" fontId="104" fillId="9" borderId="1" xfId="1" applyNumberFormat="1" applyFont="1" applyFill="1" applyBorder="1" applyAlignment="1" applyProtection="1">
      <alignment horizontal="right"/>
    </xf>
    <xf numFmtId="0" fontId="19" fillId="9" borderId="0" xfId="0" applyFont="1" applyFill="1"/>
    <xf numFmtId="0" fontId="25" fillId="0" borderId="0" xfId="0" applyFont="1" applyFill="1" applyBorder="1"/>
    <xf numFmtId="176" fontId="0" fillId="9" borderId="0" xfId="0" applyNumberFormat="1" applyFill="1"/>
    <xf numFmtId="1" fontId="0" fillId="3" borderId="1" xfId="0" applyNumberFormat="1" applyFill="1" applyBorder="1" applyAlignment="1">
      <alignment horizontal="right"/>
    </xf>
    <xf numFmtId="181" fontId="0" fillId="3" borderId="1" xfId="6" applyNumberFormat="1" applyFont="1" applyFill="1" applyBorder="1" applyAlignment="1">
      <alignment horizontal="right"/>
    </xf>
    <xf numFmtId="10" fontId="0" fillId="3" borderId="1" xfId="6" applyNumberFormat="1" applyFont="1" applyFill="1" applyBorder="1" applyAlignment="1">
      <alignment horizontal="right"/>
    </xf>
    <xf numFmtId="2" fontId="20" fillId="3" borderId="1" xfId="0" applyNumberFormat="1" applyFont="1" applyFill="1" applyBorder="1" applyAlignment="1">
      <alignment horizontal="right"/>
    </xf>
    <xf numFmtId="177" fontId="20" fillId="3" borderId="1" xfId="0" applyNumberFormat="1" applyFont="1" applyFill="1" applyBorder="1" applyAlignment="1">
      <alignment horizontal="right"/>
    </xf>
    <xf numFmtId="177" fontId="20" fillId="3" borderId="1" xfId="0" applyNumberFormat="1" applyFont="1" applyFill="1" applyBorder="1" applyAlignment="1">
      <alignment horizontal="right" vertical="center"/>
    </xf>
    <xf numFmtId="2" fontId="20" fillId="3" borderId="1" xfId="0" applyNumberFormat="1" applyFont="1" applyFill="1" applyBorder="1" applyAlignment="1">
      <alignment horizontal="right" vertical="center"/>
    </xf>
    <xf numFmtId="176" fontId="20" fillId="9" borderId="0" xfId="0" applyNumberFormat="1" applyFont="1" applyFill="1"/>
    <xf numFmtId="177" fontId="20" fillId="9" borderId="0" xfId="0" applyNumberFormat="1" applyFont="1" applyFill="1"/>
    <xf numFmtId="1" fontId="20" fillId="9" borderId="0" xfId="0" applyNumberFormat="1" applyFont="1" applyFill="1"/>
    <xf numFmtId="0" fontId="20" fillId="9" borderId="0" xfId="0" applyFont="1" applyFill="1"/>
    <xf numFmtId="178" fontId="20" fillId="9" borderId="0" xfId="0" applyNumberFormat="1" applyFont="1" applyFill="1"/>
    <xf numFmtId="0" fontId="45" fillId="0" borderId="0" xfId="0" applyFont="1"/>
    <xf numFmtId="178" fontId="45" fillId="9" borderId="0" xfId="0" applyNumberFormat="1" applyFont="1" applyFill="1"/>
    <xf numFmtId="0" fontId="52" fillId="0" borderId="1" xfId="1" applyFont="1" applyFill="1" applyBorder="1" applyAlignment="1" applyProtection="1">
      <alignment horizontal="right"/>
    </xf>
    <xf numFmtId="1" fontId="20" fillId="3" borderId="1" xfId="0" applyNumberFormat="1" applyFont="1" applyFill="1" applyBorder="1" applyAlignment="1">
      <alignment horizontal="right"/>
    </xf>
    <xf numFmtId="1" fontId="19" fillId="3" borderId="1" xfId="0" applyNumberFormat="1" applyFont="1" applyFill="1" applyBorder="1" applyAlignment="1">
      <alignment horizontal="center"/>
    </xf>
    <xf numFmtId="176" fontId="20" fillId="3" borderId="1" xfId="0" applyNumberFormat="1" applyFont="1" applyFill="1" applyBorder="1" applyAlignment="1">
      <alignment horizontal="right"/>
    </xf>
    <xf numFmtId="1" fontId="104" fillId="9" borderId="1" xfId="1" applyNumberFormat="1" applyFont="1" applyFill="1" applyBorder="1" applyAlignment="1" applyProtection="1">
      <alignment horizontal="left"/>
    </xf>
    <xf numFmtId="177" fontId="52" fillId="9" borderId="1" xfId="1" applyNumberFormat="1" applyFont="1" applyFill="1" applyBorder="1" applyAlignment="1" applyProtection="1">
      <alignment horizontal="left"/>
    </xf>
    <xf numFmtId="1" fontId="20" fillId="3" borderId="1" xfId="0" applyNumberFormat="1" applyFont="1" applyFill="1" applyBorder="1" applyAlignment="1">
      <alignment horizontal="right" vertical="center"/>
    </xf>
    <xf numFmtId="177" fontId="28" fillId="0" borderId="0" xfId="0" applyNumberFormat="1" applyFont="1"/>
    <xf numFmtId="177" fontId="95" fillId="0" borderId="0" xfId="0" applyNumberFormat="1" applyFont="1"/>
    <xf numFmtId="177" fontId="19" fillId="0" borderId="0" xfId="0" applyNumberFormat="1" applyFont="1"/>
    <xf numFmtId="177" fontId="52" fillId="0" borderId="0" xfId="0" applyNumberFormat="1" applyFont="1"/>
    <xf numFmtId="2" fontId="99" fillId="9" borderId="0" xfId="0" applyNumberFormat="1" applyFont="1" applyFill="1"/>
    <xf numFmtId="177" fontId="88" fillId="9" borderId="0" xfId="0" applyNumberFormat="1" applyFont="1" applyFill="1"/>
    <xf numFmtId="0" fontId="88" fillId="9" borderId="0" xfId="0" applyFont="1" applyFill="1"/>
    <xf numFmtId="177" fontId="7" fillId="2" borderId="16" xfId="1" applyNumberFormat="1" applyFont="1" applyFill="1" applyBorder="1" applyAlignment="1" applyProtection="1">
      <alignment horizontal="right"/>
      <protection locked="0"/>
    </xf>
    <xf numFmtId="0" fontId="0" fillId="2" borderId="1" xfId="0" applyFill="1" applyBorder="1" applyAlignment="1" applyProtection="1">
      <alignment vertical="center"/>
      <protection locked="0"/>
    </xf>
    <xf numFmtId="0" fontId="0" fillId="2" borderId="11" xfId="0" applyFill="1" applyBorder="1" applyProtection="1">
      <protection locked="0"/>
    </xf>
    <xf numFmtId="0" fontId="0" fillId="9" borderId="1" xfId="0" applyFill="1" applyBorder="1" applyAlignment="1">
      <alignment vertical="center"/>
    </xf>
    <xf numFmtId="0" fontId="1" fillId="0" borderId="0" xfId="0" applyFont="1" applyAlignment="1" applyProtection="1">
      <alignment horizontal="left"/>
    </xf>
    <xf numFmtId="0" fontId="109" fillId="0" borderId="0" xfId="0" applyFont="1" applyProtection="1"/>
    <xf numFmtId="176" fontId="20" fillId="3" borderId="1" xfId="0" applyNumberFormat="1" applyFont="1" applyFill="1" applyBorder="1" applyAlignment="1">
      <alignment horizontal="right" vertical="center"/>
    </xf>
    <xf numFmtId="2" fontId="10" fillId="3" borderId="19" xfId="4" applyNumberFormat="1" applyFont="1" applyFill="1" applyBorder="1"/>
    <xf numFmtId="0" fontId="7" fillId="0" borderId="21" xfId="4" applyFont="1" applyFill="1" applyBorder="1"/>
    <xf numFmtId="0" fontId="7" fillId="0" borderId="19" xfId="4" applyFont="1" applyFill="1" applyBorder="1"/>
    <xf numFmtId="2" fontId="10" fillId="3" borderId="7" xfId="4" applyNumberFormat="1" applyFont="1" applyFill="1" applyBorder="1"/>
    <xf numFmtId="177" fontId="0" fillId="3" borderId="1" xfId="0" applyNumberFormat="1" applyFill="1" applyBorder="1"/>
    <xf numFmtId="0" fontId="0" fillId="0" borderId="16" xfId="0" applyFont="1" applyBorder="1" applyProtection="1"/>
    <xf numFmtId="2" fontId="0" fillId="9" borderId="16" xfId="0" applyNumberFormat="1" applyFill="1" applyBorder="1" applyProtection="1"/>
    <xf numFmtId="0" fontId="7" fillId="0" borderId="16" xfId="0" applyFont="1" applyBorder="1" applyProtection="1"/>
    <xf numFmtId="0" fontId="0" fillId="0" borderId="0" xfId="0" applyFont="1" applyBorder="1" applyProtection="1"/>
    <xf numFmtId="2" fontId="0" fillId="0" borderId="0" xfId="0" applyNumberFormat="1" applyFill="1" applyBorder="1" applyProtection="1"/>
    <xf numFmtId="0" fontId="7" fillId="0" borderId="0" xfId="0" applyFont="1" applyBorder="1" applyProtection="1"/>
    <xf numFmtId="0" fontId="10" fillId="0" borderId="0" xfId="4" applyFont="1" applyFill="1" applyBorder="1"/>
    <xf numFmtId="0" fontId="7" fillId="0" borderId="0" xfId="4" applyFont="1" applyFill="1" applyBorder="1"/>
    <xf numFmtId="2" fontId="10" fillId="0" borderId="0" xfId="4" applyNumberFormat="1" applyFont="1" applyFill="1" applyBorder="1"/>
    <xf numFmtId="177" fontId="7" fillId="3" borderId="1" xfId="1" applyNumberFormat="1" applyFont="1" applyFill="1" applyBorder="1" applyProtection="1">
      <protection locked="0"/>
    </xf>
    <xf numFmtId="176" fontId="7" fillId="3" borderId="1" xfId="1" applyNumberFormat="1" applyFont="1" applyFill="1" applyBorder="1"/>
    <xf numFmtId="0" fontId="28" fillId="0" borderId="0" xfId="0" applyFont="1" applyBorder="1"/>
    <xf numFmtId="177" fontId="28" fillId="0" borderId="0" xfId="0" applyNumberFormat="1" applyFont="1" applyBorder="1"/>
    <xf numFmtId="0" fontId="1" fillId="3" borderId="1" xfId="0" applyFont="1" applyFill="1" applyBorder="1"/>
    <xf numFmtId="178" fontId="0" fillId="3" borderId="1" xfId="0" applyNumberFormat="1" applyFill="1" applyBorder="1"/>
    <xf numFmtId="0" fontId="19" fillId="3" borderId="0" xfId="0" applyFont="1" applyFill="1"/>
    <xf numFmtId="178" fontId="19" fillId="3" borderId="1" xfId="0" applyNumberFormat="1" applyFont="1" applyFill="1" applyBorder="1"/>
    <xf numFmtId="178" fontId="19" fillId="3" borderId="7" xfId="0" applyNumberFormat="1" applyFont="1" applyFill="1" applyBorder="1"/>
    <xf numFmtId="178" fontId="0" fillId="13" borderId="1" xfId="0" applyNumberFormat="1" applyFill="1" applyBorder="1"/>
    <xf numFmtId="0" fontId="39" fillId="9" borderId="1" xfId="0" applyFont="1" applyFill="1" applyBorder="1"/>
    <xf numFmtId="182" fontId="0" fillId="0" borderId="0" xfId="0" applyNumberFormat="1"/>
    <xf numFmtId="184" fontId="0" fillId="0" borderId="0" xfId="0" applyNumberFormat="1"/>
    <xf numFmtId="0" fontId="111" fillId="9" borderId="1" xfId="0" applyFont="1" applyFill="1" applyBorder="1"/>
    <xf numFmtId="0" fontId="112" fillId="0" borderId="0" xfId="0" applyFont="1"/>
    <xf numFmtId="177" fontId="0" fillId="0" borderId="0" xfId="0" applyNumberFormat="1" applyFill="1" applyBorder="1"/>
    <xf numFmtId="0" fontId="1" fillId="9" borderId="16" xfId="0" applyFont="1" applyFill="1" applyBorder="1"/>
    <xf numFmtId="177" fontId="0" fillId="3" borderId="16" xfId="0" applyNumberFormat="1" applyFill="1" applyBorder="1"/>
    <xf numFmtId="0" fontId="1" fillId="9" borderId="7" xfId="0" applyFont="1" applyFill="1" applyBorder="1"/>
    <xf numFmtId="177" fontId="0" fillId="3" borderId="7" xfId="0" applyNumberFormat="1" applyFill="1" applyBorder="1"/>
    <xf numFmtId="0" fontId="1" fillId="0" borderId="22" xfId="0" applyFont="1" applyFill="1" applyBorder="1"/>
    <xf numFmtId="177" fontId="0" fillId="0" borderId="22" xfId="0" applyNumberFormat="1" applyFill="1" applyBorder="1"/>
    <xf numFmtId="0" fontId="0" fillId="0" borderId="0" xfId="0" applyFill="1" applyBorder="1" applyAlignment="1" applyProtection="1">
      <alignment horizontal="center"/>
    </xf>
    <xf numFmtId="0" fontId="20" fillId="0" borderId="15" xfId="0" applyFont="1" applyFill="1" applyBorder="1" applyProtection="1"/>
    <xf numFmtId="177" fontId="20" fillId="9" borderId="0" xfId="0" applyNumberFormat="1" applyFont="1" applyFill="1" applyBorder="1" applyAlignment="1" applyProtection="1">
      <alignment horizontal="right"/>
    </xf>
    <xf numFmtId="0" fontId="23" fillId="9" borderId="1" xfId="0" applyFont="1" applyFill="1" applyBorder="1" applyAlignment="1" applyProtection="1">
      <alignment horizontal="center"/>
      <protection locked="0"/>
    </xf>
    <xf numFmtId="178" fontId="0" fillId="9" borderId="1" xfId="0" applyNumberFormat="1" applyFill="1" applyBorder="1" applyAlignment="1" applyProtection="1">
      <alignment horizontal="right"/>
      <protection locked="0"/>
    </xf>
    <xf numFmtId="0" fontId="23" fillId="0" borderId="1" xfId="0" applyFont="1" applyFill="1" applyBorder="1" applyAlignment="1" applyProtection="1">
      <alignment horizontal="center"/>
      <protection locked="0"/>
    </xf>
    <xf numFmtId="177" fontId="18" fillId="9" borderId="1" xfId="0" applyNumberFormat="1" applyFont="1" applyFill="1" applyBorder="1" applyAlignment="1" applyProtection="1">
      <alignment horizontal="right"/>
      <protection locked="0"/>
    </xf>
    <xf numFmtId="1" fontId="0" fillId="9" borderId="1" xfId="0" applyNumberFormat="1" applyFill="1" applyBorder="1" applyAlignment="1" applyProtection="1">
      <alignment horizontal="right"/>
    </xf>
    <xf numFmtId="0" fontId="52" fillId="0" borderId="1" xfId="0" applyFont="1" applyFill="1" applyBorder="1" applyAlignment="1" applyProtection="1">
      <alignment horizontal="center"/>
    </xf>
    <xf numFmtId="0" fontId="26" fillId="0" borderId="1" xfId="0" applyFont="1" applyBorder="1" applyAlignment="1" applyProtection="1"/>
    <xf numFmtId="176" fontId="113" fillId="2" borderId="1" xfId="0" applyNumberFormat="1" applyFont="1" applyFill="1" applyBorder="1" applyAlignment="1" applyProtection="1">
      <alignment horizontal="right"/>
      <protection locked="0"/>
    </xf>
    <xf numFmtId="1" fontId="113" fillId="2" borderId="1" xfId="0" applyNumberFormat="1" applyFont="1" applyFill="1" applyBorder="1" applyAlignment="1" applyProtection="1">
      <alignment horizontal="right"/>
      <protection locked="0"/>
    </xf>
    <xf numFmtId="0" fontId="113" fillId="2" borderId="1" xfId="0" applyFont="1" applyFill="1" applyBorder="1" applyAlignment="1" applyProtection="1">
      <alignment horizontal="right"/>
      <protection locked="0"/>
    </xf>
    <xf numFmtId="2" fontId="113" fillId="2" borderId="1" xfId="0" applyNumberFormat="1" applyFont="1" applyFill="1" applyBorder="1" applyAlignment="1" applyProtection="1">
      <alignment horizontal="right"/>
      <protection locked="0"/>
    </xf>
    <xf numFmtId="2" fontId="114" fillId="9" borderId="1" xfId="0" applyNumberFormat="1" applyFont="1" applyFill="1" applyBorder="1" applyAlignment="1" applyProtection="1">
      <alignment horizontal="right"/>
      <protection locked="0"/>
    </xf>
    <xf numFmtId="177" fontId="114" fillId="9" borderId="1" xfId="0" applyNumberFormat="1" applyFont="1" applyFill="1" applyBorder="1" applyAlignment="1" applyProtection="1">
      <alignment horizontal="right"/>
      <protection locked="0"/>
    </xf>
    <xf numFmtId="177" fontId="113" fillId="2" borderId="1" xfId="0" applyNumberFormat="1" applyFont="1" applyFill="1" applyBorder="1" applyAlignment="1" applyProtection="1">
      <alignment horizontal="right"/>
      <protection locked="0"/>
    </xf>
    <xf numFmtId="2" fontId="114" fillId="9" borderId="1" xfId="0" applyNumberFormat="1" applyFont="1" applyFill="1" applyBorder="1" applyAlignment="1" applyProtection="1">
      <alignment horizontal="right"/>
    </xf>
    <xf numFmtId="177" fontId="114" fillId="9" borderId="1" xfId="0" applyNumberFormat="1" applyFont="1" applyFill="1" applyBorder="1" applyAlignment="1" applyProtection="1">
      <alignment horizontal="right"/>
    </xf>
    <xf numFmtId="0" fontId="115" fillId="2" borderId="1" xfId="0" applyFont="1" applyFill="1" applyBorder="1" applyAlignment="1" applyProtection="1">
      <alignment horizontal="center"/>
      <protection locked="0"/>
    </xf>
    <xf numFmtId="2" fontId="0" fillId="2" borderId="1" xfId="0" applyNumberFormat="1" applyFont="1" applyFill="1" applyBorder="1" applyAlignment="1" applyProtection="1">
      <alignment horizontal="left"/>
    </xf>
    <xf numFmtId="2" fontId="0" fillId="0" borderId="1" xfId="0" applyNumberFormat="1" applyFont="1" applyBorder="1" applyAlignment="1" applyProtection="1">
      <alignment horizontal="center"/>
    </xf>
    <xf numFmtId="176" fontId="0" fillId="3" borderId="0" xfId="0" applyNumberFormat="1" applyFill="1"/>
    <xf numFmtId="0" fontId="4" fillId="3" borderId="0" xfId="0" applyFont="1" applyFill="1"/>
    <xf numFmtId="0" fontId="0" fillId="3" borderId="1" xfId="0" applyFont="1" applyFill="1" applyBorder="1"/>
    <xf numFmtId="178" fontId="0" fillId="11" borderId="1" xfId="0" applyNumberFormat="1" applyFill="1" applyBorder="1"/>
    <xf numFmtId="178" fontId="7" fillId="14" borderId="1" xfId="0" applyNumberFormat="1" applyFont="1" applyFill="1" applyBorder="1"/>
    <xf numFmtId="0" fontId="5" fillId="12" borderId="1" xfId="0" applyFont="1" applyFill="1" applyBorder="1"/>
    <xf numFmtId="0" fontId="1" fillId="9" borderId="11" xfId="0" applyFont="1" applyFill="1" applyBorder="1" applyAlignment="1" applyProtection="1">
      <alignment horizontal="right"/>
      <protection locked="0"/>
    </xf>
    <xf numFmtId="0" fontId="1" fillId="9" borderId="1" xfId="0" applyFont="1" applyFill="1" applyBorder="1" applyAlignment="1" applyProtection="1">
      <alignment horizontal="right"/>
      <protection locked="0"/>
    </xf>
    <xf numFmtId="0" fontId="0" fillId="9" borderId="11" xfId="0" applyFill="1" applyBorder="1" applyProtection="1">
      <protection locked="0"/>
    </xf>
    <xf numFmtId="0" fontId="1" fillId="0" borderId="0" xfId="0" applyFont="1" applyProtection="1">
      <protection locked="0"/>
    </xf>
    <xf numFmtId="2" fontId="0" fillId="0" borderId="0" xfId="0" applyNumberFormat="1" applyProtection="1">
      <protection locked="0"/>
    </xf>
    <xf numFmtId="1" fontId="93" fillId="9" borderId="0" xfId="0" applyNumberFormat="1" applyFont="1" applyFill="1"/>
    <xf numFmtId="177" fontId="0" fillId="0" borderId="0" xfId="0" applyNumberFormat="1" applyFill="1"/>
    <xf numFmtId="177" fontId="7" fillId="0" borderId="0" xfId="0" applyNumberFormat="1" applyFont="1" applyFill="1" applyBorder="1"/>
    <xf numFmtId="0" fontId="7" fillId="9" borderId="16" xfId="0" applyFont="1" applyFill="1" applyBorder="1"/>
    <xf numFmtId="1" fontId="7" fillId="2" borderId="1" xfId="0" applyNumberFormat="1" applyFont="1" applyFill="1" applyBorder="1" applyProtection="1">
      <protection locked="0"/>
    </xf>
    <xf numFmtId="176" fontId="0" fillId="2" borderId="16" xfId="0" applyNumberFormat="1" applyFill="1" applyBorder="1" applyProtection="1">
      <protection locked="0"/>
    </xf>
    <xf numFmtId="1" fontId="0" fillId="9" borderId="0" xfId="0" applyNumberFormat="1" applyFill="1" applyProtection="1">
      <protection locked="0"/>
    </xf>
    <xf numFmtId="0" fontId="28" fillId="0" borderId="0" xfId="0" applyFont="1" applyProtection="1">
      <protection locked="0"/>
    </xf>
    <xf numFmtId="178" fontId="0" fillId="2" borderId="1" xfId="0" applyNumberFormat="1" applyFill="1" applyBorder="1" applyProtection="1">
      <protection locked="0"/>
    </xf>
    <xf numFmtId="178" fontId="19" fillId="2" borderId="1" xfId="0" applyNumberFormat="1" applyFont="1" applyFill="1" applyBorder="1" applyProtection="1">
      <protection locked="0"/>
    </xf>
    <xf numFmtId="176" fontId="0" fillId="0" borderId="0" xfId="0" applyNumberFormat="1" applyFill="1" applyBorder="1" applyProtection="1">
      <protection locked="0"/>
    </xf>
    <xf numFmtId="2" fontId="0" fillId="0" borderId="0" xfId="0" applyNumberFormat="1" applyFill="1" applyBorder="1" applyProtection="1">
      <protection locked="0"/>
    </xf>
    <xf numFmtId="178" fontId="19" fillId="0" borderId="0" xfId="0" applyNumberFormat="1" applyFont="1" applyFill="1" applyBorder="1" applyProtection="1">
      <protection locked="0"/>
    </xf>
    <xf numFmtId="0" fontId="113" fillId="0" borderId="0" xfId="0" applyFont="1"/>
    <xf numFmtId="0" fontId="54" fillId="0" borderId="0" xfId="0" applyFont="1" applyProtection="1"/>
    <xf numFmtId="176" fontId="7" fillId="3" borderId="1" xfId="0" applyNumberFormat="1" applyFont="1" applyFill="1" applyBorder="1"/>
    <xf numFmtId="176" fontId="0" fillId="3" borderId="16" xfId="0" applyNumberFormat="1" applyFill="1" applyBorder="1"/>
    <xf numFmtId="0" fontId="1" fillId="0" borderId="1" xfId="0" applyFont="1" applyBorder="1" applyAlignment="1">
      <alignment horizontal="center"/>
    </xf>
    <xf numFmtId="0" fontId="1" fillId="0" borderId="1" xfId="0" applyFont="1" applyBorder="1"/>
    <xf numFmtId="1" fontId="1" fillId="3" borderId="1" xfId="0" applyNumberFormat="1" applyFont="1" applyFill="1" applyBorder="1" applyAlignment="1">
      <alignment horizontal="center"/>
    </xf>
    <xf numFmtId="1" fontId="0" fillId="9" borderId="1" xfId="0" applyNumberFormat="1" applyFont="1" applyFill="1" applyBorder="1" applyAlignment="1">
      <alignment horizontal="center"/>
    </xf>
    <xf numFmtId="0" fontId="26" fillId="0" borderId="0" xfId="0" applyFont="1" applyAlignment="1" applyProtection="1">
      <alignment vertical="center" wrapText="1"/>
    </xf>
    <xf numFmtId="0" fontId="0" fillId="0" borderId="0" xfId="0" applyAlignment="1">
      <alignment vertical="center" wrapText="1"/>
    </xf>
    <xf numFmtId="0" fontId="20" fillId="0" borderId="9" xfId="0" applyFont="1" applyFill="1" applyBorder="1" applyProtection="1"/>
    <xf numFmtId="0" fontId="0" fillId="3" borderId="1" xfId="0" applyFill="1" applyBorder="1" applyAlignment="1" applyProtection="1">
      <alignment horizontal="right"/>
    </xf>
    <xf numFmtId="0" fontId="0" fillId="0" borderId="0" xfId="0" applyAlignment="1" applyProtection="1">
      <alignment vertical="center" wrapText="1"/>
      <protection locked="0"/>
    </xf>
    <xf numFmtId="14" fontId="0" fillId="0" borderId="0" xfId="0" applyNumberFormat="1" applyProtection="1">
      <protection locked="0"/>
    </xf>
    <xf numFmtId="11" fontId="0" fillId="0" borderId="0" xfId="0" applyNumberFormat="1" applyProtection="1">
      <protection locked="0"/>
    </xf>
    <xf numFmtId="0" fontId="19" fillId="0" borderId="1" xfId="0" applyFont="1" applyFill="1" applyBorder="1" applyAlignment="1" applyProtection="1"/>
    <xf numFmtId="0" fontId="26" fillId="0" borderId="0" xfId="0" applyFont="1" applyAlignment="1" applyProtection="1">
      <alignment vertical="center" wrapText="1"/>
    </xf>
    <xf numFmtId="0" fontId="0" fillId="0" borderId="0" xfId="0" applyAlignment="1">
      <alignment vertical="center" wrapText="1"/>
    </xf>
    <xf numFmtId="0" fontId="11" fillId="0" borderId="4" xfId="0" applyFont="1" applyBorder="1" applyAlignment="1" applyProtection="1">
      <alignment horizontal="center"/>
    </xf>
    <xf numFmtId="0" fontId="22" fillId="0" borderId="5" xfId="0" applyFont="1" applyBorder="1" applyAlignment="1" applyProtection="1">
      <alignment horizontal="center"/>
    </xf>
    <xf numFmtId="0" fontId="22" fillId="0" borderId="6" xfId="0" applyFont="1" applyBorder="1" applyAlignment="1" applyProtection="1">
      <alignment horizontal="center"/>
    </xf>
    <xf numFmtId="0" fontId="19" fillId="0" borderId="0" xfId="0" applyFont="1" applyAlignment="1">
      <alignment horizontal="left" vertical="center"/>
    </xf>
    <xf numFmtId="0" fontId="0" fillId="0" borderId="0" xfId="0" applyAlignment="1"/>
    <xf numFmtId="0" fontId="0" fillId="0" borderId="0" xfId="0" applyAlignment="1">
      <alignment horizontal="left" vertical="center"/>
    </xf>
    <xf numFmtId="0" fontId="0" fillId="0" borderId="0" xfId="0" applyAlignment="1">
      <alignment horizontal="center"/>
    </xf>
    <xf numFmtId="0" fontId="0" fillId="2" borderId="16" xfId="0" applyFill="1" applyBorder="1" applyAlignment="1" applyProtection="1">
      <alignment vertical="center"/>
      <protection locked="0"/>
    </xf>
    <xf numFmtId="0" fontId="0" fillId="2" borderId="7" xfId="0" applyFill="1" applyBorder="1" applyAlignment="1" applyProtection="1">
      <alignment vertical="center"/>
      <protection locked="0"/>
    </xf>
    <xf numFmtId="0" fontId="0" fillId="2" borderId="16" xfId="0" applyFill="1" applyBorder="1" applyAlignment="1">
      <alignment vertical="center"/>
    </xf>
    <xf numFmtId="0" fontId="0" fillId="2" borderId="7" xfId="0" applyFill="1" applyBorder="1" applyAlignment="1">
      <alignment vertical="center"/>
    </xf>
  </cellXfs>
  <cellStyles count="7">
    <cellStyle name="Hyperlink 2" xfId="5"/>
    <cellStyle name="パーセント" xfId="6" builtinId="5"/>
    <cellStyle name="ハイパーリンク" xfId="3" builtinId="8"/>
    <cellStyle name="メモ" xfId="2" builtinId="10"/>
    <cellStyle name="出力" xfId="4" builtinId="21"/>
    <cellStyle name="入力" xfId="1" builtinId="20"/>
    <cellStyle name="標準" xfId="0" builtinId="0"/>
  </cellStyles>
  <dxfs count="77">
    <dxf>
      <fill>
        <patternFill>
          <bgColor theme="0" tint="-0.14996795556505021"/>
        </patternFill>
      </fill>
    </dxf>
    <dxf>
      <font>
        <color auto="1"/>
      </font>
      <fill>
        <patternFill>
          <bgColor theme="0" tint="-0.24994659260841701"/>
        </patternFill>
      </fill>
    </dxf>
    <dxf>
      <font>
        <color auto="1"/>
      </font>
      <fill>
        <patternFill>
          <bgColor theme="0" tint="-0.24994659260841701"/>
        </patternFill>
      </fill>
    </dxf>
    <dxf>
      <font>
        <color rgb="FF9C0006"/>
      </font>
      <fill>
        <patternFill>
          <bgColor rgb="FFFFC7CE"/>
        </patternFill>
      </fill>
    </dxf>
    <dxf>
      <font>
        <color rgb="FFFF0000"/>
      </font>
      <numFmt numFmtId="30" formatCode="@"/>
    </dxf>
    <dxf>
      <font>
        <color rgb="FF9C0006"/>
      </font>
      <fill>
        <patternFill>
          <bgColor rgb="FFFFC7CE"/>
        </patternFill>
      </fill>
    </dxf>
    <dxf>
      <font>
        <color rgb="FF9C0006"/>
      </font>
      <fill>
        <patternFill>
          <bgColor rgb="FFFFC7CE"/>
        </patternFill>
      </fill>
    </dxf>
    <dxf>
      <font>
        <color auto="1"/>
      </font>
    </dxf>
    <dxf>
      <fill>
        <patternFill>
          <bgColor rgb="FFFFFF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9" tint="-0.499984740745262"/>
      </font>
      <fill>
        <patternFill>
          <bgColor rgb="FFFFC000"/>
        </patternFill>
      </fill>
    </dxf>
    <dxf>
      <font>
        <color rgb="FF006100"/>
      </font>
      <fill>
        <patternFill>
          <bgColor rgb="FFC6EFCE"/>
        </patternFill>
      </fill>
    </dxf>
    <dxf>
      <font>
        <color rgb="FF006100"/>
      </font>
      <fill>
        <patternFill>
          <bgColor rgb="FFC6EFCE"/>
        </patternFill>
      </fill>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rgb="FFFF0000"/>
        </patternFill>
      </fill>
    </dxf>
    <dxf>
      <font>
        <strike val="0"/>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rgb="FF9C0006"/>
      </font>
      <fill>
        <patternFill>
          <bgColor rgb="FFFFC7CE"/>
        </patternFill>
      </fill>
    </dxf>
    <dxf>
      <font>
        <color rgb="FFFF0000"/>
      </font>
      <numFmt numFmtId="30" formatCode="@"/>
    </dxf>
    <dxf>
      <font>
        <color rgb="FFFF0000"/>
      </font>
      <numFmt numFmtId="30" formatCode="@"/>
    </dxf>
    <dxf>
      <font>
        <color rgb="FFFF0000"/>
      </font>
      <numFmt numFmtId="30" formatCode="@"/>
    </dxf>
    <dxf>
      <font>
        <color rgb="FF9C0006"/>
      </font>
      <fill>
        <patternFill>
          <bgColor rgb="FFFFC7CE"/>
        </patternFill>
      </fill>
    </dxf>
    <dxf>
      <font>
        <color rgb="FF9C0006"/>
      </font>
      <fill>
        <patternFill>
          <bgColor rgb="FFFFC7CE"/>
        </patternFill>
      </fill>
    </dxf>
    <dxf>
      <font>
        <color theme="0"/>
      </font>
      <fill>
        <patternFill>
          <bgColor theme="0"/>
        </patternFill>
      </fill>
      <border>
        <left/>
        <right/>
        <top/>
        <bottom/>
      </border>
    </dxf>
    <dxf>
      <font>
        <color rgb="FFFF0000"/>
      </font>
      <numFmt numFmtId="30" formatCode="@"/>
    </dxf>
    <dxf>
      <font>
        <color theme="1"/>
      </font>
    </dxf>
    <dxf>
      <font>
        <color auto="1"/>
      </font>
    </dxf>
    <dxf>
      <font>
        <color rgb="FFFF0000"/>
      </font>
    </dxf>
    <dxf>
      <font>
        <color rgb="FFFF0000"/>
      </font>
    </dxf>
    <dxf>
      <font>
        <color theme="0" tint="-0.34998626667073579"/>
      </font>
      <fill>
        <patternFill>
          <bgColor theme="0" tint="-0.14996795556505021"/>
        </patternFill>
      </fill>
    </dxf>
    <dxf>
      <font>
        <color rgb="FFFF0000"/>
      </font>
    </dxf>
    <dxf>
      <font>
        <color rgb="FFFF0000"/>
      </font>
    </dxf>
    <dxf>
      <font>
        <color theme="0" tint="-0.34998626667073579"/>
      </font>
      <fill>
        <patternFill>
          <bgColor theme="0" tint="-0.14996795556505021"/>
        </patternFill>
      </fill>
    </dxf>
    <dxf>
      <font>
        <color rgb="FFFF0000"/>
      </font>
    </dxf>
    <dxf>
      <font>
        <color rgb="FFFF0000"/>
      </font>
    </dxf>
    <dxf>
      <font>
        <color theme="0" tint="-0.34998626667073579"/>
      </font>
      <fill>
        <patternFill>
          <bgColor theme="0" tint="-0.14996795556505021"/>
        </patternFill>
      </fill>
    </dxf>
    <dxf>
      <font>
        <color rgb="FFFF0000"/>
      </font>
    </dxf>
    <dxf>
      <font>
        <color rgb="FFFF0000"/>
      </font>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ill>
        <patternFill>
          <bgColor theme="0" tint="-0.34998626667073579"/>
        </patternFill>
      </fill>
    </dxf>
    <dxf>
      <fill>
        <patternFill>
          <bgColor theme="0" tint="-0.34998626667073579"/>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theme="9" tint="-0.24994659260841701"/>
      </font>
    </dxf>
    <dxf>
      <fill>
        <patternFill>
          <bgColor rgb="FFFFFF00"/>
        </patternFill>
      </fill>
    </dxf>
    <dxf>
      <font>
        <color theme="0"/>
      </font>
    </dxf>
    <dxf>
      <fill>
        <patternFill>
          <bgColor theme="0" tint="-0.14996795556505021"/>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s>
  <tableStyles count="0" defaultTableStyle="TableStyleMedium2" defaultPivotStyle="PivotStyleLight16"/>
  <colors>
    <mruColors>
      <color rgb="FFFFE285"/>
      <color rgb="FFFF00FF"/>
      <color rgb="FFFDFFE1"/>
      <color rgb="FFFBFFCD"/>
      <color rgb="FFFFFFFF"/>
      <color rgb="FFFFFF99"/>
      <color rgb="FFA27B00"/>
      <color rgb="FF95160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17205328739059"/>
          <c:y val="6.0962181102776715E-2"/>
          <c:w val="0.82966820206443803"/>
          <c:h val="0.78252148862540571"/>
        </c:manualLayout>
      </c:layout>
      <c:scatterChart>
        <c:scatterStyle val="lineMarker"/>
        <c:varyColors val="0"/>
        <c:ser>
          <c:idx val="0"/>
          <c:order val="0"/>
          <c:tx>
            <c:strRef>
              <c:f>LDC2114_Config_tool!$G$109</c:f>
              <c:strCache>
                <c:ptCount val="1"/>
                <c:pt idx="0">
                  <c:v>LCDiv=0</c:v>
                </c:pt>
              </c:strCache>
            </c:strRef>
          </c:tx>
          <c:spPr>
            <a:ln>
              <a:solidFill>
                <a:srgbClr val="FF0000"/>
              </a:solidFill>
            </a:ln>
          </c:spPr>
          <c:marker>
            <c:symbol val="none"/>
          </c:marker>
          <c:xVal>
            <c:numRef>
              <c:f>LDC2114_Config_tool!$F$110:$F$145</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LDC2114_Config_tool!$G$110:$G$145</c:f>
              <c:numCache>
                <c:formatCode>General</c:formatCode>
                <c:ptCount val="36"/>
                <c:pt idx="0">
                  <c:v>30</c:v>
                </c:pt>
                <c:pt idx="1">
                  <c:v>30</c:v>
                </c:pt>
                <c:pt idx="2">
                  <c:v>16.384</c:v>
                </c:pt>
                <c:pt idx="3">
                  <c:v>8.1920000000000002</c:v>
                </c:pt>
                <c:pt idx="4">
                  <c:v>5.4613333333333332</c:v>
                </c:pt>
                <c:pt idx="5">
                  <c:v>4.0960000000000001</c:v>
                </c:pt>
                <c:pt idx="6">
                  <c:v>3.2767999999999997</c:v>
                </c:pt>
                <c:pt idx="7">
                  <c:v>2.7306666666666666</c:v>
                </c:pt>
                <c:pt idx="8">
                  <c:v>2.3405714285714283</c:v>
                </c:pt>
                <c:pt idx="9">
                  <c:v>1.95047619047619</c:v>
                </c:pt>
                <c:pt idx="10">
                  <c:v>1.6383999999999999</c:v>
                </c:pt>
                <c:pt idx="11">
                  <c:v>1.4894545454545454</c:v>
                </c:pt>
                <c:pt idx="12">
                  <c:v>1.3653333333333333</c:v>
                </c:pt>
                <c:pt idx="13">
                  <c:v>1.2603076923076924</c:v>
                </c:pt>
                <c:pt idx="14">
                  <c:v>1.1702857142857142</c:v>
                </c:pt>
                <c:pt idx="15">
                  <c:v>1.0922666666666667</c:v>
                </c:pt>
                <c:pt idx="16">
                  <c:v>1.024</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numCache>
            </c:numRef>
          </c:yVal>
          <c:smooth val="0"/>
        </c:ser>
        <c:ser>
          <c:idx val="1"/>
          <c:order val="1"/>
          <c:tx>
            <c:strRef>
              <c:f>LDC2114_Config_tool!$H$109</c:f>
              <c:strCache>
                <c:ptCount val="1"/>
                <c:pt idx="0">
                  <c:v>LCDiv=1</c:v>
                </c:pt>
              </c:strCache>
            </c:strRef>
          </c:tx>
          <c:spPr>
            <a:ln>
              <a:solidFill>
                <a:srgbClr val="FF0000"/>
              </a:solidFill>
            </a:ln>
          </c:spPr>
          <c:marker>
            <c:symbol val="none"/>
          </c:marker>
          <c:xVal>
            <c:numRef>
              <c:f>LDC2114_Config_tool!$F$110:$F$145</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LDC2114_Config_tool!$H$110:$H$145</c:f>
              <c:numCache>
                <c:formatCode>General</c:formatCode>
                <c:ptCount val="36"/>
                <c:pt idx="0">
                  <c:v>30</c:v>
                </c:pt>
                <c:pt idx="1">
                  <c:v>30</c:v>
                </c:pt>
                <c:pt idx="2">
                  <c:v>30</c:v>
                </c:pt>
                <c:pt idx="3">
                  <c:v>16.384</c:v>
                </c:pt>
                <c:pt idx="4">
                  <c:v>10.922666666666666</c:v>
                </c:pt>
                <c:pt idx="5">
                  <c:v>8.1920000000000002</c:v>
                </c:pt>
                <c:pt idx="6">
                  <c:v>6.5535999999999994</c:v>
                </c:pt>
                <c:pt idx="7">
                  <c:v>5.4613333333333332</c:v>
                </c:pt>
                <c:pt idx="8">
                  <c:v>4.6811428571428566</c:v>
                </c:pt>
                <c:pt idx="9">
                  <c:v>3.9009523809523801</c:v>
                </c:pt>
                <c:pt idx="10">
                  <c:v>3.2767999999999997</c:v>
                </c:pt>
                <c:pt idx="11">
                  <c:v>2.9789090909090907</c:v>
                </c:pt>
                <c:pt idx="12">
                  <c:v>2.7306666666666666</c:v>
                </c:pt>
                <c:pt idx="13">
                  <c:v>2.5206153846153847</c:v>
                </c:pt>
                <c:pt idx="14">
                  <c:v>2.3405714285714283</c:v>
                </c:pt>
                <c:pt idx="15">
                  <c:v>2.1845333333333334</c:v>
                </c:pt>
                <c:pt idx="16">
                  <c:v>2.048</c:v>
                </c:pt>
                <c:pt idx="17">
                  <c:v>1.8919168591224018</c:v>
                </c:pt>
                <c:pt idx="18">
                  <c:v>1.8204444444444445</c:v>
                </c:pt>
                <c:pt idx="19">
                  <c:v>1.7246315789473683</c:v>
                </c:pt>
                <c:pt idx="20">
                  <c:v>1.6383999999999999</c:v>
                </c:pt>
                <c:pt idx="21">
                  <c:v>1.5603809523809522</c:v>
                </c:pt>
                <c:pt idx="22">
                  <c:v>1.4894545454545454</c:v>
                </c:pt>
                <c:pt idx="23">
                  <c:v>1.4246956521739129</c:v>
                </c:pt>
                <c:pt idx="24">
                  <c:v>1.3653333333333333</c:v>
                </c:pt>
                <c:pt idx="25">
                  <c:v>1.3107199999999999</c:v>
                </c:pt>
                <c:pt idx="26">
                  <c:v>1.2603076923076924</c:v>
                </c:pt>
                <c:pt idx="27">
                  <c:v>1.2136296296296296</c:v>
                </c:pt>
                <c:pt idx="28">
                  <c:v>1.1702857142857142</c:v>
                </c:pt>
                <c:pt idx="29">
                  <c:v>1.1299310344827584</c:v>
                </c:pt>
                <c:pt idx="30">
                  <c:v>1.0922666666666667</c:v>
                </c:pt>
                <c:pt idx="31">
                  <c:v>1.0570322580645162</c:v>
                </c:pt>
                <c:pt idx="32">
                  <c:v>1.024</c:v>
                </c:pt>
                <c:pt idx="33">
                  <c:v>1</c:v>
                </c:pt>
                <c:pt idx="34">
                  <c:v>1</c:v>
                </c:pt>
                <c:pt idx="35">
                  <c:v>1</c:v>
                </c:pt>
              </c:numCache>
            </c:numRef>
          </c:yVal>
          <c:smooth val="0"/>
        </c:ser>
        <c:ser>
          <c:idx val="2"/>
          <c:order val="2"/>
          <c:tx>
            <c:strRef>
              <c:f>LDC2114_Config_tool!$I$109</c:f>
              <c:strCache>
                <c:ptCount val="1"/>
                <c:pt idx="0">
                  <c:v>LCDiv=2</c:v>
                </c:pt>
              </c:strCache>
            </c:strRef>
          </c:tx>
          <c:spPr>
            <a:ln>
              <a:solidFill>
                <a:srgbClr val="FF0000"/>
              </a:solidFill>
            </a:ln>
          </c:spPr>
          <c:marker>
            <c:symbol val="none"/>
          </c:marker>
          <c:xVal>
            <c:numRef>
              <c:f>LDC2114_Config_tool!$F$110:$F$145</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LDC2114_Config_tool!$I$110:$I$145</c:f>
              <c:numCache>
                <c:formatCode>General</c:formatCode>
                <c:ptCount val="36"/>
                <c:pt idx="0">
                  <c:v>30</c:v>
                </c:pt>
                <c:pt idx="1">
                  <c:v>30</c:v>
                </c:pt>
                <c:pt idx="2">
                  <c:v>30</c:v>
                </c:pt>
                <c:pt idx="3">
                  <c:v>30</c:v>
                </c:pt>
                <c:pt idx="4">
                  <c:v>21.845333333333333</c:v>
                </c:pt>
                <c:pt idx="5">
                  <c:v>16.384</c:v>
                </c:pt>
                <c:pt idx="6">
                  <c:v>13.107199999999999</c:v>
                </c:pt>
                <c:pt idx="7">
                  <c:v>10.922666666666666</c:v>
                </c:pt>
                <c:pt idx="8">
                  <c:v>9.3622857142857132</c:v>
                </c:pt>
                <c:pt idx="9">
                  <c:v>7.8019047619047601</c:v>
                </c:pt>
                <c:pt idx="10">
                  <c:v>6.5535999999999994</c:v>
                </c:pt>
                <c:pt idx="11">
                  <c:v>5.9578181818181815</c:v>
                </c:pt>
                <c:pt idx="12">
                  <c:v>5.4613333333333332</c:v>
                </c:pt>
                <c:pt idx="13">
                  <c:v>5.0412307692307694</c:v>
                </c:pt>
                <c:pt idx="14">
                  <c:v>4.6811428571428566</c:v>
                </c:pt>
                <c:pt idx="15">
                  <c:v>4.3690666666666669</c:v>
                </c:pt>
                <c:pt idx="16">
                  <c:v>4.0960000000000001</c:v>
                </c:pt>
                <c:pt idx="17">
                  <c:v>3.7838337182448036</c:v>
                </c:pt>
                <c:pt idx="18">
                  <c:v>3.6408888888888891</c:v>
                </c:pt>
                <c:pt idx="19">
                  <c:v>3.4492631578947366</c:v>
                </c:pt>
                <c:pt idx="20">
                  <c:v>3.2767999999999997</c:v>
                </c:pt>
                <c:pt idx="21">
                  <c:v>3.1207619047619044</c:v>
                </c:pt>
                <c:pt idx="22">
                  <c:v>2.9789090909090907</c:v>
                </c:pt>
                <c:pt idx="23">
                  <c:v>2.8493913043478258</c:v>
                </c:pt>
                <c:pt idx="24">
                  <c:v>2.7306666666666666</c:v>
                </c:pt>
                <c:pt idx="25">
                  <c:v>2.6214399999999998</c:v>
                </c:pt>
                <c:pt idx="26">
                  <c:v>2.5206153846153847</c:v>
                </c:pt>
                <c:pt idx="27">
                  <c:v>2.4272592592592592</c:v>
                </c:pt>
                <c:pt idx="28">
                  <c:v>2.3405714285714283</c:v>
                </c:pt>
                <c:pt idx="29">
                  <c:v>2.2598620689655169</c:v>
                </c:pt>
                <c:pt idx="30">
                  <c:v>2.1845333333333334</c:v>
                </c:pt>
                <c:pt idx="31">
                  <c:v>2.1140645161290323</c:v>
                </c:pt>
                <c:pt idx="32">
                  <c:v>2.048</c:v>
                </c:pt>
                <c:pt idx="33">
                  <c:v>1.9859393939393937</c:v>
                </c:pt>
                <c:pt idx="34">
                  <c:v>1.9275294117647057</c:v>
                </c:pt>
                <c:pt idx="35">
                  <c:v>1.8204444444444445</c:v>
                </c:pt>
              </c:numCache>
            </c:numRef>
          </c:yVal>
          <c:smooth val="0"/>
        </c:ser>
        <c:ser>
          <c:idx val="3"/>
          <c:order val="3"/>
          <c:tx>
            <c:strRef>
              <c:f>LDC2114_Config_tool!$J$109</c:f>
              <c:strCache>
                <c:ptCount val="1"/>
                <c:pt idx="0">
                  <c:v>LCDiv=3</c:v>
                </c:pt>
              </c:strCache>
            </c:strRef>
          </c:tx>
          <c:spPr>
            <a:ln>
              <a:solidFill>
                <a:srgbClr val="FF0000"/>
              </a:solidFill>
            </a:ln>
          </c:spPr>
          <c:marker>
            <c:symbol val="none"/>
          </c:marker>
          <c:xVal>
            <c:numRef>
              <c:f>LDC2114_Config_tool!$F$110:$F$145</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LDC2114_Config_tool!$J$110:$J$145</c:f>
              <c:numCache>
                <c:formatCode>General</c:formatCode>
                <c:ptCount val="36"/>
                <c:pt idx="0">
                  <c:v>30</c:v>
                </c:pt>
                <c:pt idx="1">
                  <c:v>30</c:v>
                </c:pt>
                <c:pt idx="2">
                  <c:v>30</c:v>
                </c:pt>
                <c:pt idx="3">
                  <c:v>30</c:v>
                </c:pt>
                <c:pt idx="4">
                  <c:v>30</c:v>
                </c:pt>
                <c:pt idx="5">
                  <c:v>30</c:v>
                </c:pt>
                <c:pt idx="6">
                  <c:v>26.214399999999998</c:v>
                </c:pt>
                <c:pt idx="7">
                  <c:v>21.845333333333333</c:v>
                </c:pt>
                <c:pt idx="8">
                  <c:v>18.724571428571426</c:v>
                </c:pt>
                <c:pt idx="9">
                  <c:v>15.60380952380952</c:v>
                </c:pt>
                <c:pt idx="10">
                  <c:v>13.107199999999999</c:v>
                </c:pt>
                <c:pt idx="11">
                  <c:v>11.915636363636363</c:v>
                </c:pt>
                <c:pt idx="12">
                  <c:v>10.922666666666666</c:v>
                </c:pt>
                <c:pt idx="13">
                  <c:v>10.082461538461539</c:v>
                </c:pt>
                <c:pt idx="14">
                  <c:v>9.3622857142857132</c:v>
                </c:pt>
                <c:pt idx="15">
                  <c:v>8.7381333333333338</c:v>
                </c:pt>
                <c:pt idx="16">
                  <c:v>8.1920000000000002</c:v>
                </c:pt>
                <c:pt idx="17">
                  <c:v>7.5676674364896073</c:v>
                </c:pt>
                <c:pt idx="18">
                  <c:v>7.2817777777777781</c:v>
                </c:pt>
                <c:pt idx="19">
                  <c:v>6.8985263157894732</c:v>
                </c:pt>
                <c:pt idx="20">
                  <c:v>6.5535999999999994</c:v>
                </c:pt>
                <c:pt idx="21">
                  <c:v>6.2415238095238088</c:v>
                </c:pt>
                <c:pt idx="22">
                  <c:v>5.9578181818181815</c:v>
                </c:pt>
                <c:pt idx="23">
                  <c:v>5.6987826086956517</c:v>
                </c:pt>
                <c:pt idx="24">
                  <c:v>5.4613333333333332</c:v>
                </c:pt>
                <c:pt idx="25">
                  <c:v>5.2428799999999995</c:v>
                </c:pt>
                <c:pt idx="26">
                  <c:v>5.0412307692307694</c:v>
                </c:pt>
                <c:pt idx="27">
                  <c:v>4.8545185185185185</c:v>
                </c:pt>
                <c:pt idx="28">
                  <c:v>4.6811428571428566</c:v>
                </c:pt>
                <c:pt idx="29">
                  <c:v>4.5197241379310338</c:v>
                </c:pt>
                <c:pt idx="30">
                  <c:v>4.3690666666666669</c:v>
                </c:pt>
                <c:pt idx="31">
                  <c:v>4.2281290322580647</c:v>
                </c:pt>
                <c:pt idx="32">
                  <c:v>4.0960000000000001</c:v>
                </c:pt>
                <c:pt idx="33">
                  <c:v>3.9718787878787873</c:v>
                </c:pt>
                <c:pt idx="34">
                  <c:v>3.8550588235294114</c:v>
                </c:pt>
                <c:pt idx="35">
                  <c:v>3.6408888888888891</c:v>
                </c:pt>
              </c:numCache>
            </c:numRef>
          </c:yVal>
          <c:smooth val="0"/>
        </c:ser>
        <c:ser>
          <c:idx val="4"/>
          <c:order val="4"/>
          <c:tx>
            <c:strRef>
              <c:f>LDC2114_Config_tool!$K$109</c:f>
              <c:strCache>
                <c:ptCount val="1"/>
                <c:pt idx="0">
                  <c:v>LCDiv=4</c:v>
                </c:pt>
              </c:strCache>
            </c:strRef>
          </c:tx>
          <c:spPr>
            <a:ln>
              <a:solidFill>
                <a:srgbClr val="FF0000"/>
              </a:solidFill>
            </a:ln>
          </c:spPr>
          <c:marker>
            <c:symbol val="none"/>
          </c:marker>
          <c:xVal>
            <c:numRef>
              <c:f>LDC2114_Config_tool!$F$110:$F$145</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LDC2114_Config_tool!$K$110:$K$145</c:f>
              <c:numCache>
                <c:formatCode>General</c:formatCode>
                <c:ptCount val="36"/>
                <c:pt idx="0">
                  <c:v>30</c:v>
                </c:pt>
                <c:pt idx="1">
                  <c:v>30</c:v>
                </c:pt>
                <c:pt idx="2">
                  <c:v>30</c:v>
                </c:pt>
                <c:pt idx="3">
                  <c:v>30</c:v>
                </c:pt>
                <c:pt idx="4">
                  <c:v>30</c:v>
                </c:pt>
                <c:pt idx="5">
                  <c:v>30</c:v>
                </c:pt>
                <c:pt idx="6">
                  <c:v>30</c:v>
                </c:pt>
                <c:pt idx="7">
                  <c:v>30</c:v>
                </c:pt>
                <c:pt idx="8">
                  <c:v>30</c:v>
                </c:pt>
                <c:pt idx="9">
                  <c:v>30</c:v>
                </c:pt>
                <c:pt idx="10">
                  <c:v>26.214399999999998</c:v>
                </c:pt>
                <c:pt idx="11">
                  <c:v>23.831272727272726</c:v>
                </c:pt>
                <c:pt idx="12">
                  <c:v>21.845333333333333</c:v>
                </c:pt>
                <c:pt idx="13">
                  <c:v>20.164923076923078</c:v>
                </c:pt>
                <c:pt idx="14">
                  <c:v>18.724571428571426</c:v>
                </c:pt>
                <c:pt idx="15">
                  <c:v>17.476266666666668</c:v>
                </c:pt>
                <c:pt idx="16">
                  <c:v>16.384</c:v>
                </c:pt>
                <c:pt idx="17">
                  <c:v>15.135334872979215</c:v>
                </c:pt>
                <c:pt idx="18">
                  <c:v>14.563555555555556</c:v>
                </c:pt>
                <c:pt idx="19">
                  <c:v>13.797052631578946</c:v>
                </c:pt>
                <c:pt idx="20">
                  <c:v>13.107199999999999</c:v>
                </c:pt>
                <c:pt idx="21">
                  <c:v>12.483047619047618</c:v>
                </c:pt>
                <c:pt idx="22">
                  <c:v>11.915636363636363</c:v>
                </c:pt>
                <c:pt idx="23">
                  <c:v>11.397565217391303</c:v>
                </c:pt>
                <c:pt idx="24">
                  <c:v>10.922666666666666</c:v>
                </c:pt>
                <c:pt idx="25">
                  <c:v>10.485759999999999</c:v>
                </c:pt>
                <c:pt idx="26">
                  <c:v>10.082461538461539</c:v>
                </c:pt>
                <c:pt idx="27">
                  <c:v>9.7090370370370369</c:v>
                </c:pt>
                <c:pt idx="28">
                  <c:v>9.3622857142857132</c:v>
                </c:pt>
                <c:pt idx="29">
                  <c:v>9.0394482758620676</c:v>
                </c:pt>
                <c:pt idx="30">
                  <c:v>8.7381333333333338</c:v>
                </c:pt>
                <c:pt idx="31">
                  <c:v>8.4562580645161294</c:v>
                </c:pt>
                <c:pt idx="32">
                  <c:v>8.1920000000000002</c:v>
                </c:pt>
                <c:pt idx="33">
                  <c:v>7.9437575757575747</c:v>
                </c:pt>
                <c:pt idx="34">
                  <c:v>7.7101176470588229</c:v>
                </c:pt>
                <c:pt idx="35">
                  <c:v>7.2817777777777781</c:v>
                </c:pt>
              </c:numCache>
            </c:numRef>
          </c:yVal>
          <c:smooth val="0"/>
        </c:ser>
        <c:ser>
          <c:idx val="5"/>
          <c:order val="5"/>
          <c:tx>
            <c:strRef>
              <c:f>LDC2114_Config_tool!$L$109</c:f>
              <c:strCache>
                <c:ptCount val="1"/>
                <c:pt idx="0">
                  <c:v>LCDiv=5</c:v>
                </c:pt>
              </c:strCache>
            </c:strRef>
          </c:tx>
          <c:spPr>
            <a:ln>
              <a:solidFill>
                <a:srgbClr val="FF0000"/>
              </a:solidFill>
            </a:ln>
          </c:spPr>
          <c:marker>
            <c:symbol val="none"/>
          </c:marker>
          <c:xVal>
            <c:numRef>
              <c:f>LDC2114_Config_tool!$F$110:$F$145</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LDC2114_Config_tool!$L$110:$L$145</c:f>
              <c:numCache>
                <c:formatCode>General</c:formatCode>
                <c:ptCount val="36"/>
                <c:pt idx="0">
                  <c:v>30</c:v>
                </c:pt>
                <c:pt idx="1">
                  <c:v>30</c:v>
                </c:pt>
                <c:pt idx="2">
                  <c:v>30</c:v>
                </c:pt>
                <c:pt idx="3">
                  <c:v>30</c:v>
                </c:pt>
                <c:pt idx="4">
                  <c:v>30</c:v>
                </c:pt>
                <c:pt idx="5">
                  <c:v>30</c:v>
                </c:pt>
                <c:pt idx="6">
                  <c:v>30</c:v>
                </c:pt>
                <c:pt idx="7">
                  <c:v>30</c:v>
                </c:pt>
                <c:pt idx="8">
                  <c:v>30</c:v>
                </c:pt>
                <c:pt idx="9">
                  <c:v>30</c:v>
                </c:pt>
                <c:pt idx="10">
                  <c:v>30</c:v>
                </c:pt>
                <c:pt idx="11">
                  <c:v>30</c:v>
                </c:pt>
                <c:pt idx="12">
                  <c:v>30</c:v>
                </c:pt>
                <c:pt idx="13">
                  <c:v>30</c:v>
                </c:pt>
                <c:pt idx="14">
                  <c:v>30</c:v>
                </c:pt>
                <c:pt idx="15">
                  <c:v>30</c:v>
                </c:pt>
                <c:pt idx="16">
                  <c:v>30</c:v>
                </c:pt>
                <c:pt idx="17">
                  <c:v>30</c:v>
                </c:pt>
                <c:pt idx="18">
                  <c:v>29.127111111111113</c:v>
                </c:pt>
                <c:pt idx="19">
                  <c:v>27.594105263157893</c:v>
                </c:pt>
                <c:pt idx="20">
                  <c:v>26.214399999999998</c:v>
                </c:pt>
                <c:pt idx="21">
                  <c:v>24.966095238095235</c:v>
                </c:pt>
                <c:pt idx="22">
                  <c:v>23.831272727272726</c:v>
                </c:pt>
                <c:pt idx="23">
                  <c:v>22.795130434782607</c:v>
                </c:pt>
                <c:pt idx="24">
                  <c:v>21.845333333333333</c:v>
                </c:pt>
                <c:pt idx="25">
                  <c:v>20.971519999999998</c:v>
                </c:pt>
                <c:pt idx="26">
                  <c:v>20.164923076923078</c:v>
                </c:pt>
                <c:pt idx="27">
                  <c:v>19.418074074074074</c:v>
                </c:pt>
                <c:pt idx="28">
                  <c:v>18.724571428571426</c:v>
                </c:pt>
                <c:pt idx="29">
                  <c:v>18.078896551724135</c:v>
                </c:pt>
                <c:pt idx="30">
                  <c:v>17.476266666666668</c:v>
                </c:pt>
                <c:pt idx="31">
                  <c:v>16.912516129032259</c:v>
                </c:pt>
                <c:pt idx="32">
                  <c:v>16.384</c:v>
                </c:pt>
                <c:pt idx="33">
                  <c:v>15.887515151515149</c:v>
                </c:pt>
                <c:pt idx="34">
                  <c:v>15.420235294117646</c:v>
                </c:pt>
                <c:pt idx="35">
                  <c:v>14.563555555555556</c:v>
                </c:pt>
              </c:numCache>
            </c:numRef>
          </c:yVal>
          <c:smooth val="0"/>
        </c:ser>
        <c:ser>
          <c:idx val="6"/>
          <c:order val="6"/>
          <c:tx>
            <c:strRef>
              <c:f>LDC2114_Config_tool!$M$109</c:f>
              <c:strCache>
                <c:ptCount val="1"/>
                <c:pt idx="0">
                  <c:v>LCDiv=6</c:v>
                </c:pt>
              </c:strCache>
            </c:strRef>
          </c:tx>
          <c:marker>
            <c:symbol val="none"/>
          </c:marker>
          <c:dPt>
            <c:idx val="35"/>
            <c:bubble3D val="0"/>
            <c:spPr>
              <a:ln>
                <a:solidFill>
                  <a:srgbClr val="FF0000"/>
                </a:solidFill>
              </a:ln>
            </c:spPr>
          </c:dPt>
          <c:xVal>
            <c:numRef>
              <c:f>LDC2114_Config_tool!$F$110:$F$145</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LDC2114_Config_tool!$M$110:$M$145</c:f>
              <c:numCache>
                <c:formatCode>General</c:formatCode>
                <c:ptCount val="36"/>
                <c:pt idx="0">
                  <c:v>30</c:v>
                </c:pt>
                <c:pt idx="1">
                  <c:v>30</c:v>
                </c:pt>
                <c:pt idx="2">
                  <c:v>30</c:v>
                </c:pt>
                <c:pt idx="3">
                  <c:v>30</c:v>
                </c:pt>
                <c:pt idx="4">
                  <c:v>30</c:v>
                </c:pt>
                <c:pt idx="5">
                  <c:v>30</c:v>
                </c:pt>
                <c:pt idx="6">
                  <c:v>30</c:v>
                </c:pt>
                <c:pt idx="7">
                  <c:v>30</c:v>
                </c:pt>
                <c:pt idx="8">
                  <c:v>30</c:v>
                </c:pt>
                <c:pt idx="9">
                  <c:v>30</c:v>
                </c:pt>
                <c:pt idx="10">
                  <c:v>30</c:v>
                </c:pt>
                <c:pt idx="11">
                  <c:v>30</c:v>
                </c:pt>
                <c:pt idx="12">
                  <c:v>30</c:v>
                </c:pt>
                <c:pt idx="13">
                  <c:v>30</c:v>
                </c:pt>
                <c:pt idx="14">
                  <c:v>30</c:v>
                </c:pt>
                <c:pt idx="15">
                  <c:v>30</c:v>
                </c:pt>
                <c:pt idx="16">
                  <c:v>30</c:v>
                </c:pt>
                <c:pt idx="17">
                  <c:v>30</c:v>
                </c:pt>
                <c:pt idx="18">
                  <c:v>30</c:v>
                </c:pt>
                <c:pt idx="19">
                  <c:v>30</c:v>
                </c:pt>
                <c:pt idx="20">
                  <c:v>30</c:v>
                </c:pt>
                <c:pt idx="21">
                  <c:v>30</c:v>
                </c:pt>
                <c:pt idx="22">
                  <c:v>30</c:v>
                </c:pt>
                <c:pt idx="23">
                  <c:v>30</c:v>
                </c:pt>
                <c:pt idx="24">
                  <c:v>30</c:v>
                </c:pt>
                <c:pt idx="25">
                  <c:v>30</c:v>
                </c:pt>
                <c:pt idx="26">
                  <c:v>30</c:v>
                </c:pt>
                <c:pt idx="27">
                  <c:v>30</c:v>
                </c:pt>
                <c:pt idx="28">
                  <c:v>30</c:v>
                </c:pt>
                <c:pt idx="29">
                  <c:v>30</c:v>
                </c:pt>
                <c:pt idx="30">
                  <c:v>30</c:v>
                </c:pt>
                <c:pt idx="31">
                  <c:v>30</c:v>
                </c:pt>
                <c:pt idx="32">
                  <c:v>30</c:v>
                </c:pt>
                <c:pt idx="33">
                  <c:v>30</c:v>
                </c:pt>
                <c:pt idx="34">
                  <c:v>30</c:v>
                </c:pt>
                <c:pt idx="35">
                  <c:v>29.127111111111113</c:v>
                </c:pt>
              </c:numCache>
            </c:numRef>
          </c:yVal>
          <c:smooth val="0"/>
        </c:ser>
        <c:ser>
          <c:idx val="7"/>
          <c:order val="7"/>
          <c:tx>
            <c:strRef>
              <c:f>LDC2114_Config_tool!$C$109</c:f>
              <c:strCache>
                <c:ptCount val="1"/>
                <c:pt idx="0">
                  <c:v>Min Fsensor (MHz)</c:v>
                </c:pt>
              </c:strCache>
            </c:strRef>
          </c:tx>
          <c:spPr>
            <a:ln>
              <a:solidFill>
                <a:schemeClr val="tx1"/>
              </a:solidFill>
            </a:ln>
          </c:spPr>
          <c:marker>
            <c:symbol val="none"/>
          </c:marker>
          <c:xVal>
            <c:numRef>
              <c:f>LDC2114_Config_tool!$F$110:$F$145</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LDC2114_Config_tool!$C$110:$C$145</c:f>
              <c:numCache>
                <c:formatCode>General</c:formatCode>
                <c:ptCount val="3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numCache>
            </c:numRef>
          </c:yVal>
          <c:smooth val="0"/>
        </c:ser>
        <c:ser>
          <c:idx val="8"/>
          <c:order val="8"/>
          <c:tx>
            <c:strRef>
              <c:f>LDC2114_Config_tool!$O$109</c:f>
              <c:strCache>
                <c:ptCount val="1"/>
                <c:pt idx="0">
                  <c:v>Sensor0</c:v>
                </c:pt>
              </c:strCache>
            </c:strRef>
          </c:tx>
          <c:spPr>
            <a:ln>
              <a:solidFill>
                <a:srgbClr val="00B050"/>
              </a:solidFill>
            </a:ln>
          </c:spPr>
          <c:marker>
            <c:symbol val="diamond"/>
            <c:size val="6"/>
            <c:spPr>
              <a:solidFill>
                <a:srgbClr val="00B050"/>
              </a:solidFill>
              <a:ln>
                <a:solidFill>
                  <a:srgbClr val="00B050"/>
                </a:solidFill>
              </a:ln>
            </c:spPr>
          </c:marker>
          <c:dLbls>
            <c:spPr>
              <a:noFill/>
              <a:ln>
                <a:noFill/>
              </a:ln>
              <a:effectLst/>
            </c:spPr>
            <c:txPr>
              <a:bodyPr wrap="square" lIns="38100" tIns="19050" rIns="38100" bIns="19050" anchor="ctr">
                <a:spAutoFit/>
              </a:bodyPr>
              <a:lstStyle/>
              <a:p>
                <a:pPr>
                  <a:defRPr b="1"/>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LDC2114_Config_tool!$O$110:$O$111</c:f>
              <c:numCache>
                <c:formatCode>General</c:formatCode>
                <c:ptCount val="2"/>
                <c:pt idx="0" formatCode="0.000">
                  <c:v>1.0573333333333335</c:v>
                </c:pt>
                <c:pt idx="1">
                  <c:v>1.0583906666666667</c:v>
                </c:pt>
              </c:numCache>
            </c:numRef>
          </c:xVal>
          <c:yVal>
            <c:numRef>
              <c:f>LDC2114_Config_tool!$P$110:$P$111</c:f>
              <c:numCache>
                <c:formatCode>0.00</c:formatCode>
                <c:ptCount val="2"/>
                <c:pt idx="0">
                  <c:v>18</c:v>
                </c:pt>
                <c:pt idx="1">
                  <c:v>17.998200000000001</c:v>
                </c:pt>
              </c:numCache>
            </c:numRef>
          </c:yVal>
          <c:smooth val="0"/>
        </c:ser>
        <c:ser>
          <c:idx val="9"/>
          <c:order val="9"/>
          <c:tx>
            <c:strRef>
              <c:f>LDC2114_Config_tool!$Q$109</c:f>
              <c:strCache>
                <c:ptCount val="1"/>
                <c:pt idx="0">
                  <c:v>Sensor1</c:v>
                </c:pt>
              </c:strCache>
            </c:strRef>
          </c:tx>
          <c:marker>
            <c:symbol val="none"/>
          </c:marker>
          <c:dPt>
            <c:idx val="0"/>
            <c:marker>
              <c:symbol val="diamond"/>
              <c:size val="6"/>
              <c:spPr>
                <a:solidFill>
                  <a:srgbClr val="00B050"/>
                </a:solidFill>
                <a:ln>
                  <a:solidFill>
                    <a:srgbClr val="00B050"/>
                  </a:solidFill>
                </a:ln>
              </c:spPr>
            </c:marker>
            <c:bubble3D val="0"/>
          </c:dPt>
          <c:dLbls>
            <c:spPr>
              <a:noFill/>
              <a:ln>
                <a:noFill/>
              </a:ln>
              <a:effectLst/>
            </c:spPr>
            <c:txPr>
              <a:bodyPr wrap="square" lIns="38100" tIns="19050" rIns="38100" bIns="19050" anchor="ctr">
                <a:spAutoFit/>
              </a:bodyPr>
              <a:lstStyle/>
              <a:p>
                <a:pPr>
                  <a:defRPr b="0"/>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LDC2114_Config_tool!$Q$110:$Q$111</c:f>
              <c:numCache>
                <c:formatCode>General</c:formatCode>
                <c:ptCount val="2"/>
                <c:pt idx="0" formatCode="0.000">
                  <c:v>1.054</c:v>
                </c:pt>
                <c:pt idx="1">
                  <c:v>1.0550539999999999</c:v>
                </c:pt>
              </c:numCache>
            </c:numRef>
          </c:xVal>
          <c:yVal>
            <c:numRef>
              <c:f>LDC2114_Config_tool!$R$110:$R$111</c:f>
              <c:numCache>
                <c:formatCode>General</c:formatCode>
                <c:ptCount val="2"/>
                <c:pt idx="0" formatCode="0.00">
                  <c:v>20</c:v>
                </c:pt>
                <c:pt idx="1">
                  <c:v>20</c:v>
                </c:pt>
              </c:numCache>
            </c:numRef>
          </c:yVal>
          <c:smooth val="0"/>
        </c:ser>
        <c:ser>
          <c:idx val="10"/>
          <c:order val="10"/>
          <c:tx>
            <c:strRef>
              <c:f>LDC2114_Config_tool!$S$109</c:f>
              <c:strCache>
                <c:ptCount val="1"/>
                <c:pt idx="0">
                  <c:v>Sensor2</c:v>
                </c:pt>
              </c:strCache>
            </c:strRef>
          </c:tx>
          <c:marker>
            <c:symbol val="diamond"/>
            <c:size val="6"/>
            <c:spPr>
              <a:solidFill>
                <a:srgbClr val="00B050">
                  <a:alpha val="77000"/>
                </a:srgbClr>
              </a:solidFill>
            </c:spPr>
          </c:marker>
          <c:dLbls>
            <c:spPr>
              <a:noFill/>
              <a:ln>
                <a:noFill/>
              </a:ln>
              <a:effectLst/>
            </c:spPr>
            <c:txPr>
              <a:bodyPr wrap="square" lIns="38100" tIns="19050" rIns="38100" bIns="19050" anchor="ctr">
                <a:spAutoFit/>
              </a:bodyPr>
              <a:lstStyle/>
              <a:p>
                <a:pPr>
                  <a:defRPr b="1"/>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LDC2114_Config_tool!$S$110:$S$111</c:f>
              <c:numCache>
                <c:formatCode>General</c:formatCode>
                <c:ptCount val="2"/>
                <c:pt idx="0" formatCode="0.000">
                  <c:v>1.054</c:v>
                </c:pt>
                <c:pt idx="1">
                  <c:v>1.0550539999999999</c:v>
                </c:pt>
              </c:numCache>
            </c:numRef>
          </c:xVal>
          <c:yVal>
            <c:numRef>
              <c:f>LDC2114_Config_tool!$T$110:$T$111</c:f>
              <c:numCache>
                <c:formatCode>General</c:formatCode>
                <c:ptCount val="2"/>
                <c:pt idx="0" formatCode="0.00">
                  <c:v>20</c:v>
                </c:pt>
                <c:pt idx="1">
                  <c:v>20.019999999999996</c:v>
                </c:pt>
              </c:numCache>
            </c:numRef>
          </c:yVal>
          <c:smooth val="0"/>
        </c:ser>
        <c:ser>
          <c:idx val="11"/>
          <c:order val="11"/>
          <c:tx>
            <c:strRef>
              <c:f>LDC2114_Config_tool!$U$109</c:f>
              <c:strCache>
                <c:ptCount val="1"/>
                <c:pt idx="0">
                  <c:v>Sensor3</c:v>
                </c:pt>
              </c:strCache>
            </c:strRef>
          </c:tx>
          <c:marker>
            <c:symbol val="diamond"/>
            <c:size val="6"/>
            <c:spPr>
              <a:solidFill>
                <a:srgbClr val="00B050"/>
              </a:solidFill>
              <a:ln>
                <a:solidFill>
                  <a:srgbClr val="00B050"/>
                </a:solidFill>
              </a:ln>
            </c:spPr>
          </c:marker>
          <c:dLbls>
            <c:spPr>
              <a:noFill/>
              <a:ln>
                <a:noFill/>
              </a:ln>
              <a:effectLst/>
            </c:spPr>
            <c:txPr>
              <a:bodyPr wrap="square" lIns="38100" tIns="19050" rIns="38100" bIns="19050" anchor="ctr">
                <a:spAutoFit/>
              </a:bodyPr>
              <a:lstStyle/>
              <a:p>
                <a:pPr>
                  <a:defRPr b="1"/>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LDC2114_Config_tool!$U$110:$U$111</c:f>
              <c:numCache>
                <c:formatCode>General</c:formatCode>
                <c:ptCount val="2"/>
                <c:pt idx="0" formatCode="0.000">
                  <c:v>1</c:v>
                </c:pt>
                <c:pt idx="1">
                  <c:v>1.0009999999999999</c:v>
                </c:pt>
              </c:numCache>
            </c:numRef>
          </c:xVal>
          <c:yVal>
            <c:numRef>
              <c:f>LDC2114_Config_tool!$V$110:$V$111</c:f>
              <c:numCache>
                <c:formatCode>General</c:formatCode>
                <c:ptCount val="2"/>
                <c:pt idx="0" formatCode="0.00">
                  <c:v>-100</c:v>
                </c:pt>
                <c:pt idx="1">
                  <c:v>-100.1</c:v>
                </c:pt>
              </c:numCache>
            </c:numRef>
          </c:yVal>
          <c:smooth val="0"/>
        </c:ser>
        <c:dLbls>
          <c:showLegendKey val="0"/>
          <c:showVal val="0"/>
          <c:showCatName val="0"/>
          <c:showSerName val="0"/>
          <c:showPercent val="0"/>
          <c:showBubbleSize val="0"/>
        </c:dLbls>
        <c:axId val="423103752"/>
        <c:axId val="423109240"/>
      </c:scatterChart>
      <c:valAx>
        <c:axId val="423103752"/>
        <c:scaling>
          <c:orientation val="minMax"/>
          <c:max val="9"/>
          <c:min val="0"/>
        </c:scaling>
        <c:delete val="0"/>
        <c:axPos val="b"/>
        <c:majorGridlines>
          <c:spPr>
            <a:ln>
              <a:solidFill>
                <a:schemeClr val="bg1">
                  <a:lumMod val="85000"/>
                </a:schemeClr>
              </a:solidFill>
            </a:ln>
          </c:spPr>
        </c:majorGridlines>
        <c:minorGridlines>
          <c:spPr>
            <a:ln>
              <a:solidFill>
                <a:schemeClr val="bg1">
                  <a:lumMod val="95000"/>
                </a:schemeClr>
              </a:solidFill>
            </a:ln>
          </c:spPr>
        </c:minorGridlines>
        <c:title>
          <c:tx>
            <c:rich>
              <a:bodyPr/>
              <a:lstStyle/>
              <a:p>
                <a:pPr>
                  <a:defRPr/>
                </a:pPr>
                <a:r>
                  <a:rPr lang="en-US"/>
                  <a:t>Sample Interval (ms)</a:t>
                </a:r>
              </a:p>
            </c:rich>
          </c:tx>
          <c:overlay val="0"/>
        </c:title>
        <c:numFmt formatCode="#,##0.0" sourceLinked="0"/>
        <c:majorTickMark val="out"/>
        <c:minorTickMark val="none"/>
        <c:tickLblPos val="nextTo"/>
        <c:crossAx val="423109240"/>
        <c:crosses val="autoZero"/>
        <c:crossBetween val="midCat"/>
        <c:majorUnit val="1"/>
        <c:minorUnit val="0.25"/>
      </c:valAx>
      <c:valAx>
        <c:axId val="423109240"/>
        <c:scaling>
          <c:orientation val="minMax"/>
          <c:max val="30"/>
          <c:min val="1.0000000000000003E-4"/>
        </c:scaling>
        <c:delete val="0"/>
        <c:axPos val="l"/>
        <c:majorGridlines>
          <c:spPr>
            <a:ln>
              <a:solidFill>
                <a:schemeClr val="bg1">
                  <a:lumMod val="85000"/>
                </a:schemeClr>
              </a:solidFill>
            </a:ln>
          </c:spPr>
        </c:majorGridlines>
        <c:minorGridlines>
          <c:spPr>
            <a:ln>
              <a:solidFill>
                <a:schemeClr val="bg1">
                  <a:lumMod val="95000"/>
                </a:schemeClr>
              </a:solidFill>
            </a:ln>
          </c:spPr>
        </c:minorGridlines>
        <c:title>
          <c:tx>
            <c:rich>
              <a:bodyPr rot="-5400000" vert="horz"/>
              <a:lstStyle/>
              <a:p>
                <a:pPr>
                  <a:defRPr/>
                </a:pPr>
                <a:r>
                  <a:rPr lang="en-US"/>
                  <a:t>Maximum fSENSOR (MHz)</a:t>
                </a:r>
              </a:p>
            </c:rich>
          </c:tx>
          <c:overlay val="0"/>
        </c:title>
        <c:numFmt formatCode="#,##0.0" sourceLinked="0"/>
        <c:majorTickMark val="out"/>
        <c:minorTickMark val="none"/>
        <c:tickLblPos val="nextTo"/>
        <c:crossAx val="423103752"/>
        <c:crosses val="autoZero"/>
        <c:crossBetween val="midCat"/>
        <c:majorUnit val="5"/>
      </c:valAx>
    </c:plotArea>
    <c:plotVisOnly val="0"/>
    <c:dispBlanksAs val="gap"/>
    <c:showDLblsOverMax val="0"/>
  </c:chart>
  <c:txPr>
    <a:bodyPr/>
    <a:lstStyle/>
    <a:p>
      <a:pPr>
        <a:defRPr sz="900"/>
      </a:pPr>
      <a:endParaRPr lang="ja-JP"/>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7023509465975637"/>
          <c:y val="5.245651966575021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6195756121603017"/>
          <c:y val="0.17687391317898268"/>
          <c:w val="0.77873751003388592"/>
          <c:h val="0.65050464542646191"/>
        </c:manualLayout>
      </c:layout>
      <c:scatterChart>
        <c:scatterStyle val="smoothMarker"/>
        <c:varyColors val="0"/>
        <c:ser>
          <c:idx val="0"/>
          <c:order val="0"/>
          <c:tx>
            <c:strRef>
              <c:f>Metal_Deflection!$H$93</c:f>
              <c:strCache>
                <c:ptCount val="1"/>
                <c:pt idx="0">
                  <c:v>1N Concentrated Force Deflection</c:v>
                </c:pt>
              </c:strCache>
            </c:strRef>
          </c:tx>
          <c:spPr>
            <a:ln w="19050" cap="rnd">
              <a:solidFill>
                <a:schemeClr val="accent1"/>
              </a:solidFill>
              <a:round/>
            </a:ln>
            <a:effectLst/>
          </c:spPr>
          <c:marker>
            <c:symbol val="none"/>
          </c:marker>
          <c:xVal>
            <c:numRef>
              <c:f>Metal_Deflection!$G$94:$G$155</c:f>
              <c:numCache>
                <c:formatCode>General</c:formatCode>
                <c:ptCount val="62"/>
                <c:pt idx="0">
                  <c:v>-7.4924999999999997</c:v>
                </c:pt>
                <c:pt idx="1">
                  <c:v>-6.7432499999999997</c:v>
                </c:pt>
                <c:pt idx="2">
                  <c:v>-6.0689250000000001</c:v>
                </c:pt>
                <c:pt idx="3">
                  <c:v>-5.4620325000000012</c:v>
                </c:pt>
                <c:pt idx="4">
                  <c:v>-4.9158292500000007</c:v>
                </c:pt>
                <c:pt idx="5">
                  <c:v>-4.4242463250000004</c:v>
                </c:pt>
                <c:pt idx="6">
                  <c:v>-3.9818216925000001</c:v>
                </c:pt>
                <c:pt idx="7">
                  <c:v>-3.58363952325</c:v>
                </c:pt>
                <c:pt idx="8">
                  <c:v>-3.2252755709250005</c:v>
                </c:pt>
                <c:pt idx="9">
                  <c:v>-2.9027480138325004</c:v>
                </c:pt>
                <c:pt idx="10">
                  <c:v>-2.6124732124492502</c:v>
                </c:pt>
                <c:pt idx="11">
                  <c:v>-2.3512258912043253</c:v>
                </c:pt>
                <c:pt idx="12">
                  <c:v>-2.1161033020838929</c:v>
                </c:pt>
                <c:pt idx="13">
                  <c:v>-1.9044929718755035</c:v>
                </c:pt>
                <c:pt idx="14">
                  <c:v>-1.7140436746879533</c:v>
                </c:pt>
                <c:pt idx="15">
                  <c:v>-1.542639307219158</c:v>
                </c:pt>
                <c:pt idx="16">
                  <c:v>-1.3883753764972422</c:v>
                </c:pt>
                <c:pt idx="17">
                  <c:v>-1.249537838847518</c:v>
                </c:pt>
                <c:pt idx="18">
                  <c:v>-1.1245840549627661</c:v>
                </c:pt>
                <c:pt idx="19">
                  <c:v>-1.0121256494664896</c:v>
                </c:pt>
                <c:pt idx="20">
                  <c:v>-0.91091308451984077</c:v>
                </c:pt>
                <c:pt idx="21">
                  <c:v>-0.81982177606785667</c:v>
                </c:pt>
                <c:pt idx="22">
                  <c:v>-0.73783959846107106</c:v>
                </c:pt>
                <c:pt idx="23">
                  <c:v>-0.66405563861496397</c:v>
                </c:pt>
                <c:pt idx="24">
                  <c:v>-0.59765007475346765</c:v>
                </c:pt>
                <c:pt idx="25">
                  <c:v>-0.5378850672781208</c:v>
                </c:pt>
                <c:pt idx="26">
                  <c:v>-0.4840965605503087</c:v>
                </c:pt>
                <c:pt idx="27">
                  <c:v>-0.43568690449527786</c:v>
                </c:pt>
                <c:pt idx="28">
                  <c:v>-0.39211821404575009</c:v>
                </c:pt>
                <c:pt idx="29">
                  <c:v>-0.35290639264117507</c:v>
                </c:pt>
                <c:pt idx="30">
                  <c:v>-0.31761575337705755</c:v>
                </c:pt>
                <c:pt idx="31">
                  <c:v>0.31761575337705755</c:v>
                </c:pt>
                <c:pt idx="32">
                  <c:v>0.35290639264117507</c:v>
                </c:pt>
                <c:pt idx="33">
                  <c:v>0.39211821404575009</c:v>
                </c:pt>
                <c:pt idx="34">
                  <c:v>0.43568690449527786</c:v>
                </c:pt>
                <c:pt idx="35">
                  <c:v>0.4840965605503087</c:v>
                </c:pt>
                <c:pt idx="36">
                  <c:v>0.5378850672781208</c:v>
                </c:pt>
                <c:pt idx="37">
                  <c:v>0.59765007475346765</c:v>
                </c:pt>
                <c:pt idx="38">
                  <c:v>0.66405563861496397</c:v>
                </c:pt>
                <c:pt idx="39">
                  <c:v>0.73783959846107106</c:v>
                </c:pt>
                <c:pt idx="40">
                  <c:v>0.81982177606785667</c:v>
                </c:pt>
                <c:pt idx="41">
                  <c:v>0.91091308451984077</c:v>
                </c:pt>
                <c:pt idx="42">
                  <c:v>1.0121256494664896</c:v>
                </c:pt>
                <c:pt idx="43">
                  <c:v>1.1245840549627664</c:v>
                </c:pt>
                <c:pt idx="44">
                  <c:v>1.2495378388475182</c:v>
                </c:pt>
                <c:pt idx="45">
                  <c:v>1.3883753764972424</c:v>
                </c:pt>
                <c:pt idx="46">
                  <c:v>1.5426393072191582</c:v>
                </c:pt>
                <c:pt idx="47">
                  <c:v>1.7140436746879535</c:v>
                </c:pt>
                <c:pt idx="48">
                  <c:v>1.9044929718755039</c:v>
                </c:pt>
                <c:pt idx="49">
                  <c:v>2.1161033020838933</c:v>
                </c:pt>
                <c:pt idx="50">
                  <c:v>2.3512258912043258</c:v>
                </c:pt>
                <c:pt idx="51">
                  <c:v>2.6124732124492511</c:v>
                </c:pt>
                <c:pt idx="52">
                  <c:v>2.9027480138325013</c:v>
                </c:pt>
                <c:pt idx="53">
                  <c:v>3.2252755709250009</c:v>
                </c:pt>
                <c:pt idx="54">
                  <c:v>3.5836395232500009</c:v>
                </c:pt>
                <c:pt idx="55">
                  <c:v>3.981821692500001</c:v>
                </c:pt>
                <c:pt idx="56">
                  <c:v>4.4242463250000013</c:v>
                </c:pt>
                <c:pt idx="57">
                  <c:v>4.9158292500000016</c:v>
                </c:pt>
                <c:pt idx="58">
                  <c:v>5.4620325000000021</c:v>
                </c:pt>
                <c:pt idx="59">
                  <c:v>6.068925000000001</c:v>
                </c:pt>
                <c:pt idx="60">
                  <c:v>6.7432500000000015</c:v>
                </c:pt>
                <c:pt idx="61">
                  <c:v>7.4925000000000015</c:v>
                </c:pt>
              </c:numCache>
            </c:numRef>
          </c:xVal>
          <c:yVal>
            <c:numRef>
              <c:f>Metal_Deflection!$H$94:$H$155</c:f>
              <c:numCache>
                <c:formatCode>General</c:formatCode>
                <c:ptCount val="62"/>
                <c:pt idx="0">
                  <c:v>-4.8294982736026236E-7</c:v>
                </c:pt>
                <c:pt idx="1">
                  <c:v>-4.4376641086582101E-3</c:v>
                </c:pt>
                <c:pt idx="2">
                  <c:v>-1.4402803884695564E-2</c:v>
                </c:pt>
                <c:pt idx="3">
                  <c:v>-2.6654595318113702E-2</c:v>
                </c:pt>
                <c:pt idx="4">
                  <c:v>-3.9321062890930979E-2</c:v>
                </c:pt>
                <c:pt idx="5">
                  <c:v>-5.1380266708271234E-2</c:v>
                </c:pt>
                <c:pt idx="6">
                  <c:v>-6.2328785231508164E-2</c:v>
                </c:pt>
                <c:pt idx="7">
                  <c:v>-7.1971652902534725E-2</c:v>
                </c:pt>
                <c:pt idx="8">
                  <c:v>-8.029056956251919E-2</c:v>
                </c:pt>
                <c:pt idx="9">
                  <c:v>-8.7362318039764394E-2</c:v>
                </c:pt>
                <c:pt idx="10">
                  <c:v>-9.3309195093554814E-2</c:v>
                </c:pt>
                <c:pt idx="11">
                  <c:v>-9.8269694459621235E-2</c:v>
                </c:pt>
                <c:pt idx="12">
                  <c:v>-0.10238186829186781</c:v>
                </c:pt>
                <c:pt idx="13">
                  <c:v>-0.10577451360372278</c:v>
                </c:pt>
                <c:pt idx="14">
                  <c:v>-0.10856309312185043</c:v>
                </c:pt>
                <c:pt idx="15">
                  <c:v>-0.11084843873619986</c:v>
                </c:pt>
                <c:pt idx="16">
                  <c:v>-0.11271701845370426</c:v>
                </c:pt>
                <c:pt idx="17">
                  <c:v>-0.114242016818902</c:v>
                </c:pt>
                <c:pt idx="18">
                  <c:v>-0.11548477704846814</c:v>
                </c:pt>
                <c:pt idx="19">
                  <c:v>-0.11649634116483602</c:v>
                </c:pt>
                <c:pt idx="20">
                  <c:v>-0.11731894157668213</c:v>
                </c:pt>
                <c:pt idx="21">
                  <c:v>-0.11798736939492299</c:v>
                </c:pt>
                <c:pt idx="22">
                  <c:v>-0.11853018783377403</c:v>
                </c:pt>
                <c:pt idx="23">
                  <c:v>-0.11897078399881984</c:v>
                </c:pt>
                <c:pt idx="24">
                  <c:v>-0.11932826606243201</c:v>
                </c:pt>
                <c:pt idx="25">
                  <c:v>-0.11961821964934573</c:v>
                </c:pt>
                <c:pt idx="26">
                  <c:v>-0.11985333997775184</c:v>
                </c:pt>
                <c:pt idx="27">
                  <c:v>-0.12004395666704498</c:v>
                </c:pt>
                <c:pt idx="28">
                  <c:v>-0.12019846721276921</c:v>
                </c:pt>
                <c:pt idx="29">
                  <c:v>-0.12032369359988085</c:v>
                </c:pt>
                <c:pt idx="30">
                  <c:v>-0.12042517476709501</c:v>
                </c:pt>
                <c:pt idx="31">
                  <c:v>-0.12042517476709501</c:v>
                </c:pt>
                <c:pt idx="32">
                  <c:v>-0.12032369359988085</c:v>
                </c:pt>
                <c:pt idx="33">
                  <c:v>-0.12019846721276921</c:v>
                </c:pt>
                <c:pt idx="34">
                  <c:v>-0.12004395666704498</c:v>
                </c:pt>
                <c:pt idx="35">
                  <c:v>-0.11985333997775184</c:v>
                </c:pt>
                <c:pt idx="36">
                  <c:v>-0.11961821964934573</c:v>
                </c:pt>
                <c:pt idx="37">
                  <c:v>-0.11932826606243201</c:v>
                </c:pt>
                <c:pt idx="38">
                  <c:v>-0.11897078399881984</c:v>
                </c:pt>
                <c:pt idx="39">
                  <c:v>-0.11853018783377403</c:v>
                </c:pt>
                <c:pt idx="40">
                  <c:v>-0.11798736939492299</c:v>
                </c:pt>
                <c:pt idx="41">
                  <c:v>-0.11731894157668213</c:v>
                </c:pt>
                <c:pt idx="42">
                  <c:v>-0.11649634116483602</c:v>
                </c:pt>
                <c:pt idx="43">
                  <c:v>-0.11548477704846814</c:v>
                </c:pt>
                <c:pt idx="44">
                  <c:v>-0.114242016818902</c:v>
                </c:pt>
                <c:pt idx="45">
                  <c:v>-0.11271701845370426</c:v>
                </c:pt>
                <c:pt idx="46">
                  <c:v>-0.11084843873619986</c:v>
                </c:pt>
                <c:pt idx="47">
                  <c:v>-0.10856309312185043</c:v>
                </c:pt>
                <c:pt idx="48">
                  <c:v>-0.10577451360372278</c:v>
                </c:pt>
                <c:pt idx="49">
                  <c:v>-0.10238186829186781</c:v>
                </c:pt>
                <c:pt idx="50">
                  <c:v>-9.8269694459621235E-2</c:v>
                </c:pt>
                <c:pt idx="51">
                  <c:v>-9.3309195093554786E-2</c:v>
                </c:pt>
                <c:pt idx="52">
                  <c:v>-8.7362318039764394E-2</c:v>
                </c:pt>
                <c:pt idx="53">
                  <c:v>-8.0290569562519176E-2</c:v>
                </c:pt>
                <c:pt idx="54">
                  <c:v>-7.1971652902534697E-2</c:v>
                </c:pt>
                <c:pt idx="55">
                  <c:v>-6.2328785231508151E-2</c:v>
                </c:pt>
                <c:pt idx="56">
                  <c:v>-5.1380266708271199E-2</c:v>
                </c:pt>
                <c:pt idx="57">
                  <c:v>-3.9321062890930979E-2</c:v>
                </c:pt>
                <c:pt idx="58">
                  <c:v>-2.6654595318113688E-2</c:v>
                </c:pt>
                <c:pt idx="59">
                  <c:v>-1.4402803884695555E-2</c:v>
                </c:pt>
                <c:pt idx="60">
                  <c:v>-4.4376641086581944E-3</c:v>
                </c:pt>
                <c:pt idx="61">
                  <c:v>-4.8294982736004785E-7</c:v>
                </c:pt>
              </c:numCache>
            </c:numRef>
          </c:yVal>
          <c:smooth val="1"/>
        </c:ser>
        <c:dLbls>
          <c:showLegendKey val="0"/>
          <c:showVal val="0"/>
          <c:showCatName val="0"/>
          <c:showSerName val="0"/>
          <c:showPercent val="0"/>
          <c:showBubbleSize val="0"/>
        </c:dLbls>
        <c:axId val="429691496"/>
        <c:axId val="429691888"/>
      </c:scatterChart>
      <c:valAx>
        <c:axId val="429691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a:t>
                </a:r>
                <a:r>
                  <a:rPr lang="en-US" baseline="0"/>
                  <a:t> from Center</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691888"/>
        <c:crossesAt val="-100000"/>
        <c:crossBetween val="midCat"/>
      </c:valAx>
      <c:valAx>
        <c:axId val="4296918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Deflection (µm)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691496"/>
        <c:crossesAt val="-1000000"/>
        <c:crossBetween val="midCat"/>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76454355054208"/>
          <c:y val="7.3879799222360293E-2"/>
          <c:w val="0.76210122472333319"/>
          <c:h val="0.74240517006449613"/>
        </c:manualLayout>
      </c:layout>
      <c:scatterChart>
        <c:scatterStyle val="smoothMarker"/>
        <c:varyColors val="0"/>
        <c:ser>
          <c:idx val="3"/>
          <c:order val="0"/>
          <c:tx>
            <c:v>Min L drive</c:v>
          </c:tx>
          <c:spPr>
            <a:ln w="38100">
              <a:solidFill>
                <a:srgbClr val="951609"/>
              </a:solidFill>
              <a:prstDash val="solid"/>
            </a:ln>
          </c:spPr>
          <c:marker>
            <c:symbol val="none"/>
          </c:marker>
          <c:errBars>
            <c:errDir val="y"/>
            <c:errBarType val="minus"/>
            <c:errValType val="percentage"/>
            <c:noEndCap val="0"/>
            <c:val val="1000"/>
            <c:spPr>
              <a:ln w="50800">
                <a:solidFill>
                  <a:srgbClr val="951609"/>
                </a:solidFill>
              </a:ln>
            </c:spPr>
          </c:errBars>
          <c:xVal>
            <c:numRef>
              <c:f>LDC0851_calc!$B$125:$B$203</c:f>
              <c:numCache>
                <c:formatCode>0.00E+00</c:formatCode>
                <c:ptCount val="79"/>
                <c:pt idx="0">
                  <c:v>250000</c:v>
                </c:pt>
                <c:pt idx="1">
                  <c:v>500000</c:v>
                </c:pt>
                <c:pt idx="2">
                  <c:v>750000</c:v>
                </c:pt>
                <c:pt idx="3">
                  <c:v>1000000</c:v>
                </c:pt>
                <c:pt idx="4">
                  <c:v>1250000</c:v>
                </c:pt>
                <c:pt idx="5">
                  <c:v>1500000</c:v>
                </c:pt>
                <c:pt idx="6">
                  <c:v>1750000</c:v>
                </c:pt>
                <c:pt idx="7">
                  <c:v>2000000</c:v>
                </c:pt>
                <c:pt idx="8">
                  <c:v>2250000</c:v>
                </c:pt>
                <c:pt idx="9">
                  <c:v>2500000</c:v>
                </c:pt>
                <c:pt idx="10">
                  <c:v>2750000</c:v>
                </c:pt>
                <c:pt idx="11">
                  <c:v>3000000</c:v>
                </c:pt>
                <c:pt idx="12">
                  <c:v>3250000</c:v>
                </c:pt>
                <c:pt idx="13">
                  <c:v>3500000</c:v>
                </c:pt>
                <c:pt idx="14">
                  <c:v>3750000</c:v>
                </c:pt>
                <c:pt idx="15">
                  <c:v>4000000</c:v>
                </c:pt>
                <c:pt idx="16">
                  <c:v>4250000</c:v>
                </c:pt>
                <c:pt idx="17">
                  <c:v>4500000</c:v>
                </c:pt>
                <c:pt idx="18">
                  <c:v>4750000</c:v>
                </c:pt>
                <c:pt idx="19">
                  <c:v>5000000</c:v>
                </c:pt>
                <c:pt idx="20">
                  <c:v>5250000</c:v>
                </c:pt>
                <c:pt idx="21">
                  <c:v>5500000</c:v>
                </c:pt>
                <c:pt idx="22">
                  <c:v>5750000</c:v>
                </c:pt>
                <c:pt idx="23">
                  <c:v>6000000</c:v>
                </c:pt>
                <c:pt idx="24">
                  <c:v>6250000</c:v>
                </c:pt>
                <c:pt idx="25">
                  <c:v>6500000</c:v>
                </c:pt>
                <c:pt idx="26">
                  <c:v>6750000</c:v>
                </c:pt>
                <c:pt idx="27">
                  <c:v>7000000</c:v>
                </c:pt>
                <c:pt idx="28">
                  <c:v>7250000</c:v>
                </c:pt>
                <c:pt idx="29">
                  <c:v>7500000</c:v>
                </c:pt>
                <c:pt idx="30">
                  <c:v>7750000</c:v>
                </c:pt>
                <c:pt idx="31">
                  <c:v>8000000</c:v>
                </c:pt>
                <c:pt idx="32">
                  <c:v>8250000</c:v>
                </c:pt>
                <c:pt idx="33">
                  <c:v>8500000</c:v>
                </c:pt>
                <c:pt idx="34">
                  <c:v>8750000</c:v>
                </c:pt>
                <c:pt idx="35">
                  <c:v>9000000</c:v>
                </c:pt>
                <c:pt idx="36">
                  <c:v>9250000</c:v>
                </c:pt>
                <c:pt idx="37">
                  <c:v>9500000</c:v>
                </c:pt>
                <c:pt idx="38">
                  <c:v>9750000</c:v>
                </c:pt>
                <c:pt idx="39">
                  <c:v>10000000</c:v>
                </c:pt>
                <c:pt idx="40">
                  <c:v>10250000</c:v>
                </c:pt>
                <c:pt idx="41">
                  <c:v>10500000</c:v>
                </c:pt>
                <c:pt idx="42">
                  <c:v>10750000</c:v>
                </c:pt>
                <c:pt idx="43">
                  <c:v>11000000</c:v>
                </c:pt>
                <c:pt idx="44">
                  <c:v>11250000</c:v>
                </c:pt>
                <c:pt idx="45">
                  <c:v>11500000</c:v>
                </c:pt>
                <c:pt idx="46">
                  <c:v>11750000</c:v>
                </c:pt>
                <c:pt idx="47">
                  <c:v>12000000</c:v>
                </c:pt>
                <c:pt idx="48">
                  <c:v>12250000</c:v>
                </c:pt>
                <c:pt idx="49">
                  <c:v>12500000</c:v>
                </c:pt>
                <c:pt idx="50">
                  <c:v>12750000</c:v>
                </c:pt>
                <c:pt idx="51">
                  <c:v>13000000</c:v>
                </c:pt>
                <c:pt idx="52">
                  <c:v>13250000</c:v>
                </c:pt>
                <c:pt idx="53">
                  <c:v>13500000</c:v>
                </c:pt>
                <c:pt idx="54">
                  <c:v>13750000</c:v>
                </c:pt>
                <c:pt idx="55">
                  <c:v>14000000</c:v>
                </c:pt>
                <c:pt idx="56">
                  <c:v>14250000</c:v>
                </c:pt>
                <c:pt idx="57">
                  <c:v>14500000</c:v>
                </c:pt>
                <c:pt idx="58">
                  <c:v>14750000</c:v>
                </c:pt>
                <c:pt idx="59">
                  <c:v>15000000</c:v>
                </c:pt>
                <c:pt idx="60">
                  <c:v>15250000</c:v>
                </c:pt>
                <c:pt idx="61">
                  <c:v>15500000</c:v>
                </c:pt>
                <c:pt idx="62">
                  <c:v>15750000</c:v>
                </c:pt>
                <c:pt idx="63">
                  <c:v>16000000</c:v>
                </c:pt>
                <c:pt idx="64">
                  <c:v>16250000</c:v>
                </c:pt>
                <c:pt idx="65">
                  <c:v>16500000</c:v>
                </c:pt>
                <c:pt idx="66">
                  <c:v>16750000</c:v>
                </c:pt>
                <c:pt idx="67">
                  <c:v>17000000</c:v>
                </c:pt>
                <c:pt idx="68">
                  <c:v>17250000</c:v>
                </c:pt>
                <c:pt idx="69">
                  <c:v>17500000</c:v>
                </c:pt>
                <c:pt idx="70">
                  <c:v>17750000</c:v>
                </c:pt>
                <c:pt idx="71">
                  <c:v>18000000</c:v>
                </c:pt>
                <c:pt idx="72">
                  <c:v>18250000</c:v>
                </c:pt>
                <c:pt idx="73">
                  <c:v>18500000</c:v>
                </c:pt>
                <c:pt idx="74">
                  <c:v>18750000</c:v>
                </c:pt>
                <c:pt idx="75">
                  <c:v>19000000</c:v>
                </c:pt>
                <c:pt idx="76">
                  <c:v>19250000</c:v>
                </c:pt>
                <c:pt idx="77">
                  <c:v>19500000</c:v>
                </c:pt>
                <c:pt idx="78">
                  <c:v>19750000</c:v>
                </c:pt>
              </c:numCache>
            </c:numRef>
          </c:xVal>
          <c:yVal>
            <c:numRef>
              <c:f>LDC0851_calc!$C$125:$C$203</c:f>
              <c:numCache>
                <c:formatCode>0.00E+00</c:formatCode>
                <c:ptCount val="79"/>
                <c:pt idx="0">
                  <c:v>137.93428401297598</c:v>
                </c:pt>
                <c:pt idx="1">
                  <c:v>68.96714200648799</c:v>
                </c:pt>
                <c:pt idx="2">
                  <c:v>45.978094670991986</c:v>
                </c:pt>
                <c:pt idx="3">
                  <c:v>34.483571003243995</c:v>
                </c:pt>
                <c:pt idx="4">
                  <c:v>27.586856802595197</c:v>
                </c:pt>
                <c:pt idx="5">
                  <c:v>22.989047335495993</c:v>
                </c:pt>
                <c:pt idx="6">
                  <c:v>19.704897716139428</c:v>
                </c:pt>
                <c:pt idx="7">
                  <c:v>17.241785501621997</c:v>
                </c:pt>
                <c:pt idx="8">
                  <c:v>15.32603155699733</c:v>
                </c:pt>
                <c:pt idx="9">
                  <c:v>13.793428401297598</c:v>
                </c:pt>
                <c:pt idx="10">
                  <c:v>12.539480364815997</c:v>
                </c:pt>
                <c:pt idx="11">
                  <c:v>11.494523667747996</c:v>
                </c:pt>
                <c:pt idx="12">
                  <c:v>10.610329539459689</c:v>
                </c:pt>
                <c:pt idx="13">
                  <c:v>9.8524488580697138</c:v>
                </c:pt>
                <c:pt idx="14">
                  <c:v>9.1956189341983983</c:v>
                </c:pt>
                <c:pt idx="15">
                  <c:v>8.6208927508109987</c:v>
                </c:pt>
                <c:pt idx="16">
                  <c:v>8.1137814125279988</c:v>
                </c:pt>
                <c:pt idx="17">
                  <c:v>7.6630157784986652</c:v>
                </c:pt>
                <c:pt idx="18">
                  <c:v>7.2596991585776829</c:v>
                </c:pt>
                <c:pt idx="19">
                  <c:v>6.8967142006487991</c:v>
                </c:pt>
                <c:pt idx="20">
                  <c:v>6.5682992387131414</c:v>
                </c:pt>
                <c:pt idx="21">
                  <c:v>6.2697401824079986</c:v>
                </c:pt>
                <c:pt idx="22">
                  <c:v>5.997142783172869</c:v>
                </c:pt>
                <c:pt idx="23">
                  <c:v>5.7472618338739982</c:v>
                </c:pt>
                <c:pt idx="24">
                  <c:v>5.5173713605190384</c:v>
                </c:pt>
                <c:pt idx="25">
                  <c:v>5.3051647697298447</c:v>
                </c:pt>
                <c:pt idx="26">
                  <c:v>5.1086771856657771</c:v>
                </c:pt>
                <c:pt idx="27">
                  <c:v>4.9262244290348569</c:v>
                </c:pt>
                <c:pt idx="28">
                  <c:v>4.7563546211371026</c:v>
                </c:pt>
                <c:pt idx="29">
                  <c:v>4.5978094670991991</c:v>
                </c:pt>
                <c:pt idx="30">
                  <c:v>4.4494930326766449</c:v>
                </c:pt>
                <c:pt idx="31">
                  <c:v>4.3104463754054994</c:v>
                </c:pt>
                <c:pt idx="32">
                  <c:v>4.179826788271999</c:v>
                </c:pt>
                <c:pt idx="33">
                  <c:v>4.0568907062639994</c:v>
                </c:pt>
                <c:pt idx="34">
                  <c:v>3.9409795432278845</c:v>
                </c:pt>
                <c:pt idx="35">
                  <c:v>3.8315078892493326</c:v>
                </c:pt>
                <c:pt idx="36">
                  <c:v>3.7279536219723237</c:v>
                </c:pt>
                <c:pt idx="37">
                  <c:v>3.6298495792888414</c:v>
                </c:pt>
                <c:pt idx="38">
                  <c:v>3.5367765131532298</c:v>
                </c:pt>
                <c:pt idx="39">
                  <c:v>3.4483571003243996</c:v>
                </c:pt>
                <c:pt idx="40">
                  <c:v>3.3642508295847797</c:v>
                </c:pt>
                <c:pt idx="41">
                  <c:v>3.2841496193565707</c:v>
                </c:pt>
                <c:pt idx="42">
                  <c:v>3.2077740468133946</c:v>
                </c:pt>
                <c:pt idx="43">
                  <c:v>3.1348700912039993</c:v>
                </c:pt>
                <c:pt idx="44">
                  <c:v>3.0652063113994661</c:v>
                </c:pt>
                <c:pt idx="45">
                  <c:v>2.9985713915864345</c:v>
                </c:pt>
                <c:pt idx="46">
                  <c:v>2.9347720002760842</c:v>
                </c:pt>
                <c:pt idx="47">
                  <c:v>2.8736309169369991</c:v>
                </c:pt>
                <c:pt idx="48">
                  <c:v>2.814985388019918</c:v>
                </c:pt>
                <c:pt idx="49">
                  <c:v>2.7586856802595192</c:v>
                </c:pt>
                <c:pt idx="50">
                  <c:v>2.7045938041759996</c:v>
                </c:pt>
                <c:pt idx="51">
                  <c:v>2.6525823848649224</c:v>
                </c:pt>
                <c:pt idx="52">
                  <c:v>2.6025336606221878</c:v>
                </c:pt>
                <c:pt idx="53">
                  <c:v>2.5543385928328886</c:v>
                </c:pt>
                <c:pt idx="54">
                  <c:v>2.5078960729631996</c:v>
                </c:pt>
                <c:pt idx="55">
                  <c:v>2.4631122145174285</c:v>
                </c:pt>
                <c:pt idx="56">
                  <c:v>2.4198997195258944</c:v>
                </c:pt>
                <c:pt idx="57">
                  <c:v>2.3781773105685513</c:v>
                </c:pt>
                <c:pt idx="58">
                  <c:v>2.3378692205589147</c:v>
                </c:pt>
                <c:pt idx="59">
                  <c:v>2.2989047335495996</c:v>
                </c:pt>
                <c:pt idx="60">
                  <c:v>2.261217770704524</c:v>
                </c:pt>
                <c:pt idx="61">
                  <c:v>2.2247465163383224</c:v>
                </c:pt>
                <c:pt idx="62">
                  <c:v>2.1894330795710473</c:v>
                </c:pt>
                <c:pt idx="63">
                  <c:v>2.1552231877027497</c:v>
                </c:pt>
                <c:pt idx="64">
                  <c:v>2.1220659078919382</c:v>
                </c:pt>
                <c:pt idx="65">
                  <c:v>2.0899133941359995</c:v>
                </c:pt>
                <c:pt idx="66">
                  <c:v>2.0587206569100895</c:v>
                </c:pt>
                <c:pt idx="67">
                  <c:v>2.0284453531319997</c:v>
                </c:pt>
                <c:pt idx="68">
                  <c:v>1.9990475943909563</c:v>
                </c:pt>
                <c:pt idx="69">
                  <c:v>1.9704897716139422</c:v>
                </c:pt>
                <c:pt idx="70">
                  <c:v>1.9427363945489573</c:v>
                </c:pt>
                <c:pt idx="71">
                  <c:v>1.9157539446246663</c:v>
                </c:pt>
                <c:pt idx="72">
                  <c:v>1.8895107399037805</c:v>
                </c:pt>
                <c:pt idx="73">
                  <c:v>1.8639768109861619</c:v>
                </c:pt>
                <c:pt idx="74">
                  <c:v>1.8391237868396799</c:v>
                </c:pt>
                <c:pt idx="75">
                  <c:v>1.8149247896444207</c:v>
                </c:pt>
                <c:pt idx="76">
                  <c:v>1.7913543378308565</c:v>
                </c:pt>
                <c:pt idx="77">
                  <c:v>1.7683882565766149</c:v>
                </c:pt>
                <c:pt idx="78">
                  <c:v>1.7460035951009616</c:v>
                </c:pt>
              </c:numCache>
            </c:numRef>
          </c:yVal>
          <c:smooth val="1"/>
        </c:ser>
        <c:ser>
          <c:idx val="0"/>
          <c:order val="1"/>
          <c:tx>
            <c:strRef>
              <c:f>LDC0851_calc!$D$124</c:f>
              <c:strCache>
                <c:ptCount val="1"/>
                <c:pt idx="0">
                  <c:v>Csensor &lt; 33pF</c:v>
                </c:pt>
              </c:strCache>
            </c:strRef>
          </c:tx>
          <c:spPr>
            <a:ln w="38100">
              <a:solidFill>
                <a:srgbClr val="951609"/>
              </a:solidFill>
              <a:prstDash val="solid"/>
            </a:ln>
          </c:spPr>
          <c:marker>
            <c:symbol val="none"/>
          </c:marker>
          <c:errBars>
            <c:errDir val="y"/>
            <c:errBarType val="plus"/>
            <c:errValType val="percentage"/>
            <c:noEndCap val="0"/>
            <c:val val="1000"/>
            <c:spPr>
              <a:ln w="50800">
                <a:solidFill>
                  <a:srgbClr val="951609"/>
                </a:solidFill>
              </a:ln>
            </c:spPr>
          </c:errBars>
          <c:xVal>
            <c:numRef>
              <c:f>LDC0851_calc!$B$125:$B$203</c:f>
              <c:numCache>
                <c:formatCode>0.00E+00</c:formatCode>
                <c:ptCount val="79"/>
                <c:pt idx="0">
                  <c:v>250000</c:v>
                </c:pt>
                <c:pt idx="1">
                  <c:v>500000</c:v>
                </c:pt>
                <c:pt idx="2">
                  <c:v>750000</c:v>
                </c:pt>
                <c:pt idx="3">
                  <c:v>1000000</c:v>
                </c:pt>
                <c:pt idx="4">
                  <c:v>1250000</c:v>
                </c:pt>
                <c:pt idx="5">
                  <c:v>1500000</c:v>
                </c:pt>
                <c:pt idx="6">
                  <c:v>1750000</c:v>
                </c:pt>
                <c:pt idx="7">
                  <c:v>2000000</c:v>
                </c:pt>
                <c:pt idx="8">
                  <c:v>2250000</c:v>
                </c:pt>
                <c:pt idx="9">
                  <c:v>2500000</c:v>
                </c:pt>
                <c:pt idx="10">
                  <c:v>2750000</c:v>
                </c:pt>
                <c:pt idx="11">
                  <c:v>3000000</c:v>
                </c:pt>
                <c:pt idx="12">
                  <c:v>3250000</c:v>
                </c:pt>
                <c:pt idx="13">
                  <c:v>3500000</c:v>
                </c:pt>
                <c:pt idx="14">
                  <c:v>3750000</c:v>
                </c:pt>
                <c:pt idx="15">
                  <c:v>4000000</c:v>
                </c:pt>
                <c:pt idx="16">
                  <c:v>4250000</c:v>
                </c:pt>
                <c:pt idx="17">
                  <c:v>4500000</c:v>
                </c:pt>
                <c:pt idx="18">
                  <c:v>4750000</c:v>
                </c:pt>
                <c:pt idx="19">
                  <c:v>5000000</c:v>
                </c:pt>
                <c:pt idx="20">
                  <c:v>5250000</c:v>
                </c:pt>
                <c:pt idx="21">
                  <c:v>5500000</c:v>
                </c:pt>
                <c:pt idx="22">
                  <c:v>5750000</c:v>
                </c:pt>
                <c:pt idx="23">
                  <c:v>6000000</c:v>
                </c:pt>
                <c:pt idx="24">
                  <c:v>6250000</c:v>
                </c:pt>
                <c:pt idx="25">
                  <c:v>6500000</c:v>
                </c:pt>
                <c:pt idx="26">
                  <c:v>6750000</c:v>
                </c:pt>
                <c:pt idx="27">
                  <c:v>7000000</c:v>
                </c:pt>
                <c:pt idx="28">
                  <c:v>7250000</c:v>
                </c:pt>
                <c:pt idx="29">
                  <c:v>7500000</c:v>
                </c:pt>
                <c:pt idx="30">
                  <c:v>7750000</c:v>
                </c:pt>
                <c:pt idx="31">
                  <c:v>8000000</c:v>
                </c:pt>
                <c:pt idx="32">
                  <c:v>8250000</c:v>
                </c:pt>
                <c:pt idx="33">
                  <c:v>8500000</c:v>
                </c:pt>
                <c:pt idx="34">
                  <c:v>8750000</c:v>
                </c:pt>
                <c:pt idx="35">
                  <c:v>9000000</c:v>
                </c:pt>
                <c:pt idx="36">
                  <c:v>9250000</c:v>
                </c:pt>
                <c:pt idx="37">
                  <c:v>9500000</c:v>
                </c:pt>
                <c:pt idx="38">
                  <c:v>9750000</c:v>
                </c:pt>
                <c:pt idx="39">
                  <c:v>10000000</c:v>
                </c:pt>
                <c:pt idx="40">
                  <c:v>10250000</c:v>
                </c:pt>
                <c:pt idx="41">
                  <c:v>10500000</c:v>
                </c:pt>
                <c:pt idx="42">
                  <c:v>10750000</c:v>
                </c:pt>
                <c:pt idx="43">
                  <c:v>11000000</c:v>
                </c:pt>
                <c:pt idx="44">
                  <c:v>11250000</c:v>
                </c:pt>
                <c:pt idx="45">
                  <c:v>11500000</c:v>
                </c:pt>
                <c:pt idx="46">
                  <c:v>11750000</c:v>
                </c:pt>
                <c:pt idx="47">
                  <c:v>12000000</c:v>
                </c:pt>
                <c:pt idx="48">
                  <c:v>12250000</c:v>
                </c:pt>
                <c:pt idx="49">
                  <c:v>12500000</c:v>
                </c:pt>
                <c:pt idx="50">
                  <c:v>12750000</c:v>
                </c:pt>
                <c:pt idx="51">
                  <c:v>13000000</c:v>
                </c:pt>
                <c:pt idx="52">
                  <c:v>13250000</c:v>
                </c:pt>
                <c:pt idx="53">
                  <c:v>13500000</c:v>
                </c:pt>
                <c:pt idx="54">
                  <c:v>13750000</c:v>
                </c:pt>
                <c:pt idx="55">
                  <c:v>14000000</c:v>
                </c:pt>
                <c:pt idx="56">
                  <c:v>14250000</c:v>
                </c:pt>
                <c:pt idx="57">
                  <c:v>14500000</c:v>
                </c:pt>
                <c:pt idx="58">
                  <c:v>14750000</c:v>
                </c:pt>
                <c:pt idx="59">
                  <c:v>15000000</c:v>
                </c:pt>
                <c:pt idx="60">
                  <c:v>15250000</c:v>
                </c:pt>
                <c:pt idx="61">
                  <c:v>15500000</c:v>
                </c:pt>
                <c:pt idx="62">
                  <c:v>15750000</c:v>
                </c:pt>
                <c:pt idx="63">
                  <c:v>16000000</c:v>
                </c:pt>
                <c:pt idx="64">
                  <c:v>16250000</c:v>
                </c:pt>
                <c:pt idx="65">
                  <c:v>16500000</c:v>
                </c:pt>
                <c:pt idx="66">
                  <c:v>16750000</c:v>
                </c:pt>
                <c:pt idx="67">
                  <c:v>17000000</c:v>
                </c:pt>
                <c:pt idx="68">
                  <c:v>17250000</c:v>
                </c:pt>
                <c:pt idx="69">
                  <c:v>17500000</c:v>
                </c:pt>
                <c:pt idx="70">
                  <c:v>17750000</c:v>
                </c:pt>
                <c:pt idx="71">
                  <c:v>18000000</c:v>
                </c:pt>
                <c:pt idx="72">
                  <c:v>18250000</c:v>
                </c:pt>
                <c:pt idx="73">
                  <c:v>18500000</c:v>
                </c:pt>
                <c:pt idx="74">
                  <c:v>18750000</c:v>
                </c:pt>
                <c:pt idx="75">
                  <c:v>19000000</c:v>
                </c:pt>
                <c:pt idx="76">
                  <c:v>19250000</c:v>
                </c:pt>
                <c:pt idx="77">
                  <c:v>19500000</c:v>
                </c:pt>
                <c:pt idx="78">
                  <c:v>19750000</c:v>
                </c:pt>
              </c:numCache>
            </c:numRef>
          </c:xVal>
          <c:yVal>
            <c:numRef>
              <c:f>LDC0851_calc!$D$125:$D$203</c:f>
              <c:numCache>
                <c:formatCode>General</c:formatCode>
                <c:ptCount val="79"/>
                <c:pt idx="0">
                  <c:v>24562.711186021286</c:v>
                </c:pt>
                <c:pt idx="1">
                  <c:v>6140.6777965053216</c:v>
                </c:pt>
                <c:pt idx="2">
                  <c:v>2729.1901317801421</c:v>
                </c:pt>
                <c:pt idx="3">
                  <c:v>1535.1694491263304</c:v>
                </c:pt>
                <c:pt idx="4">
                  <c:v>982.50844744085134</c:v>
                </c:pt>
                <c:pt idx="5">
                  <c:v>682.29753294503553</c:v>
                </c:pt>
                <c:pt idx="6">
                  <c:v>501.27982012288322</c:v>
                </c:pt>
                <c:pt idx="7">
                  <c:v>383.7923622815826</c:v>
                </c:pt>
                <c:pt idx="8">
                  <c:v>303.24334797557145</c:v>
                </c:pt>
                <c:pt idx="9">
                  <c:v>245.62711186021284</c:v>
                </c:pt>
                <c:pt idx="10">
                  <c:v>202.99761310761392</c:v>
                </c:pt>
                <c:pt idx="11">
                  <c:v>170.57438323625888</c:v>
                </c:pt>
                <c:pt idx="12">
                  <c:v>145.34148630781823</c:v>
                </c:pt>
                <c:pt idx="13">
                  <c:v>125.31995503072081</c:v>
                </c:pt>
                <c:pt idx="14">
                  <c:v>109.16760527120572</c:v>
                </c:pt>
                <c:pt idx="15">
                  <c:v>95.948090570395649</c:v>
                </c:pt>
                <c:pt idx="16">
                  <c:v>84.992080228447335</c:v>
                </c:pt>
                <c:pt idx="17">
                  <c:v>75.810836993892863</c:v>
                </c:pt>
                <c:pt idx="18">
                  <c:v>68.040751207815177</c:v>
                </c:pt>
                <c:pt idx="19">
                  <c:v>61.406777965053209</c:v>
                </c:pt>
                <c:pt idx="20">
                  <c:v>55.697757791431471</c:v>
                </c:pt>
                <c:pt idx="21">
                  <c:v>50.749403276903479</c:v>
                </c:pt>
                <c:pt idx="22">
                  <c:v>46.432346287374834</c:v>
                </c:pt>
                <c:pt idx="23">
                  <c:v>42.64359580906472</c:v>
                </c:pt>
                <c:pt idx="24">
                  <c:v>39.300337897634058</c:v>
                </c:pt>
                <c:pt idx="25">
                  <c:v>36.335371576954557</c:v>
                </c:pt>
                <c:pt idx="26">
                  <c:v>33.693705330619039</c:v>
                </c:pt>
                <c:pt idx="27">
                  <c:v>31.329988757680201</c:v>
                </c:pt>
                <c:pt idx="28">
                  <c:v>29.206553134389154</c:v>
                </c:pt>
                <c:pt idx="29">
                  <c:v>27.291901317801429</c:v>
                </c:pt>
                <c:pt idx="30">
                  <c:v>25.559532971926409</c:v>
                </c:pt>
                <c:pt idx="31">
                  <c:v>23.987022642598912</c:v>
                </c:pt>
                <c:pt idx="32">
                  <c:v>22.55529034529043</c:v>
                </c:pt>
                <c:pt idx="33">
                  <c:v>21.248020057111834</c:v>
                </c:pt>
                <c:pt idx="34">
                  <c:v>20.051192804915331</c:v>
                </c:pt>
                <c:pt idx="35">
                  <c:v>18.952709248473216</c:v>
                </c:pt>
                <c:pt idx="36">
                  <c:v>17.942082677882603</c:v>
                </c:pt>
                <c:pt idx="37">
                  <c:v>17.010187801953794</c:v>
                </c:pt>
                <c:pt idx="38">
                  <c:v>16.149054034202027</c:v>
                </c:pt>
                <c:pt idx="39">
                  <c:v>15.351694491263302</c:v>
                </c:pt>
                <c:pt idx="40">
                  <c:v>14.611963822737229</c:v>
                </c:pt>
                <c:pt idx="41">
                  <c:v>13.924439447857868</c:v>
                </c:pt>
                <c:pt idx="42">
                  <c:v>13.284321896171596</c:v>
                </c:pt>
                <c:pt idx="43">
                  <c:v>12.68735081922587</c:v>
                </c:pt>
                <c:pt idx="44">
                  <c:v>12.129733919022854</c:v>
                </c:pt>
                <c:pt idx="45">
                  <c:v>11.608086571843709</c:v>
                </c:pt>
                <c:pt idx="46">
                  <c:v>11.119380346772871</c:v>
                </c:pt>
                <c:pt idx="47">
                  <c:v>10.66089895226618</c:v>
                </c:pt>
                <c:pt idx="48">
                  <c:v>10.23020041067109</c:v>
                </c:pt>
                <c:pt idx="49">
                  <c:v>9.8250844744085146</c:v>
                </c:pt>
                <c:pt idx="50">
                  <c:v>9.4435644698274821</c:v>
                </c:pt>
                <c:pt idx="51">
                  <c:v>9.0838428942386393</c:v>
                </c:pt>
                <c:pt idx="52">
                  <c:v>8.7442902050627573</c:v>
                </c:pt>
                <c:pt idx="53">
                  <c:v>8.4234263326547598</c:v>
                </c:pt>
                <c:pt idx="54">
                  <c:v>8.1199045243045536</c:v>
                </c:pt>
                <c:pt idx="55">
                  <c:v>7.8324971894200504</c:v>
                </c:pt>
                <c:pt idx="56">
                  <c:v>7.560083467535021</c:v>
                </c:pt>
                <c:pt idx="57">
                  <c:v>7.3016382835972884</c:v>
                </c:pt>
                <c:pt idx="58">
                  <c:v>7.0562226906122607</c:v>
                </c:pt>
                <c:pt idx="59">
                  <c:v>6.8229753294503572</c:v>
                </c:pt>
                <c:pt idx="60">
                  <c:v>6.6011048605270854</c:v>
                </c:pt>
                <c:pt idx="61">
                  <c:v>6.3898832429816022</c:v>
                </c:pt>
                <c:pt idx="62">
                  <c:v>6.1886397546034981</c:v>
                </c:pt>
                <c:pt idx="63">
                  <c:v>5.9967556606497281</c:v>
                </c:pt>
                <c:pt idx="64">
                  <c:v>5.813659452312729</c:v>
                </c:pt>
                <c:pt idx="65">
                  <c:v>5.6388225863226076</c:v>
                </c:pt>
                <c:pt idx="66">
                  <c:v>5.4717556663001288</c:v>
                </c:pt>
                <c:pt idx="67">
                  <c:v>5.3120050142779585</c:v>
                </c:pt>
                <c:pt idx="68">
                  <c:v>5.1591495874860911</c:v>
                </c:pt>
                <c:pt idx="69">
                  <c:v>5.0127982012288328</c:v>
                </c:pt>
                <c:pt idx="70">
                  <c:v>4.8725870236106497</c:v>
                </c:pt>
                <c:pt idx="71">
                  <c:v>4.738177312118304</c:v>
                </c:pt>
                <c:pt idx="72">
                  <c:v>4.6092533657386534</c:v>
                </c:pt>
                <c:pt idx="73">
                  <c:v>4.4855206694706506</c:v>
                </c:pt>
                <c:pt idx="74">
                  <c:v>4.3667042108482281</c:v>
                </c:pt>
                <c:pt idx="75">
                  <c:v>4.2525469504884486</c:v>
                </c:pt>
                <c:pt idx="76">
                  <c:v>4.1428084307676301</c:v>
                </c:pt>
                <c:pt idx="77">
                  <c:v>4.0372635085505069</c:v>
                </c:pt>
                <c:pt idx="78">
                  <c:v>3.9357011994906719</c:v>
                </c:pt>
              </c:numCache>
            </c:numRef>
          </c:yVal>
          <c:smooth val="1"/>
        </c:ser>
        <c:ser>
          <c:idx val="1"/>
          <c:order val="2"/>
          <c:tx>
            <c:v>Sensor Operation</c:v>
          </c:tx>
          <c:spPr>
            <a:ln>
              <a:solidFill>
                <a:schemeClr val="tx1"/>
              </a:solidFill>
            </a:ln>
          </c:spPr>
          <c:marker>
            <c:symbol val="circle"/>
            <c:size val="5"/>
            <c:spPr>
              <a:solidFill>
                <a:srgbClr val="00B0F0"/>
              </a:solidFill>
            </c:spPr>
          </c:marker>
          <c:dPt>
            <c:idx val="1"/>
            <c:marker>
              <c:symbol val="none"/>
            </c:marker>
            <c:bubble3D val="0"/>
          </c:dPt>
          <c:dPt>
            <c:idx val="2"/>
            <c:marker>
              <c:symbol val="none"/>
            </c:marker>
            <c:bubble3D val="0"/>
          </c:dPt>
          <c:dPt>
            <c:idx val="3"/>
            <c:marker>
              <c:symbol val="none"/>
            </c:marker>
            <c:bubble3D val="0"/>
            <c:spPr>
              <a:ln>
                <a:solidFill>
                  <a:schemeClr val="tx1"/>
                </a:solidFill>
                <a:tailEnd type="none"/>
              </a:ln>
            </c:spPr>
          </c:dPt>
          <c:dPt>
            <c:idx val="4"/>
            <c:bubble3D val="0"/>
            <c:spPr>
              <a:ln>
                <a:solidFill>
                  <a:schemeClr val="tx1"/>
                </a:solidFill>
                <a:headEnd type="none"/>
                <a:tailEnd type="triangle"/>
              </a:ln>
            </c:spPr>
          </c:dPt>
          <c:xVal>
            <c:numRef>
              <c:f>LDC0851_calc!$E$125:$E$129</c:f>
              <c:numCache>
                <c:formatCode>0.000</c:formatCode>
                <c:ptCount val="5"/>
                <c:pt idx="0">
                  <c:v>12170882.689518223</c:v>
                </c:pt>
                <c:pt idx="1">
                  <c:v>12595240.046250511</c:v>
                </c:pt>
                <c:pt idx="2">
                  <c:v>13067323.583234638</c:v>
                </c:pt>
                <c:pt idx="3">
                  <c:v>13596807.093993297</c:v>
                </c:pt>
                <c:pt idx="4">
                  <c:v>14196352.685462618</c:v>
                </c:pt>
              </c:numCache>
            </c:numRef>
          </c:xVal>
          <c:yVal>
            <c:numRef>
              <c:f>LDC0851_calc!$F$125:$F$129</c:f>
              <c:numCache>
                <c:formatCode>0.0000</c:formatCode>
                <c:ptCount val="5"/>
                <c:pt idx="0" formatCode="0.00">
                  <c:v>6</c:v>
                </c:pt>
                <c:pt idx="1">
                  <c:v>5.6025082593606239</c:v>
                </c:pt>
                <c:pt idx="2">
                  <c:v>5.2050165187212478</c:v>
                </c:pt>
                <c:pt idx="3">
                  <c:v>4.8075247780818717</c:v>
                </c:pt>
                <c:pt idx="4">
                  <c:v>4.4100330374424939</c:v>
                </c:pt>
              </c:numCache>
            </c:numRef>
          </c:yVal>
          <c:smooth val="0"/>
        </c:ser>
        <c:dLbls>
          <c:showLegendKey val="0"/>
          <c:showVal val="0"/>
          <c:showCatName val="0"/>
          <c:showSerName val="0"/>
          <c:showPercent val="0"/>
          <c:showBubbleSize val="0"/>
        </c:dLbls>
        <c:axId val="423105320"/>
        <c:axId val="423108064"/>
      </c:scatterChart>
      <c:valAx>
        <c:axId val="423105320"/>
        <c:scaling>
          <c:orientation val="minMax"/>
          <c:max val="20000000"/>
          <c:min val="0"/>
        </c:scaling>
        <c:delete val="0"/>
        <c:axPos val="b"/>
        <c:majorGridlines>
          <c:spPr>
            <a:ln>
              <a:solidFill>
                <a:schemeClr val="bg1">
                  <a:lumMod val="65000"/>
                </a:schemeClr>
              </a:solidFill>
            </a:ln>
          </c:spPr>
        </c:majorGridlines>
        <c:minorGridlines>
          <c:spPr>
            <a:ln>
              <a:solidFill>
                <a:schemeClr val="bg1">
                  <a:lumMod val="75000"/>
                </a:schemeClr>
              </a:solidFill>
            </a:ln>
          </c:spPr>
        </c:minorGridlines>
        <c:title>
          <c:tx>
            <c:rich>
              <a:bodyPr/>
              <a:lstStyle/>
              <a:p>
                <a:pPr>
                  <a:defRPr sz="900" b="0"/>
                </a:pPr>
                <a:r>
                  <a:rPr lang="en-US" sz="900" b="1"/>
                  <a:t>Sensor Frequency (MHz)</a:t>
                </a:r>
              </a:p>
            </c:rich>
          </c:tx>
          <c:layout>
            <c:manualLayout>
              <c:xMode val="edge"/>
              <c:yMode val="edge"/>
              <c:x val="0.35761559397276033"/>
              <c:y val="0.89778991556402599"/>
            </c:manualLayout>
          </c:layout>
          <c:overlay val="0"/>
        </c:title>
        <c:numFmt formatCode="#,##0.0" sourceLinked="0"/>
        <c:majorTickMark val="out"/>
        <c:minorTickMark val="none"/>
        <c:tickLblPos val="nextTo"/>
        <c:txPr>
          <a:bodyPr/>
          <a:lstStyle/>
          <a:p>
            <a:pPr>
              <a:defRPr sz="800"/>
            </a:pPr>
            <a:endParaRPr lang="ja-JP"/>
          </a:p>
        </c:txPr>
        <c:crossAx val="423108064"/>
        <c:crosses val="autoZero"/>
        <c:crossBetween val="midCat"/>
        <c:majorUnit val="2000000"/>
        <c:minorUnit val="500000"/>
        <c:dispUnits>
          <c:builtInUnit val="millions"/>
        </c:dispUnits>
      </c:valAx>
      <c:valAx>
        <c:axId val="423108064"/>
        <c:scaling>
          <c:orientation val="minMax"/>
          <c:max val="40"/>
          <c:min val="0"/>
        </c:scaling>
        <c:delete val="0"/>
        <c:axPos val="l"/>
        <c:majorGridlines>
          <c:spPr>
            <a:ln>
              <a:solidFill>
                <a:schemeClr val="bg1">
                  <a:lumMod val="65000"/>
                </a:schemeClr>
              </a:solidFill>
            </a:ln>
          </c:spPr>
        </c:majorGridlines>
        <c:title>
          <c:tx>
            <c:rich>
              <a:bodyPr rot="-5400000" vert="horz"/>
              <a:lstStyle/>
              <a:p>
                <a:pPr>
                  <a:defRPr sz="900" b="0"/>
                </a:pPr>
                <a:r>
                  <a:rPr lang="en-US" sz="900" b="1"/>
                  <a:t>Inductance (µH)</a:t>
                </a:r>
              </a:p>
            </c:rich>
          </c:tx>
          <c:layout>
            <c:manualLayout>
              <c:xMode val="edge"/>
              <c:yMode val="edge"/>
              <c:x val="1.0526312881250758E-2"/>
              <c:y val="0.24407227601242398"/>
            </c:manualLayout>
          </c:layout>
          <c:overlay val="0"/>
        </c:title>
        <c:numFmt formatCode="#,##0.0" sourceLinked="0"/>
        <c:majorTickMark val="out"/>
        <c:minorTickMark val="none"/>
        <c:tickLblPos val="nextTo"/>
        <c:txPr>
          <a:bodyPr/>
          <a:lstStyle/>
          <a:p>
            <a:pPr>
              <a:defRPr sz="800"/>
            </a:pPr>
            <a:endParaRPr lang="ja-JP"/>
          </a:p>
        </c:txPr>
        <c:crossAx val="423105320"/>
        <c:crosses val="autoZero"/>
        <c:crossBetween val="midCat"/>
      </c:valAx>
      <c:spPr>
        <a:solidFill>
          <a:schemeClr val="accent3">
            <a:lumMod val="40000"/>
            <a:lumOff val="60000"/>
          </a:schemeClr>
        </a:solidFill>
      </c:spPr>
    </c:plotArea>
    <c:plotVisOnly val="0"/>
    <c:dispBlanksAs val="gap"/>
    <c:showDLblsOverMax val="0"/>
  </c:chart>
  <c:spPr>
    <a:noFill/>
    <a:ln>
      <a:no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99414496264891"/>
          <c:y val="9.7632970933337934E-2"/>
          <c:w val="0.79801821171505516"/>
          <c:h val="0.60755932994305084"/>
        </c:manualLayout>
      </c:layout>
      <c:scatterChart>
        <c:scatterStyle val="lineMarker"/>
        <c:varyColors val="0"/>
        <c:ser>
          <c:idx val="0"/>
          <c:order val="0"/>
          <c:tx>
            <c:strRef>
              <c:f>LDC0851_calc!$V$124</c:f>
              <c:strCache>
                <c:ptCount val="1"/>
                <c:pt idx="0">
                  <c:v>Approx Switch OFF</c:v>
                </c:pt>
              </c:strCache>
            </c:strRef>
          </c:tx>
          <c:spPr>
            <a:ln>
              <a:solidFill>
                <a:srgbClr val="00B0F0"/>
              </a:solidFill>
            </a:ln>
          </c:spPr>
          <c:marker>
            <c:symbol val="square"/>
            <c:size val="5"/>
          </c:marker>
          <c:xVal>
            <c:numRef>
              <c:f>LDC0851_calc!$S$125:$S$139</c:f>
              <c:numCache>
                <c:formatCode>General</c:formatCode>
                <c:ptCount val="15"/>
                <c:pt idx="0">
                  <c:v>15</c:v>
                </c:pt>
                <c:pt idx="1">
                  <c:v>14</c:v>
                </c:pt>
                <c:pt idx="2">
                  <c:v>13</c:v>
                </c:pt>
                <c:pt idx="3">
                  <c:v>12</c:v>
                </c:pt>
                <c:pt idx="4">
                  <c:v>11</c:v>
                </c:pt>
                <c:pt idx="5">
                  <c:v>10</c:v>
                </c:pt>
                <c:pt idx="6">
                  <c:v>9</c:v>
                </c:pt>
                <c:pt idx="7">
                  <c:v>8</c:v>
                </c:pt>
                <c:pt idx="8">
                  <c:v>7</c:v>
                </c:pt>
                <c:pt idx="9">
                  <c:v>6</c:v>
                </c:pt>
                <c:pt idx="10">
                  <c:v>5</c:v>
                </c:pt>
                <c:pt idx="11">
                  <c:v>4</c:v>
                </c:pt>
                <c:pt idx="12">
                  <c:v>3</c:v>
                </c:pt>
                <c:pt idx="13">
                  <c:v>2</c:v>
                </c:pt>
                <c:pt idx="14">
                  <c:v>1</c:v>
                </c:pt>
              </c:numCache>
            </c:numRef>
          </c:xVal>
          <c:yVal>
            <c:numRef>
              <c:f>LDC0851_calc!$V$125:$V$139</c:f>
              <c:numCache>
                <c:formatCode>General</c:formatCode>
                <c:ptCount val="15"/>
                <c:pt idx="0">
                  <c:v>0.36696551724137921</c:v>
                </c:pt>
                <c:pt idx="1">
                  <c:v>0.7674482758620691</c:v>
                </c:pt>
                <c:pt idx="2">
                  <c:v>1.0988965517241378</c:v>
                </c:pt>
                <c:pt idx="3">
                  <c:v>1.3881724137931035</c:v>
                </c:pt>
                <c:pt idx="4">
                  <c:v>1.6764482758620691</c:v>
                </c:pt>
                <c:pt idx="5">
                  <c:v>1.9460344827586209</c:v>
                </c:pt>
                <c:pt idx="6">
                  <c:v>2.205103448275862</c:v>
                </c:pt>
                <c:pt idx="7">
                  <c:v>2.4645172413793106</c:v>
                </c:pt>
                <c:pt idx="8">
                  <c:v>2.7391034482758623</c:v>
                </c:pt>
                <c:pt idx="9">
                  <c:v>3.0138620689655173</c:v>
                </c:pt>
                <c:pt idx="10">
                  <c:v>3.3037931034482759</c:v>
                </c:pt>
                <c:pt idx="11">
                  <c:v>3.6035517241379309</c:v>
                </c:pt>
                <c:pt idx="12">
                  <c:v>3.8813103448275865</c:v>
                </c:pt>
                <c:pt idx="13">
                  <c:v>4.141068965517241</c:v>
                </c:pt>
                <c:pt idx="14">
                  <c:v>4.4591724137931035</c:v>
                </c:pt>
              </c:numCache>
            </c:numRef>
          </c:yVal>
          <c:smooth val="0"/>
        </c:ser>
        <c:ser>
          <c:idx val="1"/>
          <c:order val="1"/>
          <c:tx>
            <c:strRef>
              <c:f>LDC0851_calc!$W$124</c:f>
              <c:strCache>
                <c:ptCount val="1"/>
                <c:pt idx="0">
                  <c:v>Approx Switch ON</c:v>
                </c:pt>
              </c:strCache>
            </c:strRef>
          </c:tx>
          <c:spPr>
            <a:ln>
              <a:solidFill>
                <a:srgbClr val="FF00FF"/>
              </a:solidFill>
            </a:ln>
          </c:spPr>
          <c:marker>
            <c:symbol val="square"/>
            <c:size val="4"/>
          </c:marker>
          <c:xVal>
            <c:numRef>
              <c:f>LDC0851_calc!$S$125:$S$139</c:f>
              <c:numCache>
                <c:formatCode>General</c:formatCode>
                <c:ptCount val="15"/>
                <c:pt idx="0">
                  <c:v>15</c:v>
                </c:pt>
                <c:pt idx="1">
                  <c:v>14</c:v>
                </c:pt>
                <c:pt idx="2">
                  <c:v>13</c:v>
                </c:pt>
                <c:pt idx="3">
                  <c:v>12</c:v>
                </c:pt>
                <c:pt idx="4">
                  <c:v>11</c:v>
                </c:pt>
                <c:pt idx="5">
                  <c:v>10</c:v>
                </c:pt>
                <c:pt idx="6">
                  <c:v>9</c:v>
                </c:pt>
                <c:pt idx="7">
                  <c:v>8</c:v>
                </c:pt>
                <c:pt idx="8">
                  <c:v>7</c:v>
                </c:pt>
                <c:pt idx="9">
                  <c:v>6</c:v>
                </c:pt>
                <c:pt idx="10">
                  <c:v>5</c:v>
                </c:pt>
                <c:pt idx="11">
                  <c:v>4</c:v>
                </c:pt>
                <c:pt idx="12">
                  <c:v>3</c:v>
                </c:pt>
                <c:pt idx="13">
                  <c:v>2</c:v>
                </c:pt>
                <c:pt idx="14">
                  <c:v>1</c:v>
                </c:pt>
              </c:numCache>
            </c:numRef>
          </c:xVal>
          <c:yVal>
            <c:numRef>
              <c:f>LDC0851_calc!$W$125:$W$139</c:f>
              <c:numCache>
                <c:formatCode>General</c:formatCode>
                <c:ptCount val="15"/>
                <c:pt idx="0">
                  <c:v>0.33627586206896548</c:v>
                </c:pt>
                <c:pt idx="1">
                  <c:v>0.71958620689655173</c:v>
                </c:pt>
                <c:pt idx="2">
                  <c:v>1.0420344827586181</c:v>
                </c:pt>
                <c:pt idx="3">
                  <c:v>1.3243103448275861</c:v>
                </c:pt>
                <c:pt idx="4">
                  <c:v>1.5962413793103445</c:v>
                </c:pt>
                <c:pt idx="5">
                  <c:v>1.8599999999999999</c:v>
                </c:pt>
                <c:pt idx="6">
                  <c:v>2.0908965517241374</c:v>
                </c:pt>
                <c:pt idx="7">
                  <c:v>2.3319655172413789</c:v>
                </c:pt>
                <c:pt idx="8">
                  <c:v>2.5813793103448277</c:v>
                </c:pt>
                <c:pt idx="9">
                  <c:v>2.8217931034482757</c:v>
                </c:pt>
                <c:pt idx="10">
                  <c:v>3.0578620689655169</c:v>
                </c:pt>
                <c:pt idx="11">
                  <c:v>3.3226206896551722</c:v>
                </c:pt>
                <c:pt idx="12">
                  <c:v>3.5610344827586204</c:v>
                </c:pt>
                <c:pt idx="13">
                  <c:v>3.7592758620689657</c:v>
                </c:pt>
                <c:pt idx="14">
                  <c:v>4.0106896551724134</c:v>
                </c:pt>
              </c:numCache>
            </c:numRef>
          </c:yVal>
          <c:smooth val="0"/>
        </c:ser>
        <c:ser>
          <c:idx val="2"/>
          <c:order val="2"/>
          <c:tx>
            <c:strRef>
              <c:f>LDC0851_calc!$X$124</c:f>
              <c:strCache>
                <c:ptCount val="1"/>
                <c:pt idx="0">
                  <c:v>Desired Switching</c:v>
                </c:pt>
              </c:strCache>
            </c:strRef>
          </c:tx>
          <c:spPr>
            <a:ln>
              <a:solidFill>
                <a:srgbClr val="00B050"/>
              </a:solidFill>
            </a:ln>
          </c:spPr>
          <c:marker>
            <c:symbol val="none"/>
          </c:marker>
          <c:xVal>
            <c:numRef>
              <c:f>LDC0851_calc!$S$125:$S$139</c:f>
              <c:numCache>
                <c:formatCode>General</c:formatCode>
                <c:ptCount val="15"/>
                <c:pt idx="0">
                  <c:v>15</c:v>
                </c:pt>
                <c:pt idx="1">
                  <c:v>14</c:v>
                </c:pt>
                <c:pt idx="2">
                  <c:v>13</c:v>
                </c:pt>
                <c:pt idx="3">
                  <c:v>12</c:v>
                </c:pt>
                <c:pt idx="4">
                  <c:v>11</c:v>
                </c:pt>
                <c:pt idx="5">
                  <c:v>10</c:v>
                </c:pt>
                <c:pt idx="6">
                  <c:v>9</c:v>
                </c:pt>
                <c:pt idx="7">
                  <c:v>8</c:v>
                </c:pt>
                <c:pt idx="8">
                  <c:v>7</c:v>
                </c:pt>
                <c:pt idx="9">
                  <c:v>6</c:v>
                </c:pt>
                <c:pt idx="10">
                  <c:v>5</c:v>
                </c:pt>
                <c:pt idx="11">
                  <c:v>4</c:v>
                </c:pt>
                <c:pt idx="12">
                  <c:v>3</c:v>
                </c:pt>
                <c:pt idx="13">
                  <c:v>2</c:v>
                </c:pt>
                <c:pt idx="14">
                  <c:v>1</c:v>
                </c:pt>
              </c:numCache>
            </c:numRef>
          </c:xVal>
          <c:yVal>
            <c:numRef>
              <c:f>LDC0851_calc!$X$125:$X$139</c:f>
              <c:numCache>
                <c:formatCode>General</c:formatCode>
                <c:ptCount val="15"/>
                <c:pt idx="0">
                  <c:v>1.4</c:v>
                </c:pt>
                <c:pt idx="1">
                  <c:v>1.4</c:v>
                </c:pt>
                <c:pt idx="2">
                  <c:v>1.4</c:v>
                </c:pt>
                <c:pt idx="3">
                  <c:v>1.4</c:v>
                </c:pt>
                <c:pt idx="4">
                  <c:v>1.4</c:v>
                </c:pt>
                <c:pt idx="5">
                  <c:v>1.4</c:v>
                </c:pt>
                <c:pt idx="6">
                  <c:v>1.4</c:v>
                </c:pt>
                <c:pt idx="7">
                  <c:v>1.4</c:v>
                </c:pt>
                <c:pt idx="8">
                  <c:v>1.4</c:v>
                </c:pt>
                <c:pt idx="9">
                  <c:v>1.4</c:v>
                </c:pt>
                <c:pt idx="10">
                  <c:v>1.4</c:v>
                </c:pt>
                <c:pt idx="11">
                  <c:v>1.4</c:v>
                </c:pt>
                <c:pt idx="12">
                  <c:v>1.4</c:v>
                </c:pt>
                <c:pt idx="13">
                  <c:v>1.4</c:v>
                </c:pt>
                <c:pt idx="14">
                  <c:v>1.4</c:v>
                </c:pt>
              </c:numCache>
            </c:numRef>
          </c:yVal>
          <c:smooth val="0"/>
        </c:ser>
        <c:ser>
          <c:idx val="5"/>
          <c:order val="3"/>
          <c:tx>
            <c:strRef>
              <c:f>LDC0851_calc!$Y$124</c:f>
              <c:strCache>
                <c:ptCount val="1"/>
                <c:pt idx="0">
                  <c:v>Closest Target Disance</c:v>
                </c:pt>
              </c:strCache>
            </c:strRef>
          </c:tx>
          <c:spPr>
            <a:ln>
              <a:solidFill>
                <a:schemeClr val="tx1"/>
              </a:solidFill>
              <a:prstDash val="dash"/>
            </a:ln>
          </c:spPr>
          <c:marker>
            <c:symbol val="none"/>
          </c:marker>
          <c:errBars>
            <c:errDir val="y"/>
            <c:errBarType val="minus"/>
            <c:errValType val="percentage"/>
            <c:noEndCap val="0"/>
            <c:val val="1000"/>
            <c:spPr>
              <a:ln w="508000">
                <a:solidFill>
                  <a:srgbClr val="951609"/>
                </a:solidFill>
              </a:ln>
            </c:spPr>
          </c:errBars>
          <c:xVal>
            <c:numRef>
              <c:f>LDC0851_calc!$S$125:$S$139</c:f>
              <c:numCache>
                <c:formatCode>General</c:formatCode>
                <c:ptCount val="15"/>
                <c:pt idx="0">
                  <c:v>15</c:v>
                </c:pt>
                <c:pt idx="1">
                  <c:v>14</c:v>
                </c:pt>
                <c:pt idx="2">
                  <c:v>13</c:v>
                </c:pt>
                <c:pt idx="3">
                  <c:v>12</c:v>
                </c:pt>
                <c:pt idx="4">
                  <c:v>11</c:v>
                </c:pt>
                <c:pt idx="5">
                  <c:v>10</c:v>
                </c:pt>
                <c:pt idx="6">
                  <c:v>9</c:v>
                </c:pt>
                <c:pt idx="7">
                  <c:v>8</c:v>
                </c:pt>
                <c:pt idx="8">
                  <c:v>7</c:v>
                </c:pt>
                <c:pt idx="9">
                  <c:v>6</c:v>
                </c:pt>
                <c:pt idx="10">
                  <c:v>5</c:v>
                </c:pt>
                <c:pt idx="11">
                  <c:v>4</c:v>
                </c:pt>
                <c:pt idx="12">
                  <c:v>3</c:v>
                </c:pt>
                <c:pt idx="13">
                  <c:v>2</c:v>
                </c:pt>
                <c:pt idx="14">
                  <c:v>1</c:v>
                </c:pt>
              </c:numCache>
            </c:numRef>
          </c:xVal>
          <c:yVal>
            <c:numRef>
              <c:f>LDC0851_calc!$Y$125:$Y$139</c:f>
              <c:numCache>
                <c:formatCode>0.00</c:formatCode>
                <c:ptCount val="15"/>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numCache>
            </c:numRef>
          </c:yVal>
          <c:smooth val="0"/>
        </c:ser>
        <c:dLbls>
          <c:showLegendKey val="0"/>
          <c:showVal val="0"/>
          <c:showCatName val="0"/>
          <c:showSerName val="0"/>
          <c:showPercent val="0"/>
          <c:showBubbleSize val="0"/>
        </c:dLbls>
        <c:axId val="423105712"/>
        <c:axId val="423106104"/>
      </c:scatterChart>
      <c:valAx>
        <c:axId val="423105712"/>
        <c:scaling>
          <c:orientation val="maxMin"/>
          <c:max val="15"/>
          <c:min val="1"/>
        </c:scaling>
        <c:delete val="0"/>
        <c:axPos val="b"/>
        <c:majorGridlines>
          <c:spPr>
            <a:ln>
              <a:solidFill>
                <a:schemeClr val="bg1">
                  <a:lumMod val="85000"/>
                </a:schemeClr>
              </a:solidFill>
            </a:ln>
          </c:spPr>
        </c:majorGridlines>
        <c:minorGridlines/>
        <c:title>
          <c:tx>
            <c:rich>
              <a:bodyPr/>
              <a:lstStyle/>
              <a:p>
                <a:pPr>
                  <a:defRPr/>
                </a:pPr>
                <a:r>
                  <a:rPr lang="en-US"/>
                  <a:t>ADJ Code</a:t>
                </a:r>
              </a:p>
            </c:rich>
          </c:tx>
          <c:overlay val="0"/>
        </c:title>
        <c:numFmt formatCode="General" sourceLinked="1"/>
        <c:majorTickMark val="out"/>
        <c:minorTickMark val="none"/>
        <c:tickLblPos val="nextTo"/>
        <c:txPr>
          <a:bodyPr/>
          <a:lstStyle/>
          <a:p>
            <a:pPr>
              <a:defRPr sz="800"/>
            </a:pPr>
            <a:endParaRPr lang="ja-JP"/>
          </a:p>
        </c:txPr>
        <c:crossAx val="423106104"/>
        <c:crossesAt val="-10"/>
        <c:crossBetween val="midCat"/>
        <c:majorUnit val="1"/>
        <c:minorUnit val="1"/>
      </c:valAx>
      <c:valAx>
        <c:axId val="423106104"/>
        <c:scaling>
          <c:orientation val="minMax"/>
          <c:min val="0"/>
        </c:scaling>
        <c:delete val="0"/>
        <c:axPos val="l"/>
        <c:majorGridlines>
          <c:spPr>
            <a:ln>
              <a:solidFill>
                <a:schemeClr val="bg1">
                  <a:lumMod val="85000"/>
                </a:schemeClr>
              </a:solidFill>
            </a:ln>
          </c:spPr>
        </c:majorGridlines>
        <c:title>
          <c:tx>
            <c:strRef>
              <c:f>LDC0851_calc!$S$123</c:f>
              <c:strCache>
                <c:ptCount val="1"/>
                <c:pt idx="0">
                  <c:v>Switching Distance (mm)</c:v>
                </c:pt>
              </c:strCache>
            </c:strRef>
          </c:tx>
          <c:overlay val="0"/>
          <c:txPr>
            <a:bodyPr rot="-5400000" vert="horz"/>
            <a:lstStyle/>
            <a:p>
              <a:pPr>
                <a:defRPr/>
              </a:pPr>
              <a:endParaRPr lang="ja-JP"/>
            </a:p>
          </c:txPr>
        </c:title>
        <c:numFmt formatCode="General" sourceLinked="1"/>
        <c:majorTickMark val="out"/>
        <c:minorTickMark val="none"/>
        <c:tickLblPos val="nextTo"/>
        <c:txPr>
          <a:bodyPr/>
          <a:lstStyle/>
          <a:p>
            <a:pPr>
              <a:defRPr sz="800"/>
            </a:pPr>
            <a:endParaRPr lang="ja-JP"/>
          </a:p>
        </c:txPr>
        <c:crossAx val="423105712"/>
        <c:crosses val="max"/>
        <c:crossBetween val="midCat"/>
      </c:valAx>
    </c:plotArea>
    <c:legend>
      <c:legendPos val="b"/>
      <c:layout>
        <c:manualLayout>
          <c:xMode val="edge"/>
          <c:yMode val="edge"/>
          <c:x val="7.0570563294972743E-2"/>
          <c:y val="0.84016333844483881"/>
          <c:w val="0.92572108980294976"/>
          <c:h val="0.12070342012202477"/>
        </c:manualLayout>
      </c:layout>
      <c:overlay val="0"/>
      <c:spPr>
        <a:solidFill>
          <a:schemeClr val="bg1"/>
        </a:solidFill>
      </c:spPr>
      <c:txPr>
        <a:bodyPr/>
        <a:lstStyle/>
        <a:p>
          <a:pPr>
            <a:defRPr sz="800"/>
          </a:pPr>
          <a:endParaRPr lang="ja-JP"/>
        </a:p>
      </c:txPr>
    </c:legend>
    <c:plotVisOnly val="0"/>
    <c:dispBlanksAs val="gap"/>
    <c:showDLblsOverMax val="0"/>
  </c:chart>
  <c:spPr>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Current Consumption</a:t>
            </a:r>
            <a:r>
              <a:rPr lang="en-US" baseline="0"/>
              <a:t> vs Sensor Inductance</a:t>
            </a:r>
            <a:endParaRPr lang="en-US"/>
          </a:p>
        </c:rich>
      </c:tx>
      <c:overlay val="0"/>
    </c:title>
    <c:autoTitleDeleted val="0"/>
    <c:plotArea>
      <c:layout/>
      <c:scatterChart>
        <c:scatterStyle val="smoothMarker"/>
        <c:varyColors val="0"/>
        <c:ser>
          <c:idx val="0"/>
          <c:order val="0"/>
          <c:tx>
            <c:strRef>
              <c:f>LDC0851_calc!$I$86</c:f>
              <c:strCache>
                <c:ptCount val="1"/>
                <c:pt idx="0">
                  <c:v>3µH</c:v>
                </c:pt>
              </c:strCache>
            </c:strRef>
          </c:tx>
          <c:marker>
            <c:symbol val="none"/>
          </c:marker>
          <c:xVal>
            <c:numRef>
              <c:f>LDC0851_calc!$G$88:$G$108</c:f>
              <c:numCache>
                <c:formatCode>General</c:formatCode>
                <c:ptCount val="21"/>
                <c:pt idx="0">
                  <c:v>20</c:v>
                </c:pt>
                <c:pt idx="1">
                  <c:v>19</c:v>
                </c:pt>
                <c:pt idx="2">
                  <c:v>18</c:v>
                </c:pt>
                <c:pt idx="3">
                  <c:v>17</c:v>
                </c:pt>
                <c:pt idx="4">
                  <c:v>16</c:v>
                </c:pt>
                <c:pt idx="5">
                  <c:v>15</c:v>
                </c:pt>
                <c:pt idx="6">
                  <c:v>14</c:v>
                </c:pt>
                <c:pt idx="7">
                  <c:v>13</c:v>
                </c:pt>
                <c:pt idx="8">
                  <c:v>12</c:v>
                </c:pt>
                <c:pt idx="9">
                  <c:v>11</c:v>
                </c:pt>
                <c:pt idx="10">
                  <c:v>11</c:v>
                </c:pt>
                <c:pt idx="11">
                  <c:v>11</c:v>
                </c:pt>
                <c:pt idx="12">
                  <c:v>11</c:v>
                </c:pt>
                <c:pt idx="13">
                  <c:v>11</c:v>
                </c:pt>
                <c:pt idx="14">
                  <c:v>11</c:v>
                </c:pt>
                <c:pt idx="15">
                  <c:v>11</c:v>
                </c:pt>
                <c:pt idx="16">
                  <c:v>11</c:v>
                </c:pt>
                <c:pt idx="17">
                  <c:v>11</c:v>
                </c:pt>
                <c:pt idx="18">
                  <c:v>11</c:v>
                </c:pt>
                <c:pt idx="19">
                  <c:v>11</c:v>
                </c:pt>
                <c:pt idx="20">
                  <c:v>11</c:v>
                </c:pt>
              </c:numCache>
            </c:numRef>
          </c:xVal>
          <c:yVal>
            <c:numRef>
              <c:f>LDC0851_calc!$P$88:$P$108</c:f>
              <c:numCache>
                <c:formatCode>General</c:formatCode>
                <c:ptCount val="21"/>
                <c:pt idx="0">
                  <c:v>3.4554379019602877</c:v>
                </c:pt>
                <c:pt idx="1">
                  <c:v>3.5825605588703442</c:v>
                </c:pt>
                <c:pt idx="2">
                  <c:v>3.7314042295305332</c:v>
                </c:pt>
                <c:pt idx="3">
                  <c:v>3.9068265717342916</c:v>
                </c:pt>
                <c:pt idx="4">
                  <c:v>4.1151718005552604</c:v>
                </c:pt>
                <c:pt idx="5">
                  <c:v>4.3648629693364525</c:v>
                </c:pt>
                <c:pt idx="6">
                  <c:v>4.6672925168718198</c:v>
                </c:pt>
                <c:pt idx="7">
                  <c:v>5.0381974506548532</c:v>
                </c:pt>
                <c:pt idx="8">
                  <c:v>5.499848390708908</c:v>
                </c:pt>
                <c:pt idx="9">
                  <c:v>6.0846580430670612</c:v>
                </c:pt>
                <c:pt idx="10">
                  <c:v>6.0846580430670612</c:v>
                </c:pt>
                <c:pt idx="11">
                  <c:v>6.0846580430670612</c:v>
                </c:pt>
                <c:pt idx="12">
                  <c:v>6.0846580430670612</c:v>
                </c:pt>
                <c:pt idx="13">
                  <c:v>6.0846580430670612</c:v>
                </c:pt>
                <c:pt idx="14">
                  <c:v>6.0846580430670612</c:v>
                </c:pt>
                <c:pt idx="15">
                  <c:v>6.0846580430670612</c:v>
                </c:pt>
                <c:pt idx="16">
                  <c:v>6.0846580430670612</c:v>
                </c:pt>
                <c:pt idx="17">
                  <c:v>6.0846580430670612</c:v>
                </c:pt>
                <c:pt idx="18">
                  <c:v>6.0846580430670612</c:v>
                </c:pt>
                <c:pt idx="19">
                  <c:v>6.0846580430670612</c:v>
                </c:pt>
                <c:pt idx="20">
                  <c:v>6.0846580430670612</c:v>
                </c:pt>
              </c:numCache>
            </c:numRef>
          </c:yVal>
          <c:smooth val="1"/>
        </c:ser>
        <c:ser>
          <c:idx val="1"/>
          <c:order val="1"/>
          <c:tx>
            <c:strRef>
              <c:f>LDC0851_calc!$S$86</c:f>
              <c:strCache>
                <c:ptCount val="1"/>
                <c:pt idx="0">
                  <c:v>6µH</c:v>
                </c:pt>
              </c:strCache>
            </c:strRef>
          </c:tx>
          <c:marker>
            <c:symbol val="none"/>
          </c:marker>
          <c:xVal>
            <c:numRef>
              <c:f>LDC0851_calc!$Q$88:$Q$108</c:f>
              <c:numCache>
                <c:formatCode>General</c:formatCode>
                <c:ptCount val="21"/>
                <c:pt idx="0">
                  <c:v>15.995673629278274</c:v>
                </c:pt>
                <c:pt idx="1">
                  <c:v>14.995673629278274</c:v>
                </c:pt>
                <c:pt idx="2">
                  <c:v>13.995673629278274</c:v>
                </c:pt>
                <c:pt idx="3">
                  <c:v>12.995673629278274</c:v>
                </c:pt>
                <c:pt idx="4">
                  <c:v>11.995673629278274</c:v>
                </c:pt>
                <c:pt idx="5">
                  <c:v>10.995673629278274</c:v>
                </c:pt>
                <c:pt idx="6">
                  <c:v>9.995673629278274</c:v>
                </c:pt>
                <c:pt idx="7">
                  <c:v>8.995673629278274</c:v>
                </c:pt>
                <c:pt idx="8">
                  <c:v>7.995673629278274</c:v>
                </c:pt>
                <c:pt idx="9">
                  <c:v>6.995673629278274</c:v>
                </c:pt>
                <c:pt idx="10">
                  <c:v>5.995673629278274</c:v>
                </c:pt>
                <c:pt idx="11">
                  <c:v>4.995673629278274</c:v>
                </c:pt>
                <c:pt idx="12">
                  <c:v>4.995673629278274</c:v>
                </c:pt>
                <c:pt idx="13">
                  <c:v>4.995673629278274</c:v>
                </c:pt>
                <c:pt idx="14">
                  <c:v>4.995673629278274</c:v>
                </c:pt>
                <c:pt idx="15">
                  <c:v>4.995673629278274</c:v>
                </c:pt>
                <c:pt idx="16">
                  <c:v>4.995673629278274</c:v>
                </c:pt>
                <c:pt idx="17">
                  <c:v>4.995673629278274</c:v>
                </c:pt>
                <c:pt idx="18">
                  <c:v>4.995673629278274</c:v>
                </c:pt>
                <c:pt idx="19">
                  <c:v>4.995673629278274</c:v>
                </c:pt>
                <c:pt idx="20">
                  <c:v>4.995673629278274</c:v>
                </c:pt>
              </c:numCache>
            </c:numRef>
          </c:xVal>
          <c:yVal>
            <c:numRef>
              <c:f>LDC0851_calc!$Z$88:$Z$108</c:f>
              <c:numCache>
                <c:formatCode>General</c:formatCode>
                <c:ptCount val="21"/>
                <c:pt idx="0">
                  <c:v>3.1823667261009616</c:v>
                </c:pt>
                <c:pt idx="1">
                  <c:v>3.323069216263713</c:v>
                </c:pt>
                <c:pt idx="2">
                  <c:v>3.4937802967004821</c:v>
                </c:pt>
                <c:pt idx="3">
                  <c:v>3.703213413980734</c:v>
                </c:pt>
                <c:pt idx="4">
                  <c:v>3.9636327654356931</c:v>
                </c:pt>
                <c:pt idx="5">
                  <c:v>4.2927879911293658</c:v>
                </c:pt>
                <c:pt idx="6">
                  <c:v>4.7172215348229019</c:v>
                </c:pt>
                <c:pt idx="7">
                  <c:v>5.2781995643343986</c:v>
                </c:pt>
                <c:pt idx="8">
                  <c:v>6.0429746208323145</c:v>
                </c:pt>
                <c:pt idx="9">
                  <c:v>7.1277227294872096</c:v>
                </c:pt>
                <c:pt idx="10">
                  <c:v>8.748551654706274</c:v>
                </c:pt>
                <c:pt idx="11">
                  <c:v>11.348346742149609</c:v>
                </c:pt>
                <c:pt idx="12">
                  <c:v>11.348346742149609</c:v>
                </c:pt>
                <c:pt idx="13">
                  <c:v>11.348346742149609</c:v>
                </c:pt>
                <c:pt idx="14">
                  <c:v>11.348346742149609</c:v>
                </c:pt>
                <c:pt idx="15">
                  <c:v>11.348346742149609</c:v>
                </c:pt>
                <c:pt idx="16">
                  <c:v>11.348346742149609</c:v>
                </c:pt>
                <c:pt idx="17">
                  <c:v>11.348346742149609</c:v>
                </c:pt>
                <c:pt idx="18">
                  <c:v>11.348346742149609</c:v>
                </c:pt>
                <c:pt idx="19">
                  <c:v>11.348346742149609</c:v>
                </c:pt>
                <c:pt idx="20">
                  <c:v>11.348346742149609</c:v>
                </c:pt>
              </c:numCache>
            </c:numRef>
          </c:yVal>
          <c:smooth val="1"/>
        </c:ser>
        <c:ser>
          <c:idx val="2"/>
          <c:order val="2"/>
          <c:tx>
            <c:strRef>
              <c:f>LDC0851_calc!$AC$86</c:f>
              <c:strCache>
                <c:ptCount val="1"/>
                <c:pt idx="0">
                  <c:v>12µH</c:v>
                </c:pt>
              </c:strCache>
            </c:strRef>
          </c:tx>
          <c:marker>
            <c:symbol val="none"/>
          </c:marker>
          <c:xVal>
            <c:numRef>
              <c:f>LDC0851_calc!$AA$88:$AA$108</c:f>
              <c:numCache>
                <c:formatCode>General</c:formatCode>
                <c:ptCount val="21"/>
                <c:pt idx="0">
                  <c:v>11.310649292909501</c:v>
                </c:pt>
                <c:pt idx="1">
                  <c:v>10.310649292909501</c:v>
                </c:pt>
                <c:pt idx="2">
                  <c:v>9.3106492929095008</c:v>
                </c:pt>
                <c:pt idx="3">
                  <c:v>8.3106492929095008</c:v>
                </c:pt>
                <c:pt idx="4">
                  <c:v>7.3106492929095008</c:v>
                </c:pt>
                <c:pt idx="5">
                  <c:v>6.3106492929095008</c:v>
                </c:pt>
                <c:pt idx="6">
                  <c:v>5.3106492929095008</c:v>
                </c:pt>
                <c:pt idx="7">
                  <c:v>4.3106492929095008</c:v>
                </c:pt>
                <c:pt idx="8">
                  <c:v>3.3106492929095008</c:v>
                </c:pt>
                <c:pt idx="9">
                  <c:v>2.3106492929095008</c:v>
                </c:pt>
                <c:pt idx="10">
                  <c:v>2.3106492929095008</c:v>
                </c:pt>
                <c:pt idx="11">
                  <c:v>2.3106492929095008</c:v>
                </c:pt>
                <c:pt idx="12">
                  <c:v>2.3106492929095008</c:v>
                </c:pt>
                <c:pt idx="13">
                  <c:v>2.3106492929095008</c:v>
                </c:pt>
                <c:pt idx="14">
                  <c:v>2.3106492929095008</c:v>
                </c:pt>
                <c:pt idx="15">
                  <c:v>2.3106492929095008</c:v>
                </c:pt>
                <c:pt idx="16">
                  <c:v>2.3106492929095008</c:v>
                </c:pt>
                <c:pt idx="17">
                  <c:v>2.3106492929095008</c:v>
                </c:pt>
                <c:pt idx="18">
                  <c:v>2.3106492929095008</c:v>
                </c:pt>
                <c:pt idx="19">
                  <c:v>2.3106492929095008</c:v>
                </c:pt>
                <c:pt idx="20">
                  <c:v>2.3106492929095008</c:v>
                </c:pt>
              </c:numCache>
            </c:numRef>
          </c:xVal>
          <c:yVal>
            <c:numRef>
              <c:f>LDC0851_calc!$AJ$88:$AJ$108</c:f>
              <c:numCache>
                <c:formatCode>General</c:formatCode>
                <c:ptCount val="21"/>
                <c:pt idx="0">
                  <c:v>3.3268400013932622</c:v>
                </c:pt>
                <c:pt idx="1">
                  <c:v>3.564712294811307</c:v>
                </c:pt>
                <c:pt idx="2">
                  <c:v>3.8744615241469389</c:v>
                </c:pt>
                <c:pt idx="3">
                  <c:v>4.2887856172743852</c:v>
                </c:pt>
                <c:pt idx="4">
                  <c:v>4.8624724578057714</c:v>
                </c:pt>
                <c:pt idx="5">
                  <c:v>5.6937564484760603</c:v>
                </c:pt>
                <c:pt idx="6">
                  <c:v>6.9749785922214658</c:v>
                </c:pt>
                <c:pt idx="7">
                  <c:v>9.13048825401005</c:v>
                </c:pt>
                <c:pt idx="8">
                  <c:v>13.272301992395104</c:v>
                </c:pt>
                <c:pt idx="9">
                  <c:v>23.230580922887853</c:v>
                </c:pt>
                <c:pt idx="10">
                  <c:v>23.230580922887853</c:v>
                </c:pt>
                <c:pt idx="11">
                  <c:v>23.230580922887853</c:v>
                </c:pt>
                <c:pt idx="12">
                  <c:v>23.230580922887853</c:v>
                </c:pt>
                <c:pt idx="13">
                  <c:v>23.230580922887853</c:v>
                </c:pt>
                <c:pt idx="14">
                  <c:v>23.230580922887853</c:v>
                </c:pt>
                <c:pt idx="15">
                  <c:v>23.230580922887853</c:v>
                </c:pt>
                <c:pt idx="16">
                  <c:v>23.230580922887853</c:v>
                </c:pt>
                <c:pt idx="17">
                  <c:v>23.230580922887853</c:v>
                </c:pt>
                <c:pt idx="18">
                  <c:v>23.230580922887853</c:v>
                </c:pt>
                <c:pt idx="19">
                  <c:v>23.230580922887853</c:v>
                </c:pt>
                <c:pt idx="20">
                  <c:v>23.230580922887853</c:v>
                </c:pt>
              </c:numCache>
            </c:numRef>
          </c:yVal>
          <c:smooth val="1"/>
        </c:ser>
        <c:dLbls>
          <c:showLegendKey val="0"/>
          <c:showVal val="0"/>
          <c:showCatName val="0"/>
          <c:showSerName val="0"/>
          <c:showPercent val="0"/>
          <c:showBubbleSize val="0"/>
        </c:dLbls>
        <c:axId val="422420176"/>
        <c:axId val="422420568"/>
      </c:scatterChart>
      <c:valAx>
        <c:axId val="422420176"/>
        <c:scaling>
          <c:orientation val="minMax"/>
          <c:max val="20"/>
          <c:min val="0"/>
        </c:scaling>
        <c:delete val="0"/>
        <c:axPos val="b"/>
        <c:majorGridlines>
          <c:spPr>
            <a:ln>
              <a:solidFill>
                <a:schemeClr val="bg1">
                  <a:lumMod val="85000"/>
                </a:schemeClr>
              </a:solidFill>
            </a:ln>
          </c:spPr>
        </c:majorGridlines>
        <c:title>
          <c:tx>
            <c:rich>
              <a:bodyPr/>
              <a:lstStyle/>
              <a:p>
                <a:pPr>
                  <a:defRPr/>
                </a:pPr>
                <a:r>
                  <a:rPr lang="en-US"/>
                  <a:t>Sensor Frequency (MHz)</a:t>
                </a:r>
              </a:p>
            </c:rich>
          </c:tx>
          <c:overlay val="0"/>
        </c:title>
        <c:numFmt formatCode="General" sourceLinked="1"/>
        <c:majorTickMark val="out"/>
        <c:minorTickMark val="none"/>
        <c:tickLblPos val="nextTo"/>
        <c:crossAx val="422420568"/>
        <c:crosses val="autoZero"/>
        <c:crossBetween val="midCat"/>
      </c:valAx>
      <c:valAx>
        <c:axId val="422420568"/>
        <c:scaling>
          <c:orientation val="minMax"/>
        </c:scaling>
        <c:delete val="0"/>
        <c:axPos val="l"/>
        <c:majorGridlines>
          <c:spPr>
            <a:ln>
              <a:solidFill>
                <a:schemeClr val="bg1">
                  <a:lumMod val="85000"/>
                </a:schemeClr>
              </a:solidFill>
            </a:ln>
          </c:spPr>
        </c:majorGridlines>
        <c:title>
          <c:tx>
            <c:rich>
              <a:bodyPr rot="-5400000" vert="horz"/>
              <a:lstStyle/>
              <a:p>
                <a:pPr>
                  <a:defRPr/>
                </a:pPr>
                <a:r>
                  <a:rPr lang="en-US"/>
                  <a:t>LDC0851 Average Current Consumption</a:t>
                </a:r>
                <a:r>
                  <a:rPr lang="en-US" baseline="0"/>
                  <a:t> (µA)</a:t>
                </a:r>
                <a:endParaRPr lang="en-US"/>
              </a:p>
            </c:rich>
          </c:tx>
          <c:overlay val="0"/>
        </c:title>
        <c:numFmt formatCode="General" sourceLinked="1"/>
        <c:majorTickMark val="out"/>
        <c:minorTickMark val="none"/>
        <c:tickLblPos val="nextTo"/>
        <c:crossAx val="422420176"/>
        <c:crosses val="autoZero"/>
        <c:crossBetween val="midCat"/>
      </c:valAx>
    </c:plotArea>
    <c:legend>
      <c:legendPos val="r"/>
      <c:overlay val="0"/>
    </c:legend>
    <c:plotVisOnly val="0"/>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Approximate Inductance</a:t>
            </a:r>
            <a:r>
              <a:rPr lang="en-US" sz="1200" baseline="0"/>
              <a:t> vs. Distance Response</a:t>
            </a:r>
            <a:endParaRPr lang="en-US" sz="1200"/>
          </a:p>
        </c:rich>
      </c:tx>
      <c:layout>
        <c:manualLayout>
          <c:xMode val="edge"/>
          <c:yMode val="edge"/>
          <c:x val="0.19450088478952343"/>
          <c:y val="4.6296330282637761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899759405074366"/>
          <c:y val="9.2592592592592587E-2"/>
          <c:w val="0.8152941819772529"/>
          <c:h val="0.70741542723826178"/>
        </c:manualLayout>
      </c:layout>
      <c:scatterChart>
        <c:scatterStyle val="lineMarker"/>
        <c:varyColors val="0"/>
        <c:ser>
          <c:idx val="0"/>
          <c:order val="0"/>
          <c:tx>
            <c:v>L</c:v>
          </c:tx>
          <c:spPr>
            <a:ln w="19050" cap="rnd">
              <a:solidFill>
                <a:schemeClr val="accent1"/>
              </a:solidFill>
              <a:round/>
            </a:ln>
            <a:effectLst/>
          </c:spPr>
          <c:marker>
            <c:symbol val="none"/>
          </c:marker>
          <c:xVal>
            <c:numRef>
              <c:f>'LDC131x-LDC161x_Config'!$D$239:$D$268</c:f>
              <c:numCache>
                <c:formatCode>0.0000</c:formatCode>
                <c:ptCount val="30"/>
                <c:pt idx="0">
                  <c:v>4.1700000000000001E-2</c:v>
                </c:pt>
                <c:pt idx="1">
                  <c:v>5.0999100000000006E-2</c:v>
                </c:pt>
                <c:pt idx="2">
                  <c:v>6.2371899300000012E-2</c:v>
                </c:pt>
                <c:pt idx="3">
                  <c:v>7.6280832843900026E-2</c:v>
                </c:pt>
                <c:pt idx="4">
                  <c:v>9.3291458568089736E-2</c:v>
                </c:pt>
                <c:pt idx="5">
                  <c:v>0.11409545382877374</c:v>
                </c:pt>
                <c:pt idx="6">
                  <c:v>0.13953874003259031</c:v>
                </c:pt>
                <c:pt idx="7">
                  <c:v>0.17065587905985796</c:v>
                </c:pt>
                <c:pt idx="8">
                  <c:v>0.20871214009020628</c:v>
                </c:pt>
                <c:pt idx="9">
                  <c:v>0.25525494733032228</c:v>
                </c:pt>
                <c:pt idx="10">
                  <c:v>0.3121768005849842</c:v>
                </c:pt>
                <c:pt idx="11">
                  <c:v>0.3817922271154357</c:v>
                </c:pt>
                <c:pt idx="12">
                  <c:v>0.46693189376217792</c:v>
                </c:pt>
                <c:pt idx="13">
                  <c:v>0.57105770607114359</c:v>
                </c:pt>
                <c:pt idx="14">
                  <c:v>0.69840357452500867</c:v>
                </c:pt>
                <c:pt idx="15">
                  <c:v>0.85414757164408572</c:v>
                </c:pt>
                <c:pt idx="16">
                  <c:v>1.0446224801207169</c:v>
                </c:pt>
                <c:pt idx="17">
                  <c:v>1.2775732931876367</c:v>
                </c:pt>
                <c:pt idx="18">
                  <c:v>1.5624721375684798</c:v>
                </c:pt>
                <c:pt idx="19">
                  <c:v>1.9109034242462508</c:v>
                </c:pt>
                <c:pt idx="20">
                  <c:v>2.3370348878531648</c:v>
                </c:pt>
                <c:pt idx="21">
                  <c:v>2.8581936678444211</c:v>
                </c:pt>
                <c:pt idx="22">
                  <c:v>3.4955708557737268</c:v>
                </c:pt>
                <c:pt idx="23">
                  <c:v>4.2750831566112684</c:v>
                </c:pt>
                <c:pt idx="24">
                  <c:v>5.2284267005355813</c:v>
                </c:pt>
                <c:pt idx="25">
                  <c:v>6.3943658547550157</c:v>
                </c:pt>
                <c:pt idx="26">
                  <c:v>7.820309440365385</c:v>
                </c:pt>
                <c:pt idx="27">
                  <c:v>9.5642384455668665</c:v>
                </c:pt>
                <c:pt idx="28">
                  <c:v>11.697063618928279</c:v>
                </c:pt>
                <c:pt idx="29">
                  <c:v>14.305508805949286</c:v>
                </c:pt>
              </c:numCache>
            </c:numRef>
          </c:xVal>
          <c:yVal>
            <c:numRef>
              <c:f>'LDC131x-LDC161x_Config'!$F$239:$F$268</c:f>
              <c:numCache>
                <c:formatCode>0.000</c:formatCode>
                <c:ptCount val="30"/>
                <c:pt idx="0">
                  <c:v>0.87176855705225142</c:v>
                </c:pt>
                <c:pt idx="1">
                  <c:v>0.91186179970094527</c:v>
                </c:pt>
                <c:pt idx="2">
                  <c:v>0.96055888213407814</c:v>
                </c:pt>
                <c:pt idx="3">
                  <c:v>1.0196152834254124</c:v>
                </c:pt>
                <c:pt idx="4">
                  <c:v>1.0911002036164592</c:v>
                </c:pt>
                <c:pt idx="5">
                  <c:v>1.1774305111975742</c:v>
                </c:pt>
                <c:pt idx="6">
                  <c:v>1.2813964187369289</c:v>
                </c:pt>
                <c:pt idx="7">
                  <c:v>1.4061707495929183</c:v>
                </c:pt>
                <c:pt idx="8">
                  <c:v>1.5552898943403233</c:v>
                </c:pt>
                <c:pt idx="9">
                  <c:v>1.7325898112196556</c:v>
                </c:pt>
                <c:pt idx="10">
                  <c:v>1.9420749364330465</c:v>
                </c:pt>
                <c:pt idx="11">
                  <c:v>2.1876924143380476</c:v>
                </c:pt>
                <c:pt idx="12">
                  <c:v>2.4729803642369981</c:v>
                </c:pt>
                <c:pt idx="13">
                  <c:v>2.8005601949122592</c:v>
                </c:pt>
                <c:pt idx="14">
                  <c:v>3.1714545247536177</c:v>
                </c:pt>
                <c:pt idx="15">
                  <c:v>3.5842415196477742</c:v>
                </c:pt>
                <c:pt idx="16">
                  <c:v>4.0341119800087295</c:v>
                </c:pt>
                <c:pt idx="17">
                  <c:v>4.5119831748736487</c:v>
                </c:pt>
                <c:pt idx="18">
                  <c:v>5.0039382067175131</c:v>
                </c:pt>
                <c:pt idx="19">
                  <c:v>5.4913722974230117</c:v>
                </c:pt>
                <c:pt idx="20">
                  <c:v>5.9522697732220005</c:v>
                </c:pt>
                <c:pt idx="21">
                  <c:v>6.3638996177628337</c:v>
                </c:pt>
                <c:pt idx="22">
                  <c:v>6.7067945676479237</c:v>
                </c:pt>
                <c:pt idx="23">
                  <c:v>6.9691669931562297</c:v>
                </c:pt>
                <c:pt idx="24">
                  <c:v>7.1501731595144626</c:v>
                </c:pt>
                <c:pt idx="25">
                  <c:v>7.2602427901031863</c:v>
                </c:pt>
                <c:pt idx="26">
                  <c:v>7.3176453763599056</c:v>
                </c:pt>
                <c:pt idx="27">
                  <c:v>7.3424803111407062</c:v>
                </c:pt>
                <c:pt idx="28">
                  <c:v>7.3510432682598585</c:v>
                </c:pt>
                <c:pt idx="29">
                  <c:v>7.3532848649328795</c:v>
                </c:pt>
              </c:numCache>
            </c:numRef>
          </c:yVal>
          <c:smooth val="0"/>
        </c:ser>
        <c:ser>
          <c:idx val="1"/>
          <c:order val="1"/>
          <c:tx>
            <c:v>D1X</c:v>
          </c:tx>
          <c:spPr>
            <a:ln w="19050" cap="rnd">
              <a:solidFill>
                <a:schemeClr val="accent6">
                  <a:lumMod val="50000"/>
                </a:schemeClr>
              </a:solidFill>
              <a:round/>
            </a:ln>
            <a:effectLst/>
          </c:spPr>
          <c:marker>
            <c:symbol val="none"/>
          </c:marker>
          <c:xVal>
            <c:numRef>
              <c:f>'LDC131x-LDC161x_Config'!$H$239:$H$240</c:f>
              <c:numCache>
                <c:formatCode>0.00</c:formatCode>
                <c:ptCount val="2"/>
                <c:pt idx="0">
                  <c:v>1.5</c:v>
                </c:pt>
                <c:pt idx="1">
                  <c:v>1.5</c:v>
                </c:pt>
              </c:numCache>
            </c:numRef>
          </c:xVal>
          <c:yVal>
            <c:numRef>
              <c:f>'LDC131x-LDC161x_Config'!$I$239:$I$240</c:f>
              <c:numCache>
                <c:formatCode>0.0000</c:formatCode>
                <c:ptCount val="2"/>
                <c:pt idx="0">
                  <c:v>0</c:v>
                </c:pt>
                <c:pt idx="1">
                  <c:v>4.9039214839668892</c:v>
                </c:pt>
              </c:numCache>
            </c:numRef>
          </c:yVal>
          <c:smooth val="0"/>
        </c:ser>
        <c:ser>
          <c:idx val="2"/>
          <c:order val="2"/>
          <c:tx>
            <c:v>D1Y</c:v>
          </c:tx>
          <c:spPr>
            <a:ln w="19050" cap="rnd">
              <a:solidFill>
                <a:schemeClr val="accent6">
                  <a:lumMod val="50000"/>
                </a:schemeClr>
              </a:solidFill>
              <a:round/>
            </a:ln>
            <a:effectLst/>
          </c:spPr>
          <c:marker>
            <c:symbol val="none"/>
          </c:marker>
          <c:xVal>
            <c:numRef>
              <c:f>'LDC131x-LDC161x_Config'!$H$240:$H$241</c:f>
              <c:numCache>
                <c:formatCode>General</c:formatCode>
                <c:ptCount val="2"/>
                <c:pt idx="0" formatCode="0.00">
                  <c:v>1.5</c:v>
                </c:pt>
                <c:pt idx="1">
                  <c:v>0</c:v>
                </c:pt>
              </c:numCache>
            </c:numRef>
          </c:xVal>
          <c:yVal>
            <c:numRef>
              <c:f>'LDC131x-LDC161x_Config'!$I$240:$I$241</c:f>
              <c:numCache>
                <c:formatCode>0.0000</c:formatCode>
                <c:ptCount val="2"/>
                <c:pt idx="0">
                  <c:v>4.9039214839668892</c:v>
                </c:pt>
                <c:pt idx="1">
                  <c:v>4.9039214839668892</c:v>
                </c:pt>
              </c:numCache>
            </c:numRef>
          </c:yVal>
          <c:smooth val="0"/>
        </c:ser>
        <c:ser>
          <c:idx val="3"/>
          <c:order val="3"/>
          <c:tx>
            <c:v>D2X</c:v>
          </c:tx>
          <c:spPr>
            <a:ln w="19050" cap="rnd">
              <a:solidFill>
                <a:schemeClr val="accent6">
                  <a:lumMod val="50000"/>
                </a:schemeClr>
              </a:solidFill>
              <a:round/>
            </a:ln>
            <a:effectLst/>
          </c:spPr>
          <c:marker>
            <c:symbol val="none"/>
          </c:marker>
          <c:xVal>
            <c:numRef>
              <c:f>'LDC131x-LDC161x_Config'!$H$244:$H$245</c:f>
              <c:numCache>
                <c:formatCode>0.00</c:formatCode>
                <c:ptCount val="2"/>
                <c:pt idx="0">
                  <c:v>1.4</c:v>
                </c:pt>
                <c:pt idx="1">
                  <c:v>1.4</c:v>
                </c:pt>
              </c:numCache>
            </c:numRef>
          </c:xVal>
          <c:yVal>
            <c:numRef>
              <c:f>'LDC131x-LDC161x_Config'!$I$244:$I$245</c:f>
              <c:numCache>
                <c:formatCode>0.0000</c:formatCode>
                <c:ptCount val="2"/>
                <c:pt idx="0">
                  <c:v>0</c:v>
                </c:pt>
                <c:pt idx="1">
                  <c:v>4.734887082338382</c:v>
                </c:pt>
              </c:numCache>
            </c:numRef>
          </c:yVal>
          <c:smooth val="0"/>
        </c:ser>
        <c:ser>
          <c:idx val="4"/>
          <c:order val="4"/>
          <c:tx>
            <c:v>D2Y</c:v>
          </c:tx>
          <c:spPr>
            <a:ln w="19050" cap="rnd">
              <a:solidFill>
                <a:schemeClr val="accent6">
                  <a:lumMod val="50000"/>
                </a:schemeClr>
              </a:solidFill>
              <a:round/>
            </a:ln>
            <a:effectLst/>
          </c:spPr>
          <c:marker>
            <c:symbol val="none"/>
          </c:marker>
          <c:xVal>
            <c:numRef>
              <c:f>'LDC131x-LDC161x_Config'!$H$245:$H$246</c:f>
              <c:numCache>
                <c:formatCode>General</c:formatCode>
                <c:ptCount val="2"/>
                <c:pt idx="0" formatCode="0.00">
                  <c:v>1.4</c:v>
                </c:pt>
                <c:pt idx="1">
                  <c:v>0</c:v>
                </c:pt>
              </c:numCache>
            </c:numRef>
          </c:xVal>
          <c:yVal>
            <c:numRef>
              <c:f>'LDC131x-LDC161x_Config'!$I$245:$I$246</c:f>
              <c:numCache>
                <c:formatCode>0.0000</c:formatCode>
                <c:ptCount val="2"/>
                <c:pt idx="0">
                  <c:v>4.734887082338382</c:v>
                </c:pt>
                <c:pt idx="1">
                  <c:v>4.734887082338382</c:v>
                </c:pt>
              </c:numCache>
            </c:numRef>
          </c:yVal>
          <c:smooth val="0"/>
        </c:ser>
        <c:dLbls>
          <c:showLegendKey val="0"/>
          <c:showVal val="0"/>
          <c:showCatName val="0"/>
          <c:showSerName val="0"/>
          <c:showPercent val="0"/>
          <c:showBubbleSize val="0"/>
        </c:dLbls>
        <c:axId val="429689536"/>
        <c:axId val="429689928"/>
      </c:scatterChart>
      <c:valAx>
        <c:axId val="429689536"/>
        <c:scaling>
          <c:orientation val="minMax"/>
          <c:max val="1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Sensor-Target Distance (mm)</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689928"/>
        <c:crosses val="autoZero"/>
        <c:crossBetween val="midCat"/>
      </c:valAx>
      <c:valAx>
        <c:axId val="429689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Inductance (µH)</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689536"/>
        <c:crosses val="autoZero"/>
        <c:crossBetween val="midCat"/>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84686393224565"/>
          <c:y val="4.5830150607734377E-2"/>
          <c:w val="0.78630796150481175"/>
          <c:h val="0.78703703703703709"/>
        </c:manualLayout>
      </c:layout>
      <c:scatterChart>
        <c:scatterStyle val="smoothMarker"/>
        <c:varyColors val="0"/>
        <c:ser>
          <c:idx val="0"/>
          <c:order val="0"/>
          <c:tx>
            <c:v>I</c:v>
          </c:tx>
          <c:spPr>
            <a:ln w="19050" cap="rnd">
              <a:solidFill>
                <a:schemeClr val="accent1"/>
              </a:solidFill>
              <a:round/>
            </a:ln>
            <a:effectLst/>
          </c:spPr>
          <c:marker>
            <c:symbol val="none"/>
          </c:marker>
          <c:xVal>
            <c:numRef>
              <c:f>Dial_Calc_Tool!$C$85:$C$96</c:f>
              <c:numCache>
                <c:formatCode>0.0</c:formatCode>
                <c:ptCount val="12"/>
                <c:pt idx="0">
                  <c:v>0</c:v>
                </c:pt>
                <c:pt idx="1">
                  <c:v>30</c:v>
                </c:pt>
                <c:pt idx="2">
                  <c:v>60</c:v>
                </c:pt>
                <c:pt idx="3">
                  <c:v>90</c:v>
                </c:pt>
                <c:pt idx="4">
                  <c:v>120</c:v>
                </c:pt>
                <c:pt idx="5">
                  <c:v>150</c:v>
                </c:pt>
                <c:pt idx="6">
                  <c:v>180</c:v>
                </c:pt>
                <c:pt idx="7">
                  <c:v>210</c:v>
                </c:pt>
                <c:pt idx="8">
                  <c:v>240</c:v>
                </c:pt>
                <c:pt idx="9">
                  <c:v>270</c:v>
                </c:pt>
                <c:pt idx="10">
                  <c:v>300</c:v>
                </c:pt>
                <c:pt idx="11">
                  <c:v>330</c:v>
                </c:pt>
              </c:numCache>
            </c:numRef>
          </c:xVal>
          <c:yVal>
            <c:numRef>
              <c:f>Dial_Calc_Tool!$J$85:$J$96</c:f>
              <c:numCache>
                <c:formatCode>0.0000</c:formatCode>
                <c:ptCount val="12"/>
                <c:pt idx="0">
                  <c:v>1</c:v>
                </c:pt>
                <c:pt idx="1">
                  <c:v>0.90970740815318585</c:v>
                </c:pt>
                <c:pt idx="2">
                  <c:v>0.63380250337423039</c:v>
                </c:pt>
                <c:pt idx="3">
                  <c:v>2.1560412017820721E-11</c:v>
                </c:pt>
                <c:pt idx="4">
                  <c:v>-0.63380250337423016</c:v>
                </c:pt>
                <c:pt idx="5">
                  <c:v>-0.90970740815318585</c:v>
                </c:pt>
                <c:pt idx="6">
                  <c:v>-1</c:v>
                </c:pt>
                <c:pt idx="7">
                  <c:v>-0.90970740815318585</c:v>
                </c:pt>
                <c:pt idx="8">
                  <c:v>-0.63380250337423061</c:v>
                </c:pt>
                <c:pt idx="9">
                  <c:v>-4.4417347185919745E-11</c:v>
                </c:pt>
                <c:pt idx="10">
                  <c:v>0.63380250337423039</c:v>
                </c:pt>
                <c:pt idx="11">
                  <c:v>0.90970740815318563</c:v>
                </c:pt>
              </c:numCache>
            </c:numRef>
          </c:yVal>
          <c:smooth val="1"/>
        </c:ser>
        <c:ser>
          <c:idx val="1"/>
          <c:order val="1"/>
          <c:tx>
            <c:v>Q</c:v>
          </c:tx>
          <c:spPr>
            <a:ln w="19050" cap="rnd">
              <a:solidFill>
                <a:schemeClr val="accent2"/>
              </a:solidFill>
              <a:round/>
            </a:ln>
            <a:effectLst/>
          </c:spPr>
          <c:marker>
            <c:symbol val="none"/>
          </c:marker>
          <c:xVal>
            <c:numRef>
              <c:f>Dial_Calc_Tool!$C$85:$C$96</c:f>
              <c:numCache>
                <c:formatCode>0.0</c:formatCode>
                <c:ptCount val="12"/>
                <c:pt idx="0">
                  <c:v>0</c:v>
                </c:pt>
                <c:pt idx="1">
                  <c:v>30</c:v>
                </c:pt>
                <c:pt idx="2">
                  <c:v>60</c:v>
                </c:pt>
                <c:pt idx="3">
                  <c:v>90</c:v>
                </c:pt>
                <c:pt idx="4">
                  <c:v>120</c:v>
                </c:pt>
                <c:pt idx="5">
                  <c:v>150</c:v>
                </c:pt>
                <c:pt idx="6">
                  <c:v>180</c:v>
                </c:pt>
                <c:pt idx="7">
                  <c:v>210</c:v>
                </c:pt>
                <c:pt idx="8">
                  <c:v>240</c:v>
                </c:pt>
                <c:pt idx="9">
                  <c:v>270</c:v>
                </c:pt>
                <c:pt idx="10">
                  <c:v>300</c:v>
                </c:pt>
                <c:pt idx="11">
                  <c:v>330</c:v>
                </c:pt>
              </c:numCache>
            </c:numRef>
          </c:xVal>
          <c:yVal>
            <c:numRef>
              <c:f>Dial_Calc_Tool!$K$85:$K$96</c:f>
              <c:numCache>
                <c:formatCode>0.0000</c:formatCode>
                <c:ptCount val="12"/>
                <c:pt idx="0">
                  <c:v>0</c:v>
                </c:pt>
                <c:pt idx="1">
                  <c:v>0.63380250337423027</c:v>
                </c:pt>
                <c:pt idx="2">
                  <c:v>0.90970740815318596</c:v>
                </c:pt>
                <c:pt idx="3">
                  <c:v>1</c:v>
                </c:pt>
                <c:pt idx="4">
                  <c:v>0.90970740815318596</c:v>
                </c:pt>
                <c:pt idx="5">
                  <c:v>0.63380250337423027</c:v>
                </c:pt>
                <c:pt idx="6">
                  <c:v>3.4017556448485599E-11</c:v>
                </c:pt>
                <c:pt idx="7">
                  <c:v>-0.63380250337423039</c:v>
                </c:pt>
                <c:pt idx="8">
                  <c:v>-0.90970740815318563</c:v>
                </c:pt>
                <c:pt idx="9">
                  <c:v>-1</c:v>
                </c:pt>
                <c:pt idx="10">
                  <c:v>-0.90970740815318596</c:v>
                </c:pt>
                <c:pt idx="11">
                  <c:v>-0.63380250337423072</c:v>
                </c:pt>
              </c:numCache>
            </c:numRef>
          </c:yVal>
          <c:smooth val="1"/>
        </c:ser>
        <c:dLbls>
          <c:showLegendKey val="0"/>
          <c:showVal val="0"/>
          <c:showCatName val="0"/>
          <c:showSerName val="0"/>
          <c:showPercent val="0"/>
          <c:showBubbleSize val="0"/>
        </c:dLbls>
        <c:axId val="429696592"/>
        <c:axId val="429696984"/>
      </c:scatterChart>
      <c:valAx>
        <c:axId val="429696592"/>
        <c:scaling>
          <c:orientation val="minMax"/>
          <c:max val="36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696984"/>
        <c:crossesAt val="-1000"/>
        <c:crossBetween val="midCat"/>
        <c:majorUnit val="22.5"/>
      </c:valAx>
      <c:valAx>
        <c:axId val="429696984"/>
        <c:scaling>
          <c:orientation val="minMax"/>
          <c:max val="1.2"/>
          <c:min val="-1.2"/>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696592"/>
        <c:crosses val="autoZero"/>
        <c:crossBetween val="midCat"/>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53937007874016"/>
          <c:y val="0.16203703703703703"/>
          <c:w val="0.78630796150481175"/>
          <c:h val="0.78703703703703709"/>
        </c:manualLayout>
      </c:layout>
      <c:scatterChart>
        <c:scatterStyle val="smoothMarker"/>
        <c:varyColors val="0"/>
        <c:ser>
          <c:idx val="0"/>
          <c:order val="0"/>
          <c:spPr>
            <a:ln w="19050" cap="rnd">
              <a:solidFill>
                <a:schemeClr val="accent1"/>
              </a:solidFill>
              <a:round/>
            </a:ln>
            <a:effectLst/>
          </c:spPr>
          <c:marker>
            <c:symbol val="none"/>
          </c:marker>
          <c:xVal>
            <c:numRef>
              <c:f>Dial_Calc_Tool!$C$141:$C$152</c:f>
              <c:numCache>
                <c:formatCode>0.0</c:formatCode>
                <c:ptCount val="12"/>
                <c:pt idx="0">
                  <c:v>0</c:v>
                </c:pt>
                <c:pt idx="1">
                  <c:v>30</c:v>
                </c:pt>
                <c:pt idx="2">
                  <c:v>60</c:v>
                </c:pt>
                <c:pt idx="3">
                  <c:v>90</c:v>
                </c:pt>
                <c:pt idx="4">
                  <c:v>120</c:v>
                </c:pt>
                <c:pt idx="5">
                  <c:v>150</c:v>
                </c:pt>
                <c:pt idx="6">
                  <c:v>180</c:v>
                </c:pt>
                <c:pt idx="7">
                  <c:v>210</c:v>
                </c:pt>
                <c:pt idx="8">
                  <c:v>240</c:v>
                </c:pt>
                <c:pt idx="9">
                  <c:v>270</c:v>
                </c:pt>
                <c:pt idx="10">
                  <c:v>300</c:v>
                </c:pt>
                <c:pt idx="11">
                  <c:v>330</c:v>
                </c:pt>
              </c:numCache>
            </c:numRef>
          </c:xVal>
          <c:yVal>
            <c:numRef>
              <c:f>Dial_Calc_Tool!$J$141:$J$152</c:f>
              <c:numCache>
                <c:formatCode>0.0000</c:formatCode>
                <c:ptCount val="12"/>
                <c:pt idx="0">
                  <c:v>0</c:v>
                </c:pt>
                <c:pt idx="1">
                  <c:v>0.5612310241546864</c:v>
                </c:pt>
                <c:pt idx="2">
                  <c:v>0.8870379346827485</c:v>
                </c:pt>
                <c:pt idx="3">
                  <c:v>1</c:v>
                </c:pt>
                <c:pt idx="4">
                  <c:v>0.88703793468274861</c:v>
                </c:pt>
                <c:pt idx="5">
                  <c:v>0.5612310241546864</c:v>
                </c:pt>
                <c:pt idx="6">
                  <c:v>5.4973019600498337E-14</c:v>
                </c:pt>
                <c:pt idx="7">
                  <c:v>-0.56123102415468662</c:v>
                </c:pt>
                <c:pt idx="8">
                  <c:v>-0.88703793468274839</c:v>
                </c:pt>
                <c:pt idx="9">
                  <c:v>-1</c:v>
                </c:pt>
                <c:pt idx="10">
                  <c:v>-0.8870379346827485</c:v>
                </c:pt>
                <c:pt idx="11">
                  <c:v>-0.56123102415468695</c:v>
                </c:pt>
              </c:numCache>
            </c:numRef>
          </c:yVal>
          <c:smooth val="1"/>
        </c:ser>
        <c:ser>
          <c:idx val="1"/>
          <c:order val="1"/>
          <c:spPr>
            <a:ln w="19050" cap="rnd">
              <a:solidFill>
                <a:schemeClr val="accent2"/>
              </a:solidFill>
              <a:round/>
            </a:ln>
            <a:effectLst/>
          </c:spPr>
          <c:marker>
            <c:symbol val="none"/>
          </c:marker>
          <c:xVal>
            <c:numRef>
              <c:f>Dial_Calc_Tool!$C$141:$C$152</c:f>
              <c:numCache>
                <c:formatCode>0.0</c:formatCode>
                <c:ptCount val="12"/>
                <c:pt idx="0">
                  <c:v>0</c:v>
                </c:pt>
                <c:pt idx="1">
                  <c:v>30</c:v>
                </c:pt>
                <c:pt idx="2">
                  <c:v>60</c:v>
                </c:pt>
                <c:pt idx="3">
                  <c:v>90</c:v>
                </c:pt>
                <c:pt idx="4">
                  <c:v>120</c:v>
                </c:pt>
                <c:pt idx="5">
                  <c:v>150</c:v>
                </c:pt>
                <c:pt idx="6">
                  <c:v>180</c:v>
                </c:pt>
                <c:pt idx="7">
                  <c:v>210</c:v>
                </c:pt>
                <c:pt idx="8">
                  <c:v>240</c:v>
                </c:pt>
                <c:pt idx="9">
                  <c:v>270</c:v>
                </c:pt>
                <c:pt idx="10">
                  <c:v>300</c:v>
                </c:pt>
                <c:pt idx="11">
                  <c:v>330</c:v>
                </c:pt>
              </c:numCache>
            </c:numRef>
          </c:xVal>
          <c:yVal>
            <c:numRef>
              <c:f>Dial_Calc_Tool!$K$141:$K$152</c:f>
              <c:numCache>
                <c:formatCode>0.0000</c:formatCode>
                <c:ptCount val="12"/>
                <c:pt idx="0">
                  <c:v>1</c:v>
                </c:pt>
                <c:pt idx="1">
                  <c:v>0.88703793468274872</c:v>
                </c:pt>
                <c:pt idx="2">
                  <c:v>0.56123102415468662</c:v>
                </c:pt>
                <c:pt idx="3">
                  <c:v>3.0854780010431019E-14</c:v>
                </c:pt>
                <c:pt idx="4">
                  <c:v>-0.56123102415468629</c:v>
                </c:pt>
                <c:pt idx="5">
                  <c:v>-0.88703793468274872</c:v>
                </c:pt>
                <c:pt idx="6">
                  <c:v>-1</c:v>
                </c:pt>
                <c:pt idx="7">
                  <c:v>-0.8870379346827485</c:v>
                </c:pt>
                <c:pt idx="8">
                  <c:v>-0.56123102415468695</c:v>
                </c:pt>
                <c:pt idx="9">
                  <c:v>-7.707450839172287E-14</c:v>
                </c:pt>
                <c:pt idx="10">
                  <c:v>0.56123102415468662</c:v>
                </c:pt>
                <c:pt idx="11">
                  <c:v>0.88703793468274839</c:v>
                </c:pt>
              </c:numCache>
            </c:numRef>
          </c:yVal>
          <c:smooth val="1"/>
        </c:ser>
        <c:dLbls>
          <c:showLegendKey val="0"/>
          <c:showVal val="0"/>
          <c:showCatName val="0"/>
          <c:showSerName val="0"/>
          <c:showPercent val="0"/>
          <c:showBubbleSize val="0"/>
        </c:dLbls>
        <c:axId val="429693064"/>
        <c:axId val="429695024"/>
      </c:scatterChart>
      <c:valAx>
        <c:axId val="429693064"/>
        <c:scaling>
          <c:orientation val="minMax"/>
          <c:max val="36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695024"/>
        <c:crossesAt val="-1000"/>
        <c:crossBetween val="midCat"/>
        <c:majorUnit val="22.5"/>
      </c:valAx>
      <c:valAx>
        <c:axId val="429695024"/>
        <c:scaling>
          <c:orientation val="minMax"/>
          <c:max val="1.2"/>
          <c:min val="-1.2"/>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693064"/>
        <c:crosses val="autoZero"/>
        <c:crossBetween val="midCat"/>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 Component Error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1853937007874016"/>
          <c:y val="0.138815358754313"/>
          <c:w val="0.78630796150481175"/>
          <c:h val="0.75894718216402723"/>
        </c:manualLayout>
      </c:layout>
      <c:scatterChart>
        <c:scatterStyle val="smoothMarker"/>
        <c:varyColors val="0"/>
        <c:ser>
          <c:idx val="0"/>
          <c:order val="0"/>
          <c:spPr>
            <a:ln w="19050" cap="rnd">
              <a:solidFill>
                <a:schemeClr val="accent1"/>
              </a:solidFill>
              <a:round/>
            </a:ln>
            <a:effectLst/>
          </c:spPr>
          <c:marker>
            <c:symbol val="none"/>
          </c:marker>
          <c:xVal>
            <c:numRef>
              <c:f>Dial_Calc_Tool!$C$141:$C$152</c:f>
              <c:numCache>
                <c:formatCode>0.0</c:formatCode>
                <c:ptCount val="12"/>
                <c:pt idx="0">
                  <c:v>0</c:v>
                </c:pt>
                <c:pt idx="1">
                  <c:v>30</c:v>
                </c:pt>
                <c:pt idx="2">
                  <c:v>60</c:v>
                </c:pt>
                <c:pt idx="3">
                  <c:v>90</c:v>
                </c:pt>
                <c:pt idx="4">
                  <c:v>120</c:v>
                </c:pt>
                <c:pt idx="5">
                  <c:v>150</c:v>
                </c:pt>
                <c:pt idx="6">
                  <c:v>180</c:v>
                </c:pt>
                <c:pt idx="7">
                  <c:v>210</c:v>
                </c:pt>
                <c:pt idx="8">
                  <c:v>240</c:v>
                </c:pt>
                <c:pt idx="9">
                  <c:v>270</c:v>
                </c:pt>
                <c:pt idx="10">
                  <c:v>300</c:v>
                </c:pt>
                <c:pt idx="11">
                  <c:v>330</c:v>
                </c:pt>
              </c:numCache>
            </c:numRef>
          </c:xVal>
          <c:yVal>
            <c:numRef>
              <c:f>Dial_Calc_Tool!$P$157:$P$181</c:f>
              <c:numCache>
                <c:formatCode>0.0000</c:formatCode>
                <c:ptCount val="25"/>
                <c:pt idx="0">
                  <c:v>0</c:v>
                </c:pt>
                <c:pt idx="1">
                  <c:v>-0.13094717177592446</c:v>
                </c:pt>
                <c:pt idx="2">
                  <c:v>-0.12971419550349711</c:v>
                </c:pt>
                <c:pt idx="3">
                  <c:v>-9.1903863804944641E-2</c:v>
                </c:pt>
                <c:pt idx="4">
                  <c:v>-4.6801044755350407E-2</c:v>
                </c:pt>
                <c:pt idx="5">
                  <c:v>-1.2595911361788614E-2</c:v>
                </c:pt>
                <c:pt idx="6">
                  <c:v>0</c:v>
                </c:pt>
                <c:pt idx="7">
                  <c:v>-1.2595911361788614E-2</c:v>
                </c:pt>
                <c:pt idx="8">
                  <c:v>-4.6801044755350296E-2</c:v>
                </c:pt>
                <c:pt idx="9">
                  <c:v>-9.1903863804944641E-2</c:v>
                </c:pt>
                <c:pt idx="10">
                  <c:v>-0.12971419550349711</c:v>
                </c:pt>
                <c:pt idx="11">
                  <c:v>-0.13094717177592455</c:v>
                </c:pt>
                <c:pt idx="12">
                  <c:v>-7.823037403865327E-14</c:v>
                </c:pt>
                <c:pt idx="13">
                  <c:v>0.13094717177592452</c:v>
                </c:pt>
                <c:pt idx="14">
                  <c:v>0.129714195503497</c:v>
                </c:pt>
                <c:pt idx="15">
                  <c:v>9.1903863804944641E-2</c:v>
                </c:pt>
                <c:pt idx="16">
                  <c:v>4.6801044755350518E-2</c:v>
                </c:pt>
                <c:pt idx="17">
                  <c:v>1.2595911361788614E-2</c:v>
                </c:pt>
                <c:pt idx="18">
                  <c:v>0</c:v>
                </c:pt>
                <c:pt idx="19">
                  <c:v>1.2595911361788725E-2</c:v>
                </c:pt>
                <c:pt idx="20">
                  <c:v>4.6801044755350407E-2</c:v>
                </c:pt>
                <c:pt idx="21">
                  <c:v>9.1903863804944641E-2</c:v>
                </c:pt>
                <c:pt idx="22">
                  <c:v>0.129714195503497</c:v>
                </c:pt>
                <c:pt idx="23">
                  <c:v>0.13094717177592449</c:v>
                </c:pt>
                <c:pt idx="24">
                  <c:v>1.3846337535695239E-13</c:v>
                </c:pt>
              </c:numCache>
            </c:numRef>
          </c:yVal>
          <c:smooth val="1"/>
        </c:ser>
        <c:ser>
          <c:idx val="1"/>
          <c:order val="1"/>
          <c:spPr>
            <a:ln w="19050" cap="rnd">
              <a:solidFill>
                <a:schemeClr val="accent2"/>
              </a:solidFill>
              <a:round/>
            </a:ln>
            <a:effectLst/>
          </c:spPr>
          <c:marker>
            <c:symbol val="none"/>
          </c:marker>
          <c:xVal>
            <c:numRef>
              <c:f>Dial_Calc_Tool!$C$141:$C$152</c:f>
              <c:numCache>
                <c:formatCode>0.0</c:formatCode>
                <c:ptCount val="12"/>
                <c:pt idx="0">
                  <c:v>0</c:v>
                </c:pt>
                <c:pt idx="1">
                  <c:v>30</c:v>
                </c:pt>
                <c:pt idx="2">
                  <c:v>60</c:v>
                </c:pt>
                <c:pt idx="3">
                  <c:v>90</c:v>
                </c:pt>
                <c:pt idx="4">
                  <c:v>120</c:v>
                </c:pt>
                <c:pt idx="5">
                  <c:v>150</c:v>
                </c:pt>
                <c:pt idx="6">
                  <c:v>180</c:v>
                </c:pt>
                <c:pt idx="7">
                  <c:v>210</c:v>
                </c:pt>
                <c:pt idx="8">
                  <c:v>240</c:v>
                </c:pt>
                <c:pt idx="9">
                  <c:v>270</c:v>
                </c:pt>
                <c:pt idx="10">
                  <c:v>300</c:v>
                </c:pt>
                <c:pt idx="11">
                  <c:v>330</c:v>
                </c:pt>
              </c:numCache>
            </c:numRef>
          </c:xVal>
          <c:yVal>
            <c:numRef>
              <c:f>Dial_Calc_Tool!$Q$157:$Q$181</c:f>
              <c:numCache>
                <c:formatCode>0.0000</c:formatCode>
                <c:ptCount val="25"/>
                <c:pt idx="0">
                  <c:v>0</c:v>
                </c:pt>
                <c:pt idx="1">
                  <c:v>-1.2595911361788614E-2</c:v>
                </c:pt>
                <c:pt idx="2">
                  <c:v>-4.6801044755350296E-2</c:v>
                </c:pt>
                <c:pt idx="3">
                  <c:v>-9.1903863804944641E-2</c:v>
                </c:pt>
                <c:pt idx="4">
                  <c:v>-0.129714195503497</c:v>
                </c:pt>
                <c:pt idx="5">
                  <c:v>-0.13094717177592446</c:v>
                </c:pt>
                <c:pt idx="6">
                  <c:v>-4.4199348568197925E-14</c:v>
                </c:pt>
                <c:pt idx="7">
                  <c:v>0.13094717177592455</c:v>
                </c:pt>
                <c:pt idx="8">
                  <c:v>0.129714195503497</c:v>
                </c:pt>
                <c:pt idx="9">
                  <c:v>9.1903863804944641E-2</c:v>
                </c:pt>
                <c:pt idx="10">
                  <c:v>4.6801044755350296E-2</c:v>
                </c:pt>
                <c:pt idx="11">
                  <c:v>1.2595911361788725E-2</c:v>
                </c:pt>
                <c:pt idx="12">
                  <c:v>0</c:v>
                </c:pt>
                <c:pt idx="13">
                  <c:v>1.2595911361788614E-2</c:v>
                </c:pt>
                <c:pt idx="14">
                  <c:v>4.6801044755350407E-2</c:v>
                </c:pt>
                <c:pt idx="15">
                  <c:v>9.1903863804944641E-2</c:v>
                </c:pt>
                <c:pt idx="16">
                  <c:v>0.129714195503497</c:v>
                </c:pt>
                <c:pt idx="17">
                  <c:v>0.13094717177592455</c:v>
                </c:pt>
                <c:pt idx="18">
                  <c:v>1.0925024626443906E-13</c:v>
                </c:pt>
                <c:pt idx="19">
                  <c:v>-0.13094717177592455</c:v>
                </c:pt>
                <c:pt idx="20">
                  <c:v>-0.129714195503497</c:v>
                </c:pt>
                <c:pt idx="21">
                  <c:v>-9.1903863804944752E-2</c:v>
                </c:pt>
                <c:pt idx="22">
                  <c:v>-4.6801044755350518E-2</c:v>
                </c:pt>
                <c:pt idx="23">
                  <c:v>-1.2595911361788614E-2</c:v>
                </c:pt>
                <c:pt idx="24">
                  <c:v>0</c:v>
                </c:pt>
              </c:numCache>
            </c:numRef>
          </c:yVal>
          <c:smooth val="1"/>
        </c:ser>
        <c:dLbls>
          <c:showLegendKey val="0"/>
          <c:showVal val="0"/>
          <c:showCatName val="0"/>
          <c:showSerName val="0"/>
          <c:showPercent val="0"/>
          <c:showBubbleSize val="0"/>
        </c:dLbls>
        <c:axId val="429695808"/>
        <c:axId val="429694632"/>
      </c:scatterChart>
      <c:valAx>
        <c:axId val="429695808"/>
        <c:scaling>
          <c:orientation val="minMax"/>
          <c:max val="36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694632"/>
        <c:crossesAt val="-1000"/>
        <c:crossBetween val="midCat"/>
        <c:majorUnit val="22.5"/>
      </c:valAx>
      <c:valAx>
        <c:axId val="429694632"/>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69580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 Angle Error(°)</a:t>
            </a:r>
          </a:p>
          <a:p>
            <a:pPr>
              <a:defRPr/>
            </a:pP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1853937007874016"/>
          <c:y val="0.138815358754313"/>
          <c:w val="0.78630796150481175"/>
          <c:h val="0.75894718216402723"/>
        </c:manualLayout>
      </c:layout>
      <c:scatterChart>
        <c:scatterStyle val="smoothMarker"/>
        <c:varyColors val="0"/>
        <c:ser>
          <c:idx val="1"/>
          <c:order val="0"/>
          <c:spPr>
            <a:ln w="19050" cap="rnd">
              <a:solidFill>
                <a:schemeClr val="accent2"/>
              </a:solidFill>
              <a:round/>
            </a:ln>
            <a:effectLst/>
          </c:spPr>
          <c:marker>
            <c:symbol val="none"/>
          </c:marker>
          <c:xVal>
            <c:numRef>
              <c:f>Dial_Calc_Tool!$C$141:$C$152</c:f>
              <c:numCache>
                <c:formatCode>0.0</c:formatCode>
                <c:ptCount val="12"/>
                <c:pt idx="0">
                  <c:v>0</c:v>
                </c:pt>
                <c:pt idx="1">
                  <c:v>30</c:v>
                </c:pt>
                <c:pt idx="2">
                  <c:v>60</c:v>
                </c:pt>
                <c:pt idx="3">
                  <c:v>90</c:v>
                </c:pt>
                <c:pt idx="4">
                  <c:v>120</c:v>
                </c:pt>
                <c:pt idx="5">
                  <c:v>150</c:v>
                </c:pt>
                <c:pt idx="6">
                  <c:v>180</c:v>
                </c:pt>
                <c:pt idx="7">
                  <c:v>210</c:v>
                </c:pt>
                <c:pt idx="8">
                  <c:v>240</c:v>
                </c:pt>
                <c:pt idx="9">
                  <c:v>270</c:v>
                </c:pt>
                <c:pt idx="10">
                  <c:v>300</c:v>
                </c:pt>
                <c:pt idx="11">
                  <c:v>330</c:v>
                </c:pt>
              </c:numCache>
            </c:numRef>
          </c:xVal>
          <c:yVal>
            <c:numRef>
              <c:f>Dial_Calc_Tool!$X$157:$X$181</c:f>
              <c:numCache>
                <c:formatCode>0.00</c:formatCode>
                <c:ptCount val="25"/>
                <c:pt idx="0">
                  <c:v>5.7295779513082324E-8</c:v>
                </c:pt>
                <c:pt idx="1">
                  <c:v>0.21941598733738665</c:v>
                </c:pt>
                <c:pt idx="2">
                  <c:v>0.15772406071084433</c:v>
                </c:pt>
                <c:pt idx="3">
                  <c:v>0</c:v>
                </c:pt>
                <c:pt idx="4">
                  <c:v>-0.15772406071086209</c:v>
                </c:pt>
                <c:pt idx="5">
                  <c:v>-0.21941598733738488</c:v>
                </c:pt>
                <c:pt idx="6">
                  <c:v>0</c:v>
                </c:pt>
                <c:pt idx="7">
                  <c:v>0.21941598733738488</c:v>
                </c:pt>
                <c:pt idx="8">
                  <c:v>0.15772406071084788</c:v>
                </c:pt>
                <c:pt idx="9">
                  <c:v>0</c:v>
                </c:pt>
                <c:pt idx="10">
                  <c:v>-0.15772406071084788</c:v>
                </c:pt>
                <c:pt idx="11">
                  <c:v>-0.2194159873374133</c:v>
                </c:pt>
                <c:pt idx="12">
                  <c:v>0</c:v>
                </c:pt>
                <c:pt idx="13">
                  <c:v>0.21941598733738488</c:v>
                </c:pt>
                <c:pt idx="14">
                  <c:v>0.15772406071084788</c:v>
                </c:pt>
                <c:pt idx="15">
                  <c:v>0</c:v>
                </c:pt>
                <c:pt idx="16">
                  <c:v>-0.15772406071084788</c:v>
                </c:pt>
                <c:pt idx="17">
                  <c:v>-0.21941598733738488</c:v>
                </c:pt>
                <c:pt idx="18">
                  <c:v>0</c:v>
                </c:pt>
                <c:pt idx="19">
                  <c:v>0.2194159873374133</c:v>
                </c:pt>
                <c:pt idx="20">
                  <c:v>0.15772406071084788</c:v>
                </c:pt>
                <c:pt idx="21">
                  <c:v>0</c:v>
                </c:pt>
                <c:pt idx="22">
                  <c:v>-0.15772406071084788</c:v>
                </c:pt>
                <c:pt idx="23">
                  <c:v>-0.21941598733735646</c:v>
                </c:pt>
                <c:pt idx="24">
                  <c:v>0</c:v>
                </c:pt>
              </c:numCache>
            </c:numRef>
          </c:yVal>
          <c:smooth val="1"/>
        </c:ser>
        <c:dLbls>
          <c:showLegendKey val="0"/>
          <c:showVal val="0"/>
          <c:showCatName val="0"/>
          <c:showSerName val="0"/>
          <c:showPercent val="0"/>
          <c:showBubbleSize val="0"/>
        </c:dLbls>
        <c:axId val="429690712"/>
        <c:axId val="429692280"/>
      </c:scatterChart>
      <c:valAx>
        <c:axId val="429690712"/>
        <c:scaling>
          <c:orientation val="minMax"/>
          <c:max val="36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692280"/>
        <c:crossesAt val="-1000"/>
        <c:crossBetween val="midCat"/>
        <c:majorUnit val="22.5"/>
      </c:valAx>
      <c:valAx>
        <c:axId val="42969228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6907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D$7" noThreeD="1"/>
</file>

<file path=xl/ctrlProps/ctrlProp10.xml><?xml version="1.0" encoding="utf-8"?>
<formControlPr xmlns="http://schemas.microsoft.com/office/spreadsheetml/2009/9/main" objectType="CheckBox" checked="Checked" fmlaLink="$D$115" noThreeD="1"/>
</file>

<file path=xl/ctrlProps/ctrlProp2.xml><?xml version="1.0" encoding="utf-8"?>
<formControlPr xmlns="http://schemas.microsoft.com/office/spreadsheetml/2009/9/main" objectType="CheckBox" checked="Checked" fmlaLink="$H$7" noThreeD="1"/>
</file>

<file path=xl/ctrlProps/ctrlProp3.xml><?xml version="1.0" encoding="utf-8"?>
<formControlPr xmlns="http://schemas.microsoft.com/office/spreadsheetml/2009/9/main" objectType="CheckBox" fmlaLink="$J$7" noThreeD="1"/>
</file>

<file path=xl/ctrlProps/ctrlProp4.xml><?xml version="1.0" encoding="utf-8"?>
<formControlPr xmlns="http://schemas.microsoft.com/office/spreadsheetml/2009/9/main" objectType="CheckBox" checked="Checked" fmlaLink="$F$7" noThreeD="1"/>
</file>

<file path=xl/ctrlProps/ctrlProp5.xml><?xml version="1.0" encoding="utf-8"?>
<formControlPr xmlns="http://schemas.microsoft.com/office/spreadsheetml/2009/9/main" objectType="CheckBox" checked="Checked" fmlaLink="$D$8" noThreeD="1"/>
</file>

<file path=xl/ctrlProps/ctrlProp6.xml><?xml version="1.0" encoding="utf-8"?>
<formControlPr xmlns="http://schemas.microsoft.com/office/spreadsheetml/2009/9/main" objectType="CheckBox" checked="Checked" fmlaLink="$F$8" noThreeD="1"/>
</file>

<file path=xl/ctrlProps/ctrlProp7.xml><?xml version="1.0" encoding="utf-8"?>
<formControlPr xmlns="http://schemas.microsoft.com/office/spreadsheetml/2009/9/main" objectType="CheckBox" fmlaLink="$H$8" noThreeD="1"/>
</file>

<file path=xl/ctrlProps/ctrlProp8.xml><?xml version="1.0" encoding="utf-8"?>
<formControlPr xmlns="http://schemas.microsoft.com/office/spreadsheetml/2009/9/main" objectType="CheckBox" fmlaLink="$J$8" noThreeD="1"/>
</file>

<file path=xl/ctrlProps/ctrlProp9.xml><?xml version="1.0" encoding="utf-8"?>
<formControlPr xmlns="http://schemas.microsoft.com/office/spreadsheetml/2009/9/main" objectType="CheckBox" checked="Checked" fmlaLink="$D$42" noThreeD="1"/>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emf"/></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9.png"/><Relationship Id="rId1" Type="http://schemas.openxmlformats.org/officeDocument/2006/relationships/chart" Target="../charts/chart6.xml"/><Relationship Id="rId6" Type="http://schemas.openxmlformats.org/officeDocument/2006/relationships/image" Target="../media/image10.png"/><Relationship Id="rId5" Type="http://schemas.openxmlformats.org/officeDocument/2006/relationships/chart" Target="../charts/chart9.xml"/><Relationship Id="rId4"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4.xml"/></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609600</xdr:colOff>
      <xdr:row>0</xdr:row>
      <xdr:rowOff>69850</xdr:rowOff>
    </xdr:from>
    <xdr:to>
      <xdr:col>2</xdr:col>
      <xdr:colOff>1483056</xdr:colOff>
      <xdr:row>3</xdr:row>
      <xdr:rowOff>15604</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69850"/>
          <a:ext cx="1876756" cy="49820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xdr:col>
          <xdr:colOff>914400</xdr:colOff>
          <xdr:row>8</xdr:row>
          <xdr:rowOff>114300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9</xdr:col>
      <xdr:colOff>127000</xdr:colOff>
      <xdr:row>4</xdr:row>
      <xdr:rowOff>12700</xdr:rowOff>
    </xdr:from>
    <xdr:to>
      <xdr:col>13</xdr:col>
      <xdr:colOff>450850</xdr:colOff>
      <xdr:row>18</xdr:row>
      <xdr:rowOff>12700</xdr:rowOff>
    </xdr:to>
    <xdr:sp macro="" textlink="">
      <xdr:nvSpPr>
        <xdr:cNvPr id="54275" name="Object 3" hidden="1">
          <a:extLst>
            <a:ext uri="{63B3BB69-23CF-44E3-9099-C40C66FF867C}">
              <a14:compatExt xmlns:a14="http://schemas.microsoft.com/office/drawing/2010/main" spid="_x0000_s54275"/>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4</xdr:col>
      <xdr:colOff>234950</xdr:colOff>
      <xdr:row>1</xdr:row>
      <xdr:rowOff>0</xdr:rowOff>
    </xdr:from>
    <xdr:to>
      <xdr:col>6</xdr:col>
      <xdr:colOff>450850</xdr:colOff>
      <xdr:row>4</xdr:row>
      <xdr:rowOff>146050</xdr:rowOff>
    </xdr:to>
    <xdr:sp macro="" textlink="">
      <xdr:nvSpPr>
        <xdr:cNvPr id="54281" name="Object 9" hidden="1">
          <a:extLst>
            <a:ext uri="{63B3BB69-23CF-44E3-9099-C40C66FF867C}">
              <a14:compatExt xmlns:a14="http://schemas.microsoft.com/office/drawing/2010/main" spid="_x0000_s54281"/>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xdr:twoCellAnchor editAs="oneCell">
    <xdr:from>
      <xdr:col>9</xdr:col>
      <xdr:colOff>127000</xdr:colOff>
      <xdr:row>4</xdr:row>
      <xdr:rowOff>12700</xdr:rowOff>
    </xdr:from>
    <xdr:to>
      <xdr:col>13</xdr:col>
      <xdr:colOff>450850</xdr:colOff>
      <xdr:row>18</xdr:row>
      <xdr:rowOff>12700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84950" y="736600"/>
          <a:ext cx="2787650" cy="25781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4</xdr:col>
          <xdr:colOff>257175</xdr:colOff>
          <xdr:row>0</xdr:row>
          <xdr:rowOff>142875</xdr:rowOff>
        </xdr:from>
        <xdr:to>
          <xdr:col>6</xdr:col>
          <xdr:colOff>466725</xdr:colOff>
          <xdr:row>4</xdr:row>
          <xdr:rowOff>104775</xdr:rowOff>
        </xdr:to>
        <xdr:sp macro="" textlink="">
          <xdr:nvSpPr>
            <xdr:cNvPr id="97281" name="Object 1" hidden="1">
              <a:extLst>
                <a:ext uri="{63B3BB69-23CF-44E3-9099-C40C66FF867C}">
                  <a14:compatExt spid="_x0000_s972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8</xdr:col>
      <xdr:colOff>117929</xdr:colOff>
      <xdr:row>85</xdr:row>
      <xdr:rowOff>42204</xdr:rowOff>
    </xdr:from>
    <xdr:to>
      <xdr:col>19</xdr:col>
      <xdr:colOff>106383</xdr:colOff>
      <xdr:row>99</xdr:row>
      <xdr:rowOff>172357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403135</xdr:colOff>
      <xdr:row>45</xdr:row>
      <xdr:rowOff>116429</xdr:rowOff>
    </xdr:from>
    <xdr:to>
      <xdr:col>9</xdr:col>
      <xdr:colOff>125036</xdr:colOff>
      <xdr:row>59</xdr:row>
      <xdr:rowOff>16094</xdr:rowOff>
    </xdr:to>
    <xdr:pic>
      <xdr:nvPicPr>
        <xdr:cNvPr id="3" name="Picture 2"/>
        <xdr:cNvPicPr>
          <a:picLocks noChangeAspect="1"/>
        </xdr:cNvPicPr>
      </xdr:nvPicPr>
      <xdr:blipFill>
        <a:blip xmlns:r="http://schemas.openxmlformats.org/officeDocument/2006/relationships" r:embed="rId2"/>
        <a:stretch>
          <a:fillRect/>
        </a:stretch>
      </xdr:blipFill>
      <xdr:spPr>
        <a:xfrm>
          <a:off x="3908335" y="8415879"/>
          <a:ext cx="2376201" cy="2477765"/>
        </a:xfrm>
        <a:prstGeom prst="rect">
          <a:avLst/>
        </a:prstGeom>
      </xdr:spPr>
    </xdr:pic>
    <xdr:clientData/>
  </xdr:twoCellAnchor>
  <xdr:twoCellAnchor>
    <xdr:from>
      <xdr:col>9</xdr:col>
      <xdr:colOff>153360</xdr:colOff>
      <xdr:row>144</xdr:row>
      <xdr:rowOff>44503</xdr:rowOff>
    </xdr:from>
    <xdr:to>
      <xdr:col>21</xdr:col>
      <xdr:colOff>86685</xdr:colOff>
      <xdr:row>154</xdr:row>
      <xdr:rowOff>31750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228600</xdr:colOff>
      <xdr:row>169</xdr:row>
      <xdr:rowOff>177800</xdr:rowOff>
    </xdr:from>
    <xdr:to>
      <xdr:col>21</xdr:col>
      <xdr:colOff>161925</xdr:colOff>
      <xdr:row>183</xdr:row>
      <xdr:rowOff>95250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165100</xdr:colOff>
      <xdr:row>155</xdr:row>
      <xdr:rowOff>107950</xdr:rowOff>
    </xdr:from>
    <xdr:to>
      <xdr:col>22</xdr:col>
      <xdr:colOff>98425</xdr:colOff>
      <xdr:row>169</xdr:row>
      <xdr:rowOff>25400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15</xdr:col>
      <xdr:colOff>665636</xdr:colOff>
      <xdr:row>64</xdr:row>
      <xdr:rowOff>78308</xdr:rowOff>
    </xdr:from>
    <xdr:to>
      <xdr:col>21</xdr:col>
      <xdr:colOff>486593</xdr:colOff>
      <xdr:row>81</xdr:row>
      <xdr:rowOff>159938</xdr:rowOff>
    </xdr:to>
    <xdr:pic>
      <xdr:nvPicPr>
        <xdr:cNvPr id="7" name="Picture 6"/>
        <xdr:cNvPicPr>
          <a:picLocks noChangeAspect="1"/>
        </xdr:cNvPicPr>
      </xdr:nvPicPr>
      <xdr:blipFill>
        <a:blip xmlns:r="http://schemas.openxmlformats.org/officeDocument/2006/relationships" r:embed="rId6"/>
        <a:stretch>
          <a:fillRect/>
        </a:stretch>
      </xdr:blipFill>
      <xdr:spPr>
        <a:xfrm>
          <a:off x="9498486" y="11876608"/>
          <a:ext cx="3510307" cy="32756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95250</xdr:colOff>
      <xdr:row>8</xdr:row>
      <xdr:rowOff>38100</xdr:rowOff>
    </xdr:from>
    <xdr:to>
      <xdr:col>11</xdr:col>
      <xdr:colOff>400050</xdr:colOff>
      <xdr:row>21</xdr:row>
      <xdr:rowOff>171450</xdr:rowOff>
    </xdr:to>
    <xdr:pic>
      <xdr:nvPicPr>
        <xdr:cNvPr id="3" name="Picture 2" descr="Skin Depth"/>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38625" y="1657350"/>
          <a:ext cx="3514725"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488950</xdr:colOff>
      <xdr:row>3</xdr:row>
      <xdr:rowOff>184150</xdr:rowOff>
    </xdr:from>
    <xdr:to>
      <xdr:col>12</xdr:col>
      <xdr:colOff>31750</xdr:colOff>
      <xdr:row>22</xdr:row>
      <xdr:rowOff>0</xdr:rowOff>
    </xdr:to>
    <xdr:sp macro="" textlink="">
      <xdr:nvSpPr>
        <xdr:cNvPr id="67585" name="Object 1" hidden="1">
          <a:extLst>
            <a:ext uri="{63B3BB69-23CF-44E3-9099-C40C66FF867C}">
              <a14:compatExt xmlns:a14="http://schemas.microsoft.com/office/drawing/2010/main" spid="_x0000_s67585"/>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54964</xdr:colOff>
      <xdr:row>48</xdr:row>
      <xdr:rowOff>113447</xdr:rowOff>
    </xdr:from>
    <xdr:to>
      <xdr:col>4</xdr:col>
      <xdr:colOff>1065093</xdr:colOff>
      <xdr:row>155</xdr:row>
      <xdr:rowOff>55176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488950</xdr:colOff>
      <xdr:row>3</xdr:row>
      <xdr:rowOff>184150</xdr:rowOff>
    </xdr:from>
    <xdr:to>
      <xdr:col>12</xdr:col>
      <xdr:colOff>31750</xdr:colOff>
      <xdr:row>22</xdr:row>
      <xdr:rowOff>0</xdr:rowOff>
    </xdr:to>
    <xdr:pic>
      <xdr:nvPicPr>
        <xdr:cNvPr id="2" name="Picture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62800" y="787400"/>
          <a:ext cx="3238500" cy="3035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47625</xdr:colOff>
      <xdr:row>42</xdr:row>
      <xdr:rowOff>0</xdr:rowOff>
    </xdr:from>
    <xdr:to>
      <xdr:col>9</xdr:col>
      <xdr:colOff>457200</xdr:colOff>
      <xdr:row>46</xdr:row>
      <xdr:rowOff>70520</xdr:rowOff>
    </xdr:to>
    <xdr:pic>
      <xdr:nvPicPr>
        <xdr:cNvPr id="3" name="Picture 2"/>
        <xdr:cNvPicPr>
          <a:picLocks noChangeAspect="1"/>
        </xdr:cNvPicPr>
      </xdr:nvPicPr>
      <xdr:blipFill>
        <a:blip xmlns:r="http://schemas.openxmlformats.org/officeDocument/2006/relationships" r:embed="rId1"/>
        <a:stretch>
          <a:fillRect/>
        </a:stretch>
      </xdr:blipFill>
      <xdr:spPr>
        <a:xfrm>
          <a:off x="4238625" y="7524750"/>
          <a:ext cx="3676650" cy="842045"/>
        </a:xfrm>
        <a:prstGeom prst="rect">
          <a:avLst/>
        </a:prstGeom>
      </xdr:spPr>
    </xdr:pic>
    <xdr:clientData/>
  </xdr:twoCellAnchor>
  <xdr:twoCellAnchor editAs="oneCell">
    <xdr:from>
      <xdr:col>5</xdr:col>
      <xdr:colOff>285750</xdr:colOff>
      <xdr:row>13</xdr:row>
      <xdr:rowOff>31750</xdr:rowOff>
    </xdr:from>
    <xdr:to>
      <xdr:col>8</xdr:col>
      <xdr:colOff>152400</xdr:colOff>
      <xdr:row>31</xdr:row>
      <xdr:rowOff>165100</xdr:rowOff>
    </xdr:to>
    <xdr:sp macro="" textlink="">
      <xdr:nvSpPr>
        <xdr:cNvPr id="8197" name="Object 5" hidden="1">
          <a:extLst>
            <a:ext uri="{63B3BB69-23CF-44E3-9099-C40C66FF867C}">
              <a14:compatExt xmlns:a14="http://schemas.microsoft.com/office/drawing/2010/main" spid="_x0000_s8197"/>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5</xdr:col>
      <xdr:colOff>285750</xdr:colOff>
      <xdr:row>13</xdr:row>
      <xdr:rowOff>31750</xdr:rowOff>
    </xdr:from>
    <xdr:to>
      <xdr:col>8</xdr:col>
      <xdr:colOff>152400</xdr:colOff>
      <xdr:row>31</xdr:row>
      <xdr:rowOff>165100</xdr:rowOff>
    </xdr:to>
    <xdr:pic>
      <xdr:nvPicPr>
        <xdr:cNvPr id="2" name="Pictur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48200" y="2546350"/>
          <a:ext cx="2622550" cy="27114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2028265</xdr:colOff>
      <xdr:row>4</xdr:row>
      <xdr:rowOff>21852</xdr:rowOff>
    </xdr:from>
    <xdr:to>
      <xdr:col>10</xdr:col>
      <xdr:colOff>122957</xdr:colOff>
      <xdr:row>17</xdr:row>
      <xdr:rowOff>40902</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98441" y="873499"/>
          <a:ext cx="3933576" cy="249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5</xdr:row>
      <xdr:rowOff>38100</xdr:rowOff>
    </xdr:from>
    <xdr:to>
      <xdr:col>4</xdr:col>
      <xdr:colOff>158750</xdr:colOff>
      <xdr:row>13</xdr:row>
      <xdr:rowOff>82550</xdr:rowOff>
    </xdr:to>
    <xdr:sp macro="" textlink="">
      <xdr:nvSpPr>
        <xdr:cNvPr id="53249" name="Object 1" hidden="1">
          <a:extLst>
            <a:ext uri="{63B3BB69-23CF-44E3-9099-C40C66FF867C}">
              <a14:compatExt xmlns:a14="http://schemas.microsoft.com/office/drawing/2010/main" spid="_x0000_s53249"/>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5</xdr:col>
      <xdr:colOff>546473</xdr:colOff>
      <xdr:row>4</xdr:row>
      <xdr:rowOff>152773</xdr:rowOff>
    </xdr:from>
    <xdr:to>
      <xdr:col>5</xdr:col>
      <xdr:colOff>2524448</xdr:colOff>
      <xdr:row>13</xdr:row>
      <xdr:rowOff>78663</xdr:rowOff>
    </xdr:to>
    <xdr:pic>
      <xdr:nvPicPr>
        <xdr:cNvPr id="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7969623" y="990973"/>
          <a:ext cx="1977975" cy="1583240"/>
        </a:xfrm>
        <a:prstGeom prst="rect">
          <a:avLst/>
        </a:prstGeom>
        <a:noFill/>
        <a:ln w="9525">
          <a:noFill/>
          <a:miter lim="800000"/>
          <a:headEnd/>
          <a:tailEnd/>
        </a:ln>
      </xdr:spPr>
    </xdr:pic>
    <xdr:clientData/>
  </xdr:twoCellAnchor>
  <xdr:twoCellAnchor editAs="oneCell">
    <xdr:from>
      <xdr:col>3</xdr:col>
      <xdr:colOff>565150</xdr:colOff>
      <xdr:row>14</xdr:row>
      <xdr:rowOff>88900</xdr:rowOff>
    </xdr:from>
    <xdr:to>
      <xdr:col>4</xdr:col>
      <xdr:colOff>0</xdr:colOff>
      <xdr:row>17</xdr:row>
      <xdr:rowOff>31750</xdr:rowOff>
    </xdr:to>
    <xdr:sp macro="" textlink="">
      <xdr:nvSpPr>
        <xdr:cNvPr id="53251" name="Object 3" hidden="1">
          <a:extLst>
            <a:ext uri="{63B3BB69-23CF-44E3-9099-C40C66FF867C}">
              <a14:compatExt xmlns:a14="http://schemas.microsoft.com/office/drawing/2010/main" spid="_x0000_s53251"/>
            </a:ext>
          </a:extLst>
        </xdr:cNvPr>
        <xdr:cNvSpPr/>
      </xdr:nvSpPr>
      <xdr:spPr bwMode="auto">
        <a:xfrm>
          <a:off x="0" y="0"/>
          <a:ext cx="0" cy="0"/>
        </a:xfrm>
        <a:prstGeom prst="rect">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xdr:twoCellAnchor editAs="oneCell">
    <xdr:from>
      <xdr:col>1</xdr:col>
      <xdr:colOff>419100</xdr:colOff>
      <xdr:row>5</xdr:row>
      <xdr:rowOff>38100</xdr:rowOff>
    </xdr:from>
    <xdr:to>
      <xdr:col>4</xdr:col>
      <xdr:colOff>158750</xdr:colOff>
      <xdr:row>13</xdr:row>
      <xdr:rowOff>82550</xdr:rowOff>
    </xdr:to>
    <xdr:pic>
      <xdr:nvPicPr>
        <xdr:cNvPr id="3" name="Picture 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9000" y="1060450"/>
          <a:ext cx="4616450" cy="15176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3</xdr:col>
          <xdr:colOff>333375</xdr:colOff>
          <xdr:row>13</xdr:row>
          <xdr:rowOff>161925</xdr:rowOff>
        </xdr:from>
        <xdr:to>
          <xdr:col>3</xdr:col>
          <xdr:colOff>1247775</xdr:colOff>
          <xdr:row>17</xdr:row>
          <xdr:rowOff>114300</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38100</xdr:colOff>
          <xdr:row>6</xdr:row>
          <xdr:rowOff>28575</xdr:rowOff>
        </xdr:from>
        <xdr:to>
          <xdr:col>3</xdr:col>
          <xdr:colOff>714375</xdr:colOff>
          <xdr:row>6</xdr:row>
          <xdr:rowOff>180975</xdr:rowOff>
        </xdr:to>
        <xdr:sp macro="" textlink="">
          <xdr:nvSpPr>
            <xdr:cNvPr id="88065" name="Check Box 1" descr="Enable Ch0" hidden="1">
              <a:extLst>
                <a:ext uri="{63B3BB69-23CF-44E3-9099-C40C66FF867C}">
                  <a14:compatExt spid="_x0000_s8806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800" b="0" i="0" u="none" strike="noStrike" baseline="0">
                  <a:solidFill>
                    <a:srgbClr val="000000"/>
                  </a:solidFill>
                  <a:latin typeface="Segoe UI"/>
                  <a:cs typeface="Segoe UI"/>
                </a:rPr>
                <a:t>Enable Ch0</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xdr:row>
          <xdr:rowOff>180975</xdr:rowOff>
        </xdr:from>
        <xdr:to>
          <xdr:col>7</xdr:col>
          <xdr:colOff>714375</xdr:colOff>
          <xdr:row>6</xdr:row>
          <xdr:rowOff>180975</xdr:rowOff>
        </xdr:to>
        <xdr:sp macro="" textlink="">
          <xdr:nvSpPr>
            <xdr:cNvPr id="88066" name="Check Box 2" descr="Enable Ch0" hidden="1">
              <a:extLst>
                <a:ext uri="{63B3BB69-23CF-44E3-9099-C40C66FF867C}">
                  <a14:compatExt spid="_x0000_s88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800" b="0" i="0" u="none" strike="noStrike" baseline="0">
                  <a:solidFill>
                    <a:srgbClr val="000000"/>
                  </a:solidFill>
                  <a:latin typeface="Segoe UI"/>
                  <a:cs typeface="Segoe UI"/>
                </a:rPr>
                <a:t>Enable Ch2</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xdr:row>
          <xdr:rowOff>180975</xdr:rowOff>
        </xdr:from>
        <xdr:to>
          <xdr:col>9</xdr:col>
          <xdr:colOff>695325</xdr:colOff>
          <xdr:row>6</xdr:row>
          <xdr:rowOff>190500</xdr:rowOff>
        </xdr:to>
        <xdr:sp macro="" textlink="">
          <xdr:nvSpPr>
            <xdr:cNvPr id="88067" name="Check Box 3" descr="Enable Ch0" hidden="1">
              <a:extLst>
                <a:ext uri="{63B3BB69-23CF-44E3-9099-C40C66FF867C}">
                  <a14:compatExt spid="_x0000_s88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800" b="0" i="0" u="none" strike="noStrike" baseline="0">
                  <a:solidFill>
                    <a:srgbClr val="000000"/>
                  </a:solidFill>
                  <a:latin typeface="Segoe UI"/>
                  <a:cs typeface="Segoe UI"/>
                </a:rPr>
                <a:t>Enable Ch3</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xdr:row>
          <xdr:rowOff>180975</xdr:rowOff>
        </xdr:from>
        <xdr:to>
          <xdr:col>5</xdr:col>
          <xdr:colOff>695325</xdr:colOff>
          <xdr:row>6</xdr:row>
          <xdr:rowOff>180975</xdr:rowOff>
        </xdr:to>
        <xdr:sp macro="" textlink="">
          <xdr:nvSpPr>
            <xdr:cNvPr id="88068" name="Check Box 4" descr="Enable Ch0" hidden="1">
              <a:extLst>
                <a:ext uri="{63B3BB69-23CF-44E3-9099-C40C66FF867C}">
                  <a14:compatExt spid="_x0000_s88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800" b="0" i="0" u="none" strike="noStrike" baseline="0">
                  <a:solidFill>
                    <a:srgbClr val="000000"/>
                  </a:solidFill>
                  <a:latin typeface="Segoe UI"/>
                  <a:cs typeface="Segoe UI"/>
                </a:rPr>
                <a:t>Enable Ch1</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xdr:row>
          <xdr:rowOff>190500</xdr:rowOff>
        </xdr:from>
        <xdr:to>
          <xdr:col>3</xdr:col>
          <xdr:colOff>962025</xdr:colOff>
          <xdr:row>8</xdr:row>
          <xdr:rowOff>28575</xdr:rowOff>
        </xdr:to>
        <xdr:sp macro="" textlink="">
          <xdr:nvSpPr>
            <xdr:cNvPr id="88069" name="Check Box 5" descr="Enable Ch0" hidden="1">
              <a:extLst>
                <a:ext uri="{63B3BB69-23CF-44E3-9099-C40C66FF867C}">
                  <a14:compatExt spid="_x0000_s88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800" b="0" i="0" u="none" strike="noStrike" baseline="0">
                  <a:solidFill>
                    <a:srgbClr val="000000"/>
                  </a:solidFill>
                  <a:latin typeface="Segoe UI"/>
                  <a:cs typeface="Segoe UI"/>
                </a:rPr>
                <a:t>Ch0 Low Power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7</xdr:row>
          <xdr:rowOff>9525</xdr:rowOff>
        </xdr:from>
        <xdr:to>
          <xdr:col>5</xdr:col>
          <xdr:colOff>942975</xdr:colOff>
          <xdr:row>7</xdr:row>
          <xdr:rowOff>180975</xdr:rowOff>
        </xdr:to>
        <xdr:sp macro="" textlink="">
          <xdr:nvSpPr>
            <xdr:cNvPr id="88070" name="Check Box 6" descr="Enable Ch0" hidden="1">
              <a:extLst>
                <a:ext uri="{63B3BB69-23CF-44E3-9099-C40C66FF867C}">
                  <a14:compatExt spid="_x0000_s88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800" b="0" i="0" u="none" strike="noStrike" baseline="0">
                  <a:solidFill>
                    <a:srgbClr val="000000"/>
                  </a:solidFill>
                  <a:latin typeface="Segoe UI"/>
                  <a:cs typeface="Segoe UI"/>
                </a:rPr>
                <a:t>Ch1 Low Power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xdr:row>
          <xdr:rowOff>180975</xdr:rowOff>
        </xdr:from>
        <xdr:to>
          <xdr:col>7</xdr:col>
          <xdr:colOff>981075</xdr:colOff>
          <xdr:row>8</xdr:row>
          <xdr:rowOff>0</xdr:rowOff>
        </xdr:to>
        <xdr:sp macro="" textlink="">
          <xdr:nvSpPr>
            <xdr:cNvPr id="88071" name="Check Box 7" descr="Enable Ch0" hidden="1">
              <a:extLst>
                <a:ext uri="{63B3BB69-23CF-44E3-9099-C40C66FF867C}">
                  <a14:compatExt spid="_x0000_s88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800" b="0" i="0" u="none" strike="noStrike" baseline="0">
                  <a:solidFill>
                    <a:srgbClr val="000000"/>
                  </a:solidFill>
                  <a:latin typeface="Segoe UI"/>
                  <a:cs typeface="Segoe UI"/>
                </a:rPr>
                <a:t>Ch2 Low Power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7</xdr:row>
          <xdr:rowOff>9525</xdr:rowOff>
        </xdr:from>
        <xdr:to>
          <xdr:col>9</xdr:col>
          <xdr:colOff>933450</xdr:colOff>
          <xdr:row>7</xdr:row>
          <xdr:rowOff>180975</xdr:rowOff>
        </xdr:to>
        <xdr:sp macro="" textlink="">
          <xdr:nvSpPr>
            <xdr:cNvPr id="88072" name="Check Box 8" descr="Enable Ch0" hidden="1">
              <a:extLst>
                <a:ext uri="{63B3BB69-23CF-44E3-9099-C40C66FF867C}">
                  <a14:compatExt spid="_x0000_s88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800" b="0" i="0" u="none" strike="noStrike" baseline="0">
                  <a:solidFill>
                    <a:srgbClr val="000000"/>
                  </a:solidFill>
                  <a:latin typeface="Segoe UI"/>
                  <a:cs typeface="Segoe UI"/>
                </a:rPr>
                <a:t>Ch3 Low Power</a:t>
              </a:r>
            </a:p>
          </xdr:txBody>
        </xdr:sp>
        <xdr:clientData fLocksWithSheet="0"/>
      </xdr:twoCellAnchor>
    </mc:Choice>
    <mc:Fallback/>
  </mc:AlternateContent>
  <xdr:twoCellAnchor>
    <xdr:from>
      <xdr:col>5</xdr:col>
      <xdr:colOff>229445</xdr:colOff>
      <xdr:row>43</xdr:row>
      <xdr:rowOff>125642</xdr:rowOff>
    </xdr:from>
    <xdr:to>
      <xdr:col>12</xdr:col>
      <xdr:colOff>318479</xdr:colOff>
      <xdr:row>67</xdr:row>
      <xdr:rowOff>849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0.1411</cdr:x>
      <cdr:y>0.75926</cdr:y>
    </cdr:from>
    <cdr:to>
      <cdr:x>0.17573</cdr:x>
      <cdr:y>0.8146</cdr:y>
    </cdr:to>
    <cdr:sp macro="" textlink="">
      <cdr:nvSpPr>
        <cdr:cNvPr id="2" name="TextBox 1"/>
        <cdr:cNvSpPr txBox="1"/>
      </cdr:nvSpPr>
      <cdr:spPr>
        <a:xfrm xmlns:a="http://schemas.openxmlformats.org/drawingml/2006/main">
          <a:off x="707286" y="2605813"/>
          <a:ext cx="173586" cy="1899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b="1"/>
            <a:t>LCDIV=0</a:t>
          </a:r>
        </a:p>
      </cdr:txBody>
    </cdr:sp>
  </cdr:relSizeAnchor>
  <cdr:relSizeAnchor xmlns:cdr="http://schemas.openxmlformats.org/drawingml/2006/chartDrawing">
    <cdr:from>
      <cdr:x>0.25922</cdr:x>
      <cdr:y>0.73977</cdr:y>
    </cdr:from>
    <cdr:to>
      <cdr:x>0.29384</cdr:x>
      <cdr:y>0.79511</cdr:y>
    </cdr:to>
    <cdr:sp macro="" textlink="">
      <cdr:nvSpPr>
        <cdr:cNvPr id="3" name="TextBox 1"/>
        <cdr:cNvSpPr txBox="1"/>
      </cdr:nvSpPr>
      <cdr:spPr>
        <a:xfrm xmlns:a="http://schemas.openxmlformats.org/drawingml/2006/main">
          <a:off x="1299364" y="2538920"/>
          <a:ext cx="173536" cy="18993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LCDIV=1</a:t>
          </a:r>
        </a:p>
      </cdr:txBody>
    </cdr:sp>
  </cdr:relSizeAnchor>
  <cdr:relSizeAnchor xmlns:cdr="http://schemas.openxmlformats.org/drawingml/2006/chartDrawing">
    <cdr:from>
      <cdr:x>0.2731</cdr:x>
      <cdr:y>0.67664</cdr:y>
    </cdr:from>
    <cdr:to>
      <cdr:x>0.30772</cdr:x>
      <cdr:y>0.73198</cdr:y>
    </cdr:to>
    <cdr:sp macro="" textlink="">
      <cdr:nvSpPr>
        <cdr:cNvPr id="4" name="TextBox 1"/>
        <cdr:cNvSpPr txBox="1"/>
      </cdr:nvSpPr>
      <cdr:spPr>
        <a:xfrm xmlns:a="http://schemas.openxmlformats.org/drawingml/2006/main">
          <a:off x="1368916" y="2322254"/>
          <a:ext cx="173586" cy="1899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LCDIV=2</a:t>
          </a:r>
        </a:p>
      </cdr:txBody>
    </cdr:sp>
  </cdr:relSizeAnchor>
  <cdr:relSizeAnchor xmlns:cdr="http://schemas.openxmlformats.org/drawingml/2006/chartDrawing">
    <cdr:from>
      <cdr:x>0.31558</cdr:x>
      <cdr:y>0.58937</cdr:y>
    </cdr:from>
    <cdr:to>
      <cdr:x>0.35021</cdr:x>
      <cdr:y>0.64471</cdr:y>
    </cdr:to>
    <cdr:sp macro="" textlink="">
      <cdr:nvSpPr>
        <cdr:cNvPr id="5" name="TextBox 1"/>
        <cdr:cNvSpPr txBox="1"/>
      </cdr:nvSpPr>
      <cdr:spPr>
        <a:xfrm xmlns:a="http://schemas.openxmlformats.org/drawingml/2006/main">
          <a:off x="1581857" y="2022762"/>
          <a:ext cx="173586" cy="1899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a:t>
          </a:r>
          <a:r>
            <a:rPr lang="en-US" sz="1200" b="1"/>
            <a:t> </a:t>
          </a:r>
          <a:r>
            <a:rPr lang="en-US" sz="900" b="1"/>
            <a:t>=3</a:t>
          </a:r>
          <a:endParaRPr lang="en-US" sz="1200" b="1"/>
        </a:p>
      </cdr:txBody>
    </cdr:sp>
  </cdr:relSizeAnchor>
  <cdr:relSizeAnchor xmlns:cdr="http://schemas.openxmlformats.org/drawingml/2006/chartDrawing">
    <cdr:from>
      <cdr:x>0.39412</cdr:x>
      <cdr:y>0.4784</cdr:y>
    </cdr:from>
    <cdr:to>
      <cdr:x>0.42874</cdr:x>
      <cdr:y>0.53374</cdr:y>
    </cdr:to>
    <cdr:sp macro="" textlink="">
      <cdr:nvSpPr>
        <cdr:cNvPr id="6" name="TextBox 1"/>
        <cdr:cNvSpPr txBox="1"/>
      </cdr:nvSpPr>
      <cdr:spPr>
        <a:xfrm xmlns:a="http://schemas.openxmlformats.org/drawingml/2006/main">
          <a:off x="2770716" y="2199216"/>
          <a:ext cx="243416" cy="2543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LCDIV=4</a:t>
          </a:r>
        </a:p>
      </cdr:txBody>
    </cdr:sp>
  </cdr:relSizeAnchor>
  <cdr:relSizeAnchor xmlns:cdr="http://schemas.openxmlformats.org/drawingml/2006/chartDrawing">
    <cdr:from>
      <cdr:x>0.54466</cdr:x>
      <cdr:y>0.35638</cdr:y>
    </cdr:from>
    <cdr:to>
      <cdr:x>0.57928</cdr:x>
      <cdr:y>0.41172</cdr:y>
    </cdr:to>
    <cdr:sp macro="" textlink="">
      <cdr:nvSpPr>
        <cdr:cNvPr id="7" name="TextBox 1"/>
        <cdr:cNvSpPr txBox="1"/>
      </cdr:nvSpPr>
      <cdr:spPr>
        <a:xfrm xmlns:a="http://schemas.openxmlformats.org/drawingml/2006/main">
          <a:off x="3829051" y="1638300"/>
          <a:ext cx="243416" cy="2543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LCDIV=5</a:t>
          </a:r>
        </a:p>
      </cdr:txBody>
    </cdr:sp>
  </cdr:relSizeAnchor>
  <cdr:relSizeAnchor xmlns:cdr="http://schemas.openxmlformats.org/drawingml/2006/chartDrawing">
    <cdr:from>
      <cdr:x>0.73283</cdr:x>
      <cdr:y>0.1653</cdr:y>
    </cdr:from>
    <cdr:to>
      <cdr:x>0.76746</cdr:x>
      <cdr:y>0.22064</cdr:y>
    </cdr:to>
    <cdr:sp macro="" textlink="">
      <cdr:nvSpPr>
        <cdr:cNvPr id="8" name="TextBox 1"/>
        <cdr:cNvSpPr txBox="1"/>
      </cdr:nvSpPr>
      <cdr:spPr>
        <a:xfrm xmlns:a="http://schemas.openxmlformats.org/drawingml/2006/main">
          <a:off x="5151967" y="759883"/>
          <a:ext cx="243416" cy="2543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LCDIV=6</a:t>
          </a:r>
          <a:endParaRPr lang="en-US" sz="1100" b="1"/>
        </a:p>
      </cdr:txBody>
    </cdr:sp>
  </cdr:relSizeAnchor>
  <cdr:relSizeAnchor xmlns:cdr="http://schemas.openxmlformats.org/drawingml/2006/chartDrawing">
    <cdr:from>
      <cdr:x>0.90595</cdr:x>
      <cdr:y>0.02717</cdr:y>
    </cdr:from>
    <cdr:to>
      <cdr:x>0.94058</cdr:x>
      <cdr:y>0.0825</cdr:y>
    </cdr:to>
    <cdr:sp macro="" textlink="">
      <cdr:nvSpPr>
        <cdr:cNvPr id="9" name="TextBox 1"/>
        <cdr:cNvSpPr txBox="1"/>
      </cdr:nvSpPr>
      <cdr:spPr>
        <a:xfrm xmlns:a="http://schemas.openxmlformats.org/drawingml/2006/main">
          <a:off x="6369050" y="124884"/>
          <a:ext cx="243416" cy="2543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t>7</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546100</xdr:colOff>
      <xdr:row>34</xdr:row>
      <xdr:rowOff>174627</xdr:rowOff>
    </xdr:from>
    <xdr:to>
      <xdr:col>4</xdr:col>
      <xdr:colOff>384173</xdr:colOff>
      <xdr:row>36</xdr:row>
      <xdr:rowOff>2711939</xdr:rowOff>
    </xdr:to>
    <xdr:graphicFrame macro="">
      <xdr:nvGraphicFramePr>
        <xdr:cNvPr id="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501650</xdr:colOff>
      <xdr:row>59</xdr:row>
      <xdr:rowOff>38100</xdr:rowOff>
    </xdr:from>
    <xdr:to>
      <xdr:col>4</xdr:col>
      <xdr:colOff>333375</xdr:colOff>
      <xdr:row>60</xdr:row>
      <xdr:rowOff>2755900</xdr:rowOff>
    </xdr:to>
    <xdr:graphicFrame macro="">
      <xdr:nvGraphicFramePr>
        <xdr:cNvPr id="3"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596900</xdr:colOff>
      <xdr:row>110</xdr:row>
      <xdr:rowOff>220738</xdr:rowOff>
    </xdr:from>
    <xdr:to>
      <xdr:col>2</xdr:col>
      <xdr:colOff>523250</xdr:colOff>
      <xdr:row>113</xdr:row>
      <xdr:rowOff>113812</xdr:rowOff>
    </xdr:to>
    <xdr:pic>
      <xdr:nvPicPr>
        <xdr:cNvPr id="5" name="Picture 4"/>
        <xdr:cNvPicPr>
          <a:picLocks noChangeAspect="1"/>
        </xdr:cNvPicPr>
      </xdr:nvPicPr>
      <xdr:blipFill>
        <a:blip xmlns:r="http://schemas.openxmlformats.org/officeDocument/2006/relationships" r:embed="rId3"/>
        <a:stretch>
          <a:fillRect/>
        </a:stretch>
      </xdr:blipFill>
      <xdr:spPr>
        <a:xfrm>
          <a:off x="1238250" y="9733038"/>
          <a:ext cx="2587000" cy="2020324"/>
        </a:xfrm>
        <a:prstGeom prst="rect">
          <a:avLst/>
        </a:prstGeom>
      </xdr:spPr>
    </xdr:pic>
    <xdr:clientData/>
  </xdr:twoCellAnchor>
  <xdr:twoCellAnchor editAs="oneCell">
    <xdr:from>
      <xdr:col>4</xdr:col>
      <xdr:colOff>127000</xdr:colOff>
      <xdr:row>3</xdr:row>
      <xdr:rowOff>69850</xdr:rowOff>
    </xdr:from>
    <xdr:to>
      <xdr:col>4</xdr:col>
      <xdr:colOff>1041400</xdr:colOff>
      <xdr:row>6</xdr:row>
      <xdr:rowOff>133350</xdr:rowOff>
    </xdr:to>
    <xdr:sp macro="" textlink="">
      <xdr:nvSpPr>
        <xdr:cNvPr id="41998" name="Object 14" hidden="1">
          <a:extLst>
            <a:ext uri="{63B3BB69-23CF-44E3-9099-C40C66FF867C}">
              <a14:compatExt xmlns:a14="http://schemas.microsoft.com/office/drawing/2010/main" spid="_x0000_s41998"/>
            </a:ext>
          </a:extLst>
        </xdr:cNvPr>
        <xdr:cNvSpPr/>
      </xdr:nvSpPr>
      <xdr:spPr bwMode="auto">
        <a:xfrm>
          <a:off x="0" y="0"/>
          <a:ext cx="0" cy="0"/>
        </a:xfrm>
        <a:prstGeom prst="rect">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xdr:twoCellAnchor>
    <xdr:from>
      <xdr:col>0</xdr:col>
      <xdr:colOff>542925</xdr:colOff>
      <xdr:row>86</xdr:row>
      <xdr:rowOff>57149</xdr:rowOff>
    </xdr:from>
    <xdr:to>
      <xdr:col>4</xdr:col>
      <xdr:colOff>2190750</xdr:colOff>
      <xdr:row>108</xdr:row>
      <xdr:rowOff>9524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466725</xdr:colOff>
          <xdr:row>2</xdr:row>
          <xdr:rowOff>38100</xdr:rowOff>
        </xdr:from>
        <xdr:to>
          <xdr:col>4</xdr:col>
          <xdr:colOff>1381125</xdr:colOff>
          <xdr:row>5</xdr:row>
          <xdr:rowOff>133350</xdr:rowOff>
        </xdr:to>
        <xdr:sp macro="" textlink="">
          <xdr:nvSpPr>
            <xdr:cNvPr id="41999" name="Object 15" hidden="1">
              <a:extLst>
                <a:ext uri="{63B3BB69-23CF-44E3-9099-C40C66FF867C}">
                  <a14:compatExt spid="_x0000_s419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6.xml><?xml version="1.0" encoding="utf-8"?>
<c:userShapes xmlns:c="http://schemas.openxmlformats.org/drawingml/2006/chart">
  <cdr:relSizeAnchor xmlns:cdr="http://schemas.openxmlformats.org/drawingml/2006/chartDrawing">
    <cdr:from>
      <cdr:x>0.16765</cdr:x>
      <cdr:y>0.73491</cdr:y>
    </cdr:from>
    <cdr:to>
      <cdr:x>0.44389</cdr:x>
      <cdr:y>0.79925</cdr:y>
    </cdr:to>
    <cdr:sp macro="" textlink="">
      <cdr:nvSpPr>
        <cdr:cNvPr id="3" name="TextBox 1"/>
        <cdr:cNvSpPr txBox="1"/>
      </cdr:nvSpPr>
      <cdr:spPr>
        <a:xfrm xmlns:a="http://schemas.openxmlformats.org/drawingml/2006/main">
          <a:off x="623510" y="1838323"/>
          <a:ext cx="1027373" cy="160929"/>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solidFill>
              <a:effectLst/>
              <a:latin typeface="+mn-lt"/>
              <a:ea typeface="+mn-ea"/>
              <a:cs typeface="+mn-cs"/>
            </a:rPr>
            <a:t>i</a:t>
          </a:r>
          <a:r>
            <a:rPr lang="en-US" sz="1000" baseline="-25000">
              <a:solidFill>
                <a:schemeClr val="bg1"/>
              </a:solidFill>
              <a:effectLst/>
              <a:latin typeface="+mn-lt"/>
              <a:ea typeface="+mn-ea"/>
              <a:cs typeface="+mn-cs"/>
            </a:rPr>
            <a:t>SENSOR</a:t>
          </a:r>
          <a:r>
            <a:rPr lang="en-US" sz="900" baseline="-25000">
              <a:solidFill>
                <a:schemeClr val="bg1"/>
              </a:solidFill>
              <a:effectLst/>
              <a:latin typeface="+mn-lt"/>
              <a:ea typeface="+mn-ea"/>
              <a:cs typeface="+mn-cs"/>
            </a:rPr>
            <a:t>  </a:t>
          </a:r>
          <a:r>
            <a:rPr lang="en-US" sz="900" baseline="0">
              <a:solidFill>
                <a:schemeClr val="bg1"/>
              </a:solidFill>
              <a:effectLst/>
              <a:latin typeface="+mn-lt"/>
              <a:ea typeface="+mn-ea"/>
              <a:cs typeface="+mn-cs"/>
            </a:rPr>
            <a:t>limitation</a:t>
          </a:r>
          <a:endParaRPr lang="en-US" sz="500">
            <a:solidFill>
              <a:schemeClr val="bg1"/>
            </a:solidFill>
            <a:effectLst/>
          </a:endParaRPr>
        </a:p>
      </cdr:txBody>
    </cdr:sp>
  </cdr:relSizeAnchor>
  <cdr:relSizeAnchor xmlns:cdr="http://schemas.openxmlformats.org/drawingml/2006/chartDrawing">
    <cdr:from>
      <cdr:x>0.62446</cdr:x>
      <cdr:y>0.08257</cdr:y>
    </cdr:from>
    <cdr:to>
      <cdr:x>0.87734</cdr:x>
      <cdr:y>0.17293</cdr:y>
    </cdr:to>
    <cdr:sp macro="" textlink="">
      <cdr:nvSpPr>
        <cdr:cNvPr id="4" name="TextBox 1"/>
        <cdr:cNvSpPr txBox="1"/>
      </cdr:nvSpPr>
      <cdr:spPr>
        <a:xfrm xmlns:a="http://schemas.openxmlformats.org/drawingml/2006/main">
          <a:off x="2240574" y="206534"/>
          <a:ext cx="907329" cy="226031"/>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solidFill>
              <a:effectLst/>
              <a:latin typeface="+mn-lt"/>
              <a:ea typeface="+mn-ea"/>
              <a:cs typeface="+mn-cs"/>
            </a:rPr>
            <a:t>C</a:t>
          </a:r>
          <a:r>
            <a:rPr lang="en-US" sz="1000" baseline="-25000">
              <a:solidFill>
                <a:schemeClr val="bg1"/>
              </a:solidFill>
              <a:effectLst/>
              <a:latin typeface="+mn-lt"/>
              <a:ea typeface="+mn-ea"/>
              <a:cs typeface="+mn-cs"/>
            </a:rPr>
            <a:t>SENSOR</a:t>
          </a:r>
          <a:r>
            <a:rPr lang="en-US" sz="900">
              <a:solidFill>
                <a:schemeClr val="bg1"/>
              </a:solidFill>
              <a:effectLst/>
              <a:latin typeface="+mn-lt"/>
              <a:ea typeface="+mn-ea"/>
              <a:cs typeface="+mn-cs"/>
            </a:rPr>
            <a:t> &lt; 33pF</a:t>
          </a:r>
          <a:endParaRPr lang="en-US" sz="500">
            <a:solidFill>
              <a:schemeClr val="bg1"/>
            </a:solidFill>
            <a:effectLst/>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0.29406</cdr:x>
      <cdr:y>0.12373</cdr:y>
    </cdr:from>
    <cdr:to>
      <cdr:x>0.46627</cdr:x>
      <cdr:y>0.21905</cdr:y>
    </cdr:to>
    <cdr:sp macro="" textlink="LDC0851_calc!$Z$124">
      <cdr:nvSpPr>
        <cdr:cNvPr id="2" name="TextBox 1"/>
        <cdr:cNvSpPr txBox="1"/>
      </cdr:nvSpPr>
      <cdr:spPr>
        <a:xfrm xmlns:a="http://schemas.openxmlformats.org/drawingml/2006/main">
          <a:off x="1025391" y="311830"/>
          <a:ext cx="600485" cy="24019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fld id="{5B48F798-1BEA-4B3E-859F-099BFAFA81BC}" type="TxLink">
            <a:rPr lang="en-US" sz="1100" b="0" i="0" u="none" strike="noStrike">
              <a:solidFill>
                <a:srgbClr val="000000"/>
              </a:solidFill>
              <a:latin typeface="Calibri"/>
            </a:rPr>
            <a:pPr/>
            <a:t>9mm</a:t>
          </a:fld>
          <a:endParaRPr lang="en-US" sz="1100"/>
        </a:p>
      </cdr:txBody>
    </cdr:sp>
  </cdr:relSizeAnchor>
  <cdr:relSizeAnchor xmlns:cdr="http://schemas.openxmlformats.org/drawingml/2006/chartDrawing">
    <cdr:from>
      <cdr:x>0.16754</cdr:x>
      <cdr:y>0.11465</cdr:y>
    </cdr:from>
    <cdr:to>
      <cdr:x>0.3215</cdr:x>
      <cdr:y>0.20996</cdr:y>
    </cdr:to>
    <cdr:sp macro="" textlink="">
      <cdr:nvSpPr>
        <cdr:cNvPr id="3" name="TextBox 1"/>
        <cdr:cNvSpPr txBox="1"/>
      </cdr:nvSpPr>
      <cdr:spPr>
        <a:xfrm xmlns:a="http://schemas.openxmlformats.org/drawingml/2006/main">
          <a:off x="584201" y="288925"/>
          <a:ext cx="536852" cy="240195"/>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0" i="0" u="none" strike="noStrike">
              <a:solidFill>
                <a:srgbClr val="000000"/>
              </a:solidFill>
              <a:latin typeface="Calibri"/>
            </a:rPr>
            <a:t>d</a:t>
          </a:r>
          <a:r>
            <a:rPr lang="en-US" sz="1100" b="0" i="0" u="none" strike="noStrike" baseline="-25000">
              <a:solidFill>
                <a:srgbClr val="000000"/>
              </a:solidFill>
              <a:latin typeface="Calibri"/>
            </a:rPr>
            <a:t>COIL</a:t>
          </a:r>
          <a:r>
            <a:rPr lang="en-US" sz="1100" b="0" i="0" u="none" strike="noStrike">
              <a:solidFill>
                <a:srgbClr val="000000"/>
              </a:solidFill>
              <a:latin typeface="Calibri"/>
            </a:rPr>
            <a:t>=</a:t>
          </a:r>
          <a:endParaRPr lang="en-US" sz="1100"/>
        </a:p>
      </cdr:txBody>
    </cdr:sp>
  </cdr:relSizeAnchor>
</c:userShapes>
</file>

<file path=xl/drawings/drawing8.xml><?xml version="1.0" encoding="utf-8"?>
<c:userShapes xmlns:c="http://schemas.openxmlformats.org/drawingml/2006/chart">
  <cdr:relSizeAnchor xmlns:cdr="http://schemas.openxmlformats.org/drawingml/2006/chartDrawing">
    <cdr:from>
      <cdr:x>0.53432</cdr:x>
      <cdr:y>0.15219</cdr:y>
    </cdr:from>
    <cdr:to>
      <cdr:x>0.80774</cdr:x>
      <cdr:y>0.22821</cdr:y>
    </cdr:to>
    <cdr:sp macro="" textlink="LDC0851_calc!$G$82">
      <cdr:nvSpPr>
        <cdr:cNvPr id="2" name="TextBox 1"/>
        <cdr:cNvSpPr txBox="1"/>
      </cdr:nvSpPr>
      <cdr:spPr>
        <a:xfrm xmlns:a="http://schemas.openxmlformats.org/drawingml/2006/main">
          <a:off x="3319369" y="618079"/>
          <a:ext cx="1698611" cy="308732"/>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fld id="{FF42A37B-E321-4ED2-998C-92CD33E67191}" type="TxLink">
            <a:rPr lang="en-US" sz="1100" b="0" i="0" u="none" strike="noStrike">
              <a:solidFill>
                <a:srgbClr val="000000"/>
              </a:solidFill>
              <a:latin typeface="Calibri"/>
            </a:rPr>
            <a:pPr/>
            <a:t>CBOARD = 12pF</a:t>
          </a:fld>
          <a:endParaRPr lang="en-US" sz="1100"/>
        </a:p>
      </cdr:txBody>
    </cdr:sp>
  </cdr:relSizeAnchor>
  <cdr:relSizeAnchor xmlns:cdr="http://schemas.openxmlformats.org/drawingml/2006/chartDrawing">
    <cdr:from>
      <cdr:x>0.53191</cdr:x>
      <cdr:y>0.2315</cdr:y>
    </cdr:from>
    <cdr:to>
      <cdr:x>0.82293</cdr:x>
      <cdr:y>0.306</cdr:y>
    </cdr:to>
    <cdr:sp macro="" textlink="LDC0851_calc!$G$81">
      <cdr:nvSpPr>
        <cdr:cNvPr id="3" name="TextBox 1"/>
        <cdr:cNvSpPr txBox="1"/>
      </cdr:nvSpPr>
      <cdr:spPr>
        <a:xfrm xmlns:a="http://schemas.openxmlformats.org/drawingml/2006/main">
          <a:off x="3304428" y="940151"/>
          <a:ext cx="1807883" cy="302582"/>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DF27E32-7280-4F9F-A359-53BE0B6EBFEF}" type="TxLink">
            <a:rPr lang="en-US" sz="1100" b="0" i="0" u="none" strike="noStrike">
              <a:solidFill>
                <a:srgbClr val="000000"/>
              </a:solidFill>
              <a:latin typeface="Calibri"/>
            </a:rPr>
            <a:pPr/>
            <a:t>Sample Rate = 2 sps</a:t>
          </a:fld>
          <a:endParaRPr lang="en-US" sz="1100"/>
        </a:p>
      </cdr:txBody>
    </cdr:sp>
  </cdr:relSizeAnchor>
  <cdr:relSizeAnchor xmlns:cdr="http://schemas.openxmlformats.org/drawingml/2006/chartDrawing">
    <cdr:from>
      <cdr:x>0.51868</cdr:x>
      <cdr:y>0.30382</cdr:y>
    </cdr:from>
    <cdr:to>
      <cdr:x>0.83857</cdr:x>
      <cdr:y>0.38414</cdr:y>
    </cdr:to>
    <cdr:sp macro="" textlink="LDC0851_calc!$G$83">
      <cdr:nvSpPr>
        <cdr:cNvPr id="4" name="TextBox 1"/>
        <cdr:cNvSpPr txBox="1"/>
      </cdr:nvSpPr>
      <cdr:spPr>
        <a:xfrm xmlns:a="http://schemas.openxmlformats.org/drawingml/2006/main">
          <a:off x="3222251" y="1233889"/>
          <a:ext cx="1987239" cy="326195"/>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CDBE1D9-F5D1-4412-AF18-EE830EE7A0A1}" type="TxLink">
            <a:rPr lang="en-US" sz="1100" b="0" i="0" u="none" strike="noStrike">
              <a:solidFill>
                <a:srgbClr val="000000"/>
              </a:solidFill>
              <a:latin typeface="Calibri"/>
            </a:rPr>
            <a:pPr/>
            <a:t>Battery Capacity = 220 mAh</a:t>
          </a:fld>
          <a:endParaRPr lang="en-US" sz="1100"/>
        </a:p>
      </cdr:txBody>
    </cdr:sp>
  </cdr:relSizeAnchor>
  <cdr:relSizeAnchor xmlns:cdr="http://schemas.openxmlformats.org/drawingml/2006/chartDrawing">
    <cdr:from>
      <cdr:x>0.51748</cdr:x>
      <cdr:y>0.38064</cdr:y>
    </cdr:from>
    <cdr:to>
      <cdr:x>0.83736</cdr:x>
      <cdr:y>0.4588</cdr:y>
    </cdr:to>
    <cdr:sp macro="" textlink="LDC0851_calc!$G$84">
      <cdr:nvSpPr>
        <cdr:cNvPr id="5" name="TextBox 1"/>
        <cdr:cNvSpPr txBox="1"/>
      </cdr:nvSpPr>
      <cdr:spPr>
        <a:xfrm xmlns:a="http://schemas.openxmlformats.org/drawingml/2006/main">
          <a:off x="3214782" y="1545852"/>
          <a:ext cx="1987176" cy="317423"/>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BE7649B-2ECF-49AA-93E8-E25910A94C8D}" type="TxLink">
            <a:rPr lang="en-US" sz="1100" b="0" i="0" u="none" strike="noStrike">
              <a:solidFill>
                <a:srgbClr val="000000"/>
              </a:solidFill>
              <a:latin typeface="Calibri"/>
            </a:rPr>
            <a:pPr/>
            <a:t>Assumes min EN pulse duration</a:t>
          </a:fld>
          <a:endParaRPr lang="en-US" sz="1100"/>
        </a:p>
      </cdr:txBody>
    </cdr:sp>
  </cdr:relSizeAnchor>
</c:userShapes>
</file>

<file path=xl/drawings/drawing9.xml><?xml version="1.0" encoding="utf-8"?>
<xdr:wsDr xmlns:xdr="http://schemas.openxmlformats.org/drawingml/2006/spreadsheetDrawing" xmlns:a="http://schemas.openxmlformats.org/drawingml/2006/main">
  <xdr:twoCellAnchor>
    <xdr:from>
      <xdr:col>5</xdr:col>
      <xdr:colOff>218257</xdr:colOff>
      <xdr:row>148</xdr:row>
      <xdr:rowOff>16658</xdr:rowOff>
    </xdr:from>
    <xdr:to>
      <xdr:col>11</xdr:col>
      <xdr:colOff>219532</xdr:colOff>
      <xdr:row>163</xdr:row>
      <xdr:rowOff>7804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14942</xdr:colOff>
      <xdr:row>0</xdr:row>
      <xdr:rowOff>49927</xdr:rowOff>
    </xdr:from>
    <xdr:to>
      <xdr:col>2</xdr:col>
      <xdr:colOff>1084874</xdr:colOff>
      <xdr:row>3</xdr:row>
      <xdr:rowOff>3152</xdr:rowOff>
    </xdr:to>
    <xdr:pic>
      <xdr:nvPicPr>
        <xdr:cNvPr id="3" name="Picture 2"/>
        <xdr:cNvPicPr>
          <a:picLocks noChangeAspect="1"/>
        </xdr:cNvPicPr>
      </xdr:nvPicPr>
      <xdr:blipFill>
        <a:blip xmlns:r="http://schemas.openxmlformats.org/officeDocument/2006/relationships" r:embed="rId2"/>
        <a:stretch>
          <a:fillRect/>
        </a:stretch>
      </xdr:blipFill>
      <xdr:spPr>
        <a:xfrm>
          <a:off x="14942" y="49927"/>
          <a:ext cx="1876756" cy="49820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438150</xdr:colOff>
          <xdr:row>42</xdr:row>
          <xdr:rowOff>9525</xdr:rowOff>
        </xdr:from>
        <xdr:to>
          <xdr:col>6</xdr:col>
          <xdr:colOff>19050</xdr:colOff>
          <xdr:row>43</xdr:row>
          <xdr:rowOff>0</xdr:rowOff>
        </xdr:to>
        <xdr:sp macro="" textlink="">
          <xdr:nvSpPr>
            <xdr:cNvPr id="96373" name="Check Box 117" descr="Enable Ch0" hidden="1">
              <a:extLst>
                <a:ext uri="{63B3BB69-23CF-44E3-9099-C40C66FF867C}">
                  <a14:compatExt spid="_x0000_s96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800" b="0" i="0" u="none" strike="noStrike" baseline="0">
                  <a:solidFill>
                    <a:srgbClr val="000000"/>
                  </a:solidFill>
                  <a:latin typeface="Segoe UI"/>
                  <a:cs typeface="Segoe UI"/>
                </a:rPr>
                <a:t>Use Settings from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112</xdr:row>
          <xdr:rowOff>9525</xdr:rowOff>
        </xdr:from>
        <xdr:to>
          <xdr:col>6</xdr:col>
          <xdr:colOff>857250</xdr:colOff>
          <xdr:row>127</xdr:row>
          <xdr:rowOff>47625</xdr:rowOff>
        </xdr:to>
        <xdr:sp macro="" textlink="">
          <xdr:nvSpPr>
            <xdr:cNvPr id="96625" name="Check Box 369" descr="Lock Gain at 1x" hidden="1">
              <a:extLst>
                <a:ext uri="{63B3BB69-23CF-44E3-9099-C40C66FF867C}">
                  <a14:compatExt spid="_x0000_s96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800" b="0" i="0" u="none" strike="noStrike" baseline="0">
                  <a:solidFill>
                    <a:srgbClr val="000000"/>
                  </a:solidFill>
                  <a:latin typeface="Segoe UI"/>
                  <a:cs typeface="Segoe UI"/>
                </a:rPr>
                <a:t>Do Not Enable LDC131x Gain (1x)</a:t>
              </a:r>
            </a:p>
          </xdr:txBody>
        </xdr:sp>
        <xdr:clientData fLocksWithSheet="0" fPrintsWithSheet="0"/>
      </xdr:twoCellAnchor>
    </mc:Choice>
    <mc:Fallback/>
  </mc:AlternateContent>
  <xdr:twoCellAnchor editAs="oneCell">
    <xdr:from>
      <xdr:col>5</xdr:col>
      <xdr:colOff>742950</xdr:colOff>
      <xdr:row>2</xdr:row>
      <xdr:rowOff>165100</xdr:rowOff>
    </xdr:from>
    <xdr:to>
      <xdr:col>6</xdr:col>
      <xdr:colOff>819150</xdr:colOff>
      <xdr:row>5</xdr:row>
      <xdr:rowOff>196850</xdr:rowOff>
    </xdr:to>
    <xdr:sp macro="" textlink="">
      <xdr:nvSpPr>
        <xdr:cNvPr id="96627" name="Object 371" hidden="1">
          <a:extLst>
            <a:ext uri="{63B3BB69-23CF-44E3-9099-C40C66FF867C}">
              <a14:compatExt xmlns:a14="http://schemas.microsoft.com/office/drawing/2010/main" spid="_x0000_s96627"/>
            </a:ext>
          </a:extLst>
        </xdr:cNvPr>
        <xdr:cNvSpPr/>
      </xdr:nvSpPr>
      <xdr:spPr bwMode="auto">
        <a:xfrm>
          <a:off x="0" y="0"/>
          <a:ext cx="0" cy="0"/>
        </a:xfrm>
        <a:prstGeom prst="rect">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6</xdr:col>
          <xdr:colOff>0</xdr:colOff>
          <xdr:row>4</xdr:row>
          <xdr:rowOff>0</xdr:rowOff>
        </xdr:from>
        <xdr:to>
          <xdr:col>7</xdr:col>
          <xdr:colOff>47625</xdr:colOff>
          <xdr:row>8</xdr:row>
          <xdr:rowOff>19050</xdr:rowOff>
        </xdr:to>
        <xdr:sp macro="" textlink="">
          <xdr:nvSpPr>
            <xdr:cNvPr id="96626" name="Object 370" hidden="1">
              <a:extLst>
                <a:ext uri="{63B3BB69-23CF-44E3-9099-C40C66FF867C}">
                  <a14:compatExt spid="_x0000_s966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2.bin"/><Relationship Id="rId1" Type="http://schemas.openxmlformats.org/officeDocument/2006/relationships/hyperlink" Target="https://e2e.ti.com/blogs_/b/analogwire/archive/2014/06/10/inductive-sensing-how-to-use-a-tiny-2mm-pcb-inductor-as-a-sensor"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e2e.ti.com/support/sensor/inductive-sensing/"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e2e.ti.com/blogs_/b/analogwire/archive/2016/11/29/how-you-can-use-the-ldc-racetrack-inductor-designer-tool" TargetMode="External"/><Relationship Id="rId6" Type="http://schemas.openxmlformats.org/officeDocument/2006/relationships/image" Target="../media/image3.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3.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7" Type="http://schemas.openxmlformats.org/officeDocument/2006/relationships/comments" Target="../comments1.xml"/><Relationship Id="rId2" Type="http://schemas.openxmlformats.org/officeDocument/2006/relationships/printerSettings" Target="../printerSettings/printerSettings4.bin"/><Relationship Id="rId1" Type="http://schemas.openxmlformats.org/officeDocument/2006/relationships/hyperlink" Target="http://www.ti.com/lit/ds/symlink/ldc0851.pdf" TargetMode="External"/><Relationship Id="rId6" Type="http://schemas.openxmlformats.org/officeDocument/2006/relationships/image" Target="../media/image3.emf"/><Relationship Id="rId5" Type="http://schemas.openxmlformats.org/officeDocument/2006/relationships/oleObject" Target="../embeddings/oleObject3.bin"/><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drawing" Target="../drawings/drawing9.xml"/><Relationship Id="rId7" Type="http://schemas.openxmlformats.org/officeDocument/2006/relationships/ctrlProp" Target="../ctrlProps/ctrlProp9.xml"/><Relationship Id="rId2" Type="http://schemas.openxmlformats.org/officeDocument/2006/relationships/printerSettings" Target="../printerSettings/printerSettings5.bin"/><Relationship Id="rId1" Type="http://schemas.openxmlformats.org/officeDocument/2006/relationships/hyperlink" Target="http://www.ti.com/lit/an/snoa949/snoa949.pdf" TargetMode="External"/><Relationship Id="rId6" Type="http://schemas.openxmlformats.org/officeDocument/2006/relationships/image" Target="../media/image3.emf"/><Relationship Id="rId5" Type="http://schemas.openxmlformats.org/officeDocument/2006/relationships/oleObject" Target="../embeddings/oleObject4.bin"/><Relationship Id="rId4" Type="http://schemas.openxmlformats.org/officeDocument/2006/relationships/vmlDrawing" Target="../drawings/vmlDrawing5.vml"/><Relationship Id="rId9"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6.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3:D130"/>
  <sheetViews>
    <sheetView topLeftCell="A106" workbookViewId="0">
      <selection activeCell="C126" sqref="C126"/>
    </sheetView>
  </sheetViews>
  <sheetFormatPr defaultRowHeight="13.5" x14ac:dyDescent="0.15"/>
  <cols>
    <col min="3" max="3" width="10.75" bestFit="1" customWidth="1"/>
    <col min="4" max="4" width="75.25" customWidth="1"/>
  </cols>
  <sheetData>
    <row r="3" spans="1:4" x14ac:dyDescent="0.15">
      <c r="A3" t="s">
        <v>493</v>
      </c>
    </row>
    <row r="4" spans="1:4" x14ac:dyDescent="0.15">
      <c r="A4" s="9"/>
      <c r="B4" s="9" t="s">
        <v>494</v>
      </c>
      <c r="C4" s="9" t="s">
        <v>495</v>
      </c>
      <c r="D4" s="9" t="s">
        <v>496</v>
      </c>
    </row>
    <row r="5" spans="1:4" x14ac:dyDescent="0.15">
      <c r="B5">
        <v>12</v>
      </c>
      <c r="C5" s="308">
        <v>42066</v>
      </c>
      <c r="D5" t="s">
        <v>497</v>
      </c>
    </row>
    <row r="6" spans="1:4" x14ac:dyDescent="0.15">
      <c r="B6">
        <v>13</v>
      </c>
      <c r="D6" t="s">
        <v>498</v>
      </c>
    </row>
    <row r="7" spans="1:4" x14ac:dyDescent="0.15">
      <c r="D7" t="s">
        <v>499</v>
      </c>
    </row>
    <row r="8" spans="1:4" x14ac:dyDescent="0.15">
      <c r="D8" t="s">
        <v>500</v>
      </c>
    </row>
    <row r="9" spans="1:4" x14ac:dyDescent="0.15">
      <c r="D9" t="s">
        <v>501</v>
      </c>
    </row>
    <row r="10" spans="1:4" x14ac:dyDescent="0.15">
      <c r="D10" t="s">
        <v>502</v>
      </c>
    </row>
    <row r="11" spans="1:4" x14ac:dyDescent="0.15">
      <c r="D11" t="s">
        <v>503</v>
      </c>
    </row>
    <row r="12" spans="1:4" x14ac:dyDescent="0.15">
      <c r="D12" t="s">
        <v>504</v>
      </c>
    </row>
    <row r="13" spans="1:4" x14ac:dyDescent="0.15">
      <c r="D13" t="s">
        <v>505</v>
      </c>
    </row>
    <row r="14" spans="1:4" x14ac:dyDescent="0.15">
      <c r="B14">
        <v>14</v>
      </c>
      <c r="D14" t="s">
        <v>506</v>
      </c>
    </row>
    <row r="15" spans="1:4" x14ac:dyDescent="0.15">
      <c r="D15" t="s">
        <v>507</v>
      </c>
    </row>
    <row r="16" spans="1:4" x14ac:dyDescent="0.15">
      <c r="D16" t="s">
        <v>508</v>
      </c>
    </row>
    <row r="17" spans="2:4" x14ac:dyDescent="0.15">
      <c r="B17">
        <v>15</v>
      </c>
      <c r="D17" t="s">
        <v>509</v>
      </c>
    </row>
    <row r="18" spans="2:4" x14ac:dyDescent="0.15">
      <c r="D18" t="s">
        <v>510</v>
      </c>
    </row>
    <row r="19" spans="2:4" x14ac:dyDescent="0.15">
      <c r="D19" t="s">
        <v>511</v>
      </c>
    </row>
    <row r="20" spans="2:4" x14ac:dyDescent="0.15">
      <c r="B20">
        <v>16</v>
      </c>
      <c r="D20" t="s">
        <v>512</v>
      </c>
    </row>
    <row r="21" spans="2:4" x14ac:dyDescent="0.15">
      <c r="B21">
        <v>17</v>
      </c>
      <c r="D21" t="s">
        <v>513</v>
      </c>
    </row>
    <row r="22" spans="2:4" x14ac:dyDescent="0.15">
      <c r="B22">
        <v>18</v>
      </c>
      <c r="C22" s="308">
        <v>42307</v>
      </c>
      <c r="D22" t="s">
        <v>514</v>
      </c>
    </row>
    <row r="23" spans="2:4" x14ac:dyDescent="0.15">
      <c r="D23" t="s">
        <v>515</v>
      </c>
    </row>
    <row r="24" spans="2:4" x14ac:dyDescent="0.15">
      <c r="D24" t="s">
        <v>516</v>
      </c>
    </row>
    <row r="25" spans="2:4" x14ac:dyDescent="0.15">
      <c r="D25" t="s">
        <v>517</v>
      </c>
    </row>
    <row r="26" spans="2:4" x14ac:dyDescent="0.15">
      <c r="D26" t="s">
        <v>518</v>
      </c>
    </row>
    <row r="27" spans="2:4" x14ac:dyDescent="0.15">
      <c r="D27" t="s">
        <v>519</v>
      </c>
    </row>
    <row r="28" spans="2:4" x14ac:dyDescent="0.15">
      <c r="D28" t="s">
        <v>520</v>
      </c>
    </row>
    <row r="29" spans="2:4" x14ac:dyDescent="0.15">
      <c r="D29" t="s">
        <v>521</v>
      </c>
    </row>
    <row r="30" spans="2:4" x14ac:dyDescent="0.15">
      <c r="D30" t="s">
        <v>522</v>
      </c>
    </row>
    <row r="31" spans="2:4" x14ac:dyDescent="0.15">
      <c r="B31">
        <v>21</v>
      </c>
      <c r="D31" t="s">
        <v>523</v>
      </c>
    </row>
    <row r="32" spans="2:4" x14ac:dyDescent="0.15">
      <c r="D32" t="s">
        <v>524</v>
      </c>
    </row>
    <row r="33" spans="2:4" x14ac:dyDescent="0.15">
      <c r="D33" t="s">
        <v>525</v>
      </c>
    </row>
    <row r="34" spans="2:4" x14ac:dyDescent="0.15">
      <c r="B34">
        <v>22</v>
      </c>
      <c r="D34" t="s">
        <v>526</v>
      </c>
    </row>
    <row r="35" spans="2:4" x14ac:dyDescent="0.15">
      <c r="B35">
        <v>23</v>
      </c>
      <c r="C35" s="308">
        <v>42552</v>
      </c>
      <c r="D35" t="s">
        <v>527</v>
      </c>
    </row>
    <row r="36" spans="2:4" x14ac:dyDescent="0.15">
      <c r="D36" t="s">
        <v>528</v>
      </c>
    </row>
    <row r="37" spans="2:4" x14ac:dyDescent="0.15">
      <c r="D37" t="s">
        <v>532</v>
      </c>
    </row>
    <row r="38" spans="2:4" x14ac:dyDescent="0.15">
      <c r="B38">
        <v>24</v>
      </c>
      <c r="C38" s="308">
        <v>42569</v>
      </c>
      <c r="D38" t="s">
        <v>533</v>
      </c>
    </row>
    <row r="39" spans="2:4" x14ac:dyDescent="0.15">
      <c r="D39" t="s">
        <v>574</v>
      </c>
    </row>
    <row r="40" spans="2:4" x14ac:dyDescent="0.15">
      <c r="D40" t="s">
        <v>576</v>
      </c>
    </row>
    <row r="41" spans="2:4" x14ac:dyDescent="0.15">
      <c r="D41" t="s">
        <v>581</v>
      </c>
    </row>
    <row r="42" spans="2:4" x14ac:dyDescent="0.15">
      <c r="B42">
        <v>25</v>
      </c>
      <c r="C42" s="308">
        <v>42620</v>
      </c>
      <c r="D42" t="s">
        <v>584</v>
      </c>
    </row>
    <row r="43" spans="2:4" x14ac:dyDescent="0.15">
      <c r="D43" t="s">
        <v>612</v>
      </c>
    </row>
    <row r="44" spans="2:4" x14ac:dyDescent="0.15">
      <c r="D44" t="s">
        <v>598</v>
      </c>
    </row>
    <row r="45" spans="2:4" x14ac:dyDescent="0.15">
      <c r="D45" t="s">
        <v>599</v>
      </c>
    </row>
    <row r="46" spans="2:4" x14ac:dyDescent="0.15">
      <c r="D46" t="s">
        <v>600</v>
      </c>
    </row>
    <row r="47" spans="2:4" x14ac:dyDescent="0.15">
      <c r="D47" t="s">
        <v>601</v>
      </c>
    </row>
    <row r="48" spans="2:4" x14ac:dyDescent="0.15">
      <c r="D48" t="s">
        <v>613</v>
      </c>
    </row>
    <row r="49" spans="2:4" x14ac:dyDescent="0.15">
      <c r="D49" t="s">
        <v>603</v>
      </c>
    </row>
    <row r="50" spans="2:4" x14ac:dyDescent="0.15">
      <c r="D50" t="s">
        <v>604</v>
      </c>
    </row>
    <row r="51" spans="2:4" x14ac:dyDescent="0.15">
      <c r="D51" t="s">
        <v>608</v>
      </c>
    </row>
    <row r="52" spans="2:4" x14ac:dyDescent="0.15">
      <c r="D52" t="s">
        <v>609</v>
      </c>
    </row>
    <row r="53" spans="2:4" x14ac:dyDescent="0.15">
      <c r="D53" t="s">
        <v>524</v>
      </c>
    </row>
    <row r="54" spans="2:4" x14ac:dyDescent="0.15">
      <c r="B54">
        <v>26</v>
      </c>
      <c r="C54" s="308">
        <v>42635</v>
      </c>
      <c r="D54" t="s">
        <v>614</v>
      </c>
    </row>
    <row r="55" spans="2:4" x14ac:dyDescent="0.15">
      <c r="C55" s="308"/>
      <c r="D55" t="s">
        <v>615</v>
      </c>
    </row>
    <row r="56" spans="2:4" x14ac:dyDescent="0.15">
      <c r="B56">
        <v>27</v>
      </c>
      <c r="C56" s="308">
        <v>42643</v>
      </c>
      <c r="D56" t="s">
        <v>617</v>
      </c>
    </row>
    <row r="57" spans="2:4" x14ac:dyDescent="0.15">
      <c r="C57" s="308">
        <v>42675</v>
      </c>
      <c r="D57" t="s">
        <v>624</v>
      </c>
    </row>
    <row r="58" spans="2:4" x14ac:dyDescent="0.15">
      <c r="D58" t="s">
        <v>627</v>
      </c>
    </row>
    <row r="59" spans="2:4" x14ac:dyDescent="0.15">
      <c r="D59" t="s">
        <v>628</v>
      </c>
    </row>
    <row r="60" spans="2:4" x14ac:dyDescent="0.15">
      <c r="B60">
        <v>28</v>
      </c>
      <c r="C60" s="383">
        <v>42688</v>
      </c>
      <c r="D60" t="s">
        <v>704</v>
      </c>
    </row>
    <row r="61" spans="2:4" x14ac:dyDescent="0.15">
      <c r="C61" s="383"/>
      <c r="D61" t="s">
        <v>705</v>
      </c>
    </row>
    <row r="62" spans="2:4" x14ac:dyDescent="0.15">
      <c r="C62" s="383"/>
      <c r="D62" t="s">
        <v>707</v>
      </c>
    </row>
    <row r="63" spans="2:4" x14ac:dyDescent="0.15">
      <c r="C63" s="383"/>
      <c r="D63" t="s">
        <v>708</v>
      </c>
    </row>
    <row r="64" spans="2:4" x14ac:dyDescent="0.15">
      <c r="C64" s="383"/>
      <c r="D64" t="s">
        <v>712</v>
      </c>
    </row>
    <row r="65" spans="2:4" x14ac:dyDescent="0.15">
      <c r="C65" s="383"/>
      <c r="D65" t="s">
        <v>715</v>
      </c>
    </row>
    <row r="66" spans="2:4" x14ac:dyDescent="0.15">
      <c r="B66">
        <v>29</v>
      </c>
      <c r="C66" s="383">
        <v>42711</v>
      </c>
      <c r="D66" t="s">
        <v>717</v>
      </c>
    </row>
    <row r="67" spans="2:4" x14ac:dyDescent="0.15">
      <c r="C67" s="383"/>
      <c r="D67" t="s">
        <v>718</v>
      </c>
    </row>
    <row r="68" spans="2:4" x14ac:dyDescent="0.15">
      <c r="C68" s="383"/>
      <c r="D68" t="s">
        <v>740</v>
      </c>
    </row>
    <row r="69" spans="2:4" x14ac:dyDescent="0.15">
      <c r="C69" s="383"/>
      <c r="D69" t="s">
        <v>741</v>
      </c>
    </row>
    <row r="70" spans="2:4" x14ac:dyDescent="0.15">
      <c r="C70" s="383"/>
      <c r="D70" t="s">
        <v>742</v>
      </c>
    </row>
    <row r="71" spans="2:4" x14ac:dyDescent="0.15">
      <c r="C71" s="383"/>
      <c r="D71" t="s">
        <v>746</v>
      </c>
    </row>
    <row r="72" spans="2:4" x14ac:dyDescent="0.15">
      <c r="B72">
        <v>30</v>
      </c>
      <c r="C72" s="383">
        <v>42717</v>
      </c>
      <c r="D72" t="s">
        <v>766</v>
      </c>
    </row>
    <row r="73" spans="2:4" x14ac:dyDescent="0.15">
      <c r="C73" s="383"/>
      <c r="D73" t="s">
        <v>767</v>
      </c>
    </row>
    <row r="74" spans="2:4" x14ac:dyDescent="0.15">
      <c r="C74" s="383"/>
      <c r="D74" t="s">
        <v>816</v>
      </c>
    </row>
    <row r="75" spans="2:4" x14ac:dyDescent="0.15">
      <c r="C75" s="383"/>
      <c r="D75" t="s">
        <v>817</v>
      </c>
    </row>
    <row r="76" spans="2:4" x14ac:dyDescent="0.15">
      <c r="C76" s="383"/>
      <c r="D76" t="s">
        <v>824</v>
      </c>
    </row>
    <row r="77" spans="2:4" x14ac:dyDescent="0.15">
      <c r="B77">
        <v>31</v>
      </c>
      <c r="C77" s="383">
        <v>42738</v>
      </c>
      <c r="D77" t="s">
        <v>840</v>
      </c>
    </row>
    <row r="78" spans="2:4" x14ac:dyDescent="0.15">
      <c r="C78" s="383"/>
      <c r="D78" t="s">
        <v>850</v>
      </c>
    </row>
    <row r="79" spans="2:4" x14ac:dyDescent="0.15">
      <c r="B79">
        <v>33</v>
      </c>
      <c r="C79" s="383">
        <v>42768</v>
      </c>
      <c r="D79" t="s">
        <v>960</v>
      </c>
    </row>
    <row r="80" spans="2:4" x14ac:dyDescent="0.15">
      <c r="C80" s="383"/>
      <c r="D80" t="s">
        <v>984</v>
      </c>
    </row>
    <row r="81" spans="2:4" x14ac:dyDescent="0.15">
      <c r="B81">
        <v>34</v>
      </c>
      <c r="C81" s="383">
        <v>42775</v>
      </c>
      <c r="D81" t="s">
        <v>1008</v>
      </c>
    </row>
    <row r="82" spans="2:4" x14ac:dyDescent="0.15">
      <c r="C82" s="383"/>
      <c r="D82" t="s">
        <v>1036</v>
      </c>
    </row>
    <row r="83" spans="2:4" x14ac:dyDescent="0.15">
      <c r="C83" s="383"/>
      <c r="D83" t="s">
        <v>1037</v>
      </c>
    </row>
    <row r="84" spans="2:4" x14ac:dyDescent="0.15">
      <c r="B84">
        <v>35</v>
      </c>
      <c r="C84" s="383">
        <v>42779</v>
      </c>
      <c r="D84" t="s">
        <v>1057</v>
      </c>
    </row>
    <row r="85" spans="2:4" x14ac:dyDescent="0.15">
      <c r="C85" s="383"/>
      <c r="D85" t="s">
        <v>1058</v>
      </c>
    </row>
    <row r="86" spans="2:4" ht="27" x14ac:dyDescent="0.15">
      <c r="C86" s="383"/>
      <c r="D86" s="620" t="s">
        <v>1066</v>
      </c>
    </row>
    <row r="87" spans="2:4" x14ac:dyDescent="0.15">
      <c r="B87">
        <v>36</v>
      </c>
      <c r="C87" s="383">
        <v>42782</v>
      </c>
      <c r="D87" t="s">
        <v>1067</v>
      </c>
    </row>
    <row r="88" spans="2:4" x14ac:dyDescent="0.15">
      <c r="C88" s="383"/>
      <c r="D88" t="s">
        <v>1078</v>
      </c>
    </row>
    <row r="89" spans="2:4" x14ac:dyDescent="0.15">
      <c r="C89" s="383"/>
      <c r="D89" t="s">
        <v>1068</v>
      </c>
    </row>
    <row r="90" spans="2:4" x14ac:dyDescent="0.15">
      <c r="C90" s="383"/>
      <c r="D90" t="s">
        <v>1088</v>
      </c>
    </row>
    <row r="91" spans="2:4" x14ac:dyDescent="0.15">
      <c r="C91" s="383"/>
      <c r="D91" t="s">
        <v>1089</v>
      </c>
    </row>
    <row r="92" spans="2:4" x14ac:dyDescent="0.15">
      <c r="C92" s="383"/>
      <c r="D92" t="s">
        <v>1091</v>
      </c>
    </row>
    <row r="93" spans="2:4" x14ac:dyDescent="0.15">
      <c r="C93" s="383">
        <v>42838</v>
      </c>
      <c r="D93" t="s">
        <v>1096</v>
      </c>
    </row>
    <row r="94" spans="2:4" x14ac:dyDescent="0.15">
      <c r="C94" s="383"/>
      <c r="D94" t="s">
        <v>1097</v>
      </c>
    </row>
    <row r="95" spans="2:4" x14ac:dyDescent="0.15">
      <c r="C95" s="383"/>
      <c r="D95" t="s">
        <v>1099</v>
      </c>
    </row>
    <row r="96" spans="2:4" x14ac:dyDescent="0.15">
      <c r="C96" s="383"/>
      <c r="D96" t="s">
        <v>1101</v>
      </c>
    </row>
    <row r="97" spans="2:4" x14ac:dyDescent="0.15">
      <c r="B97">
        <v>39</v>
      </c>
      <c r="C97" s="383">
        <v>42867</v>
      </c>
      <c r="D97" t="s">
        <v>1402</v>
      </c>
    </row>
    <row r="98" spans="2:4" x14ac:dyDescent="0.15">
      <c r="C98" s="383"/>
      <c r="D98" t="s">
        <v>1421</v>
      </c>
    </row>
    <row r="99" spans="2:4" x14ac:dyDescent="0.15">
      <c r="C99" s="383"/>
      <c r="D99" t="s">
        <v>1422</v>
      </c>
    </row>
    <row r="100" spans="2:4" x14ac:dyDescent="0.15">
      <c r="C100" s="383"/>
      <c r="D100" t="s">
        <v>1430</v>
      </c>
    </row>
    <row r="101" spans="2:4" x14ac:dyDescent="0.15">
      <c r="C101" s="383"/>
    </row>
    <row r="102" spans="2:4" x14ac:dyDescent="0.15">
      <c r="B102">
        <v>41</v>
      </c>
      <c r="C102" s="383">
        <v>42907</v>
      </c>
      <c r="D102" t="s">
        <v>1625</v>
      </c>
    </row>
    <row r="103" spans="2:4" x14ac:dyDescent="0.15">
      <c r="C103" s="383"/>
      <c r="D103" t="s">
        <v>1445</v>
      </c>
    </row>
    <row r="104" spans="2:4" x14ac:dyDescent="0.15">
      <c r="B104">
        <v>42</v>
      </c>
      <c r="C104" s="383">
        <v>42950</v>
      </c>
      <c r="D104" t="s">
        <v>1505</v>
      </c>
    </row>
    <row r="105" spans="2:4" x14ac:dyDescent="0.15">
      <c r="C105" s="383"/>
      <c r="D105" t="s">
        <v>1507</v>
      </c>
    </row>
    <row r="106" spans="2:4" x14ac:dyDescent="0.15">
      <c r="B106">
        <v>45</v>
      </c>
      <c r="C106" s="383">
        <v>42993</v>
      </c>
      <c r="D106" t="s">
        <v>1532</v>
      </c>
    </row>
    <row r="107" spans="2:4" x14ac:dyDescent="0.15">
      <c r="B107">
        <v>46</v>
      </c>
      <c r="C107" s="383">
        <v>42998</v>
      </c>
      <c r="D107" t="s">
        <v>1544</v>
      </c>
    </row>
    <row r="108" spans="2:4" x14ac:dyDescent="0.15">
      <c r="C108" s="383"/>
      <c r="D108" t="s">
        <v>1545</v>
      </c>
    </row>
    <row r="109" spans="2:4" x14ac:dyDescent="0.15">
      <c r="B109">
        <v>47</v>
      </c>
      <c r="C109" s="383">
        <v>43089</v>
      </c>
      <c r="D109" t="s">
        <v>1551</v>
      </c>
    </row>
    <row r="110" spans="2:4" x14ac:dyDescent="0.15">
      <c r="C110" s="383"/>
      <c r="D110" t="s">
        <v>1552</v>
      </c>
    </row>
    <row r="111" spans="2:4" x14ac:dyDescent="0.15">
      <c r="B111">
        <v>48</v>
      </c>
      <c r="C111" s="383">
        <v>43116</v>
      </c>
      <c r="D111" t="s">
        <v>1573</v>
      </c>
    </row>
    <row r="112" spans="2:4" x14ac:dyDescent="0.15">
      <c r="C112" s="383"/>
      <c r="D112" t="s">
        <v>1585</v>
      </c>
    </row>
    <row r="113" spans="1:4" x14ac:dyDescent="0.15">
      <c r="C113" s="383"/>
      <c r="D113" t="s">
        <v>1624</v>
      </c>
    </row>
    <row r="114" spans="1:4" x14ac:dyDescent="0.15">
      <c r="C114" s="383">
        <v>43136</v>
      </c>
      <c r="D114" t="s">
        <v>1590</v>
      </c>
    </row>
    <row r="115" spans="1:4" x14ac:dyDescent="0.15">
      <c r="C115" s="383">
        <v>43174</v>
      </c>
      <c r="D115" t="s">
        <v>1620</v>
      </c>
    </row>
    <row r="116" spans="1:4" x14ac:dyDescent="0.15">
      <c r="C116" s="383">
        <v>43180</v>
      </c>
      <c r="D116" t="s">
        <v>1617</v>
      </c>
    </row>
    <row r="117" spans="1:4" x14ac:dyDescent="0.15">
      <c r="C117" s="383"/>
      <c r="D117" t="s">
        <v>1619</v>
      </c>
    </row>
    <row r="118" spans="1:4" x14ac:dyDescent="0.15">
      <c r="B118" t="s">
        <v>1621</v>
      </c>
      <c r="C118" s="383">
        <v>43181</v>
      </c>
      <c r="D118" t="s">
        <v>1622</v>
      </c>
    </row>
    <row r="119" spans="1:4" x14ac:dyDescent="0.15">
      <c r="C119" s="383"/>
      <c r="D119" t="s">
        <v>1623</v>
      </c>
    </row>
    <row r="120" spans="1:4" x14ac:dyDescent="0.15">
      <c r="C120" s="383"/>
      <c r="D120" t="s">
        <v>1633</v>
      </c>
    </row>
    <row r="121" spans="1:4" x14ac:dyDescent="0.15">
      <c r="B121">
        <v>49</v>
      </c>
      <c r="C121" s="383">
        <v>43206</v>
      </c>
      <c r="D121" t="s">
        <v>1634</v>
      </c>
    </row>
    <row r="122" spans="1:4" x14ac:dyDescent="0.15">
      <c r="C122" s="383">
        <v>43210</v>
      </c>
      <c r="D122" t="s">
        <v>1635</v>
      </c>
    </row>
    <row r="123" spans="1:4" x14ac:dyDescent="0.15">
      <c r="C123" s="383"/>
      <c r="D123" t="s">
        <v>1643</v>
      </c>
    </row>
    <row r="124" spans="1:4" x14ac:dyDescent="0.15">
      <c r="C124" s="383">
        <v>43215</v>
      </c>
      <c r="D124" t="s">
        <v>1646</v>
      </c>
    </row>
    <row r="125" spans="1:4" x14ac:dyDescent="0.15">
      <c r="C125" s="383">
        <v>43250</v>
      </c>
      <c r="D125" t="s">
        <v>1648</v>
      </c>
    </row>
    <row r="126" spans="1:4" x14ac:dyDescent="0.15">
      <c r="C126" s="383"/>
    </row>
    <row r="127" spans="1:4" x14ac:dyDescent="0.15">
      <c r="A127" s="71" t="s">
        <v>529</v>
      </c>
    </row>
    <row r="128" spans="1:4" x14ac:dyDescent="0.15">
      <c r="B128">
        <v>1</v>
      </c>
      <c r="D128" t="s">
        <v>530</v>
      </c>
    </row>
    <row r="129" spans="2:4" x14ac:dyDescent="0.15">
      <c r="B129">
        <v>2</v>
      </c>
      <c r="D129" t="s">
        <v>713</v>
      </c>
    </row>
    <row r="130" spans="2:4" x14ac:dyDescent="0.15">
      <c r="B130">
        <v>3</v>
      </c>
      <c r="D130" t="s">
        <v>714</v>
      </c>
    </row>
  </sheetData>
  <phoneticPr fontId="121"/>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4" tint="0.59999389629810485"/>
  </sheetPr>
  <dimension ref="A2:Q142"/>
  <sheetViews>
    <sheetView showGridLines="0" showRowColHeaders="0" workbookViewId="0">
      <selection activeCell="D9" sqref="D9"/>
    </sheetView>
  </sheetViews>
  <sheetFormatPr defaultRowHeight="13.5" x14ac:dyDescent="0.15"/>
  <cols>
    <col min="1" max="1" width="7.25" customWidth="1"/>
    <col min="2" max="2" width="4.75" customWidth="1"/>
    <col min="3" max="3" width="23.25" customWidth="1"/>
    <col min="4" max="4" width="14.25" customWidth="1"/>
    <col min="5" max="5" width="7.75" customWidth="1"/>
    <col min="6" max="6" width="43.5" customWidth="1"/>
    <col min="9" max="9" width="11.875" bestFit="1" customWidth="1"/>
  </cols>
  <sheetData>
    <row r="2" spans="2:6" ht="17.25" x14ac:dyDescent="0.2">
      <c r="B2" s="4" t="s">
        <v>1072</v>
      </c>
      <c r="F2" s="20" t="s">
        <v>198</v>
      </c>
    </row>
    <row r="3" spans="2:6" x14ac:dyDescent="0.15">
      <c r="C3" t="s">
        <v>335</v>
      </c>
    </row>
    <row r="4" spans="2:6" x14ac:dyDescent="0.15">
      <c r="E4" s="8"/>
    </row>
    <row r="5" spans="2:6" x14ac:dyDescent="0.15">
      <c r="E5" s="8"/>
    </row>
    <row r="6" spans="2:6" ht="14.25" x14ac:dyDescent="0.15">
      <c r="B6" s="22" t="s">
        <v>1076</v>
      </c>
      <c r="D6" s="5"/>
      <c r="E6" s="6"/>
    </row>
    <row r="7" spans="2:6" ht="14.25" hidden="1" x14ac:dyDescent="0.15">
      <c r="C7" s="7" t="s">
        <v>15</v>
      </c>
      <c r="D7" s="274" t="s">
        <v>1069</v>
      </c>
      <c r="E7" s="6"/>
      <c r="F7" t="s">
        <v>1070</v>
      </c>
    </row>
    <row r="8" spans="2:6" ht="14.25" x14ac:dyDescent="0.15">
      <c r="C8" s="7" t="s">
        <v>379</v>
      </c>
      <c r="D8" s="385">
        <f>IF(D7="LDC1101",16,8)</f>
        <v>8</v>
      </c>
      <c r="E8" s="6" t="s">
        <v>0</v>
      </c>
    </row>
    <row r="9" spans="2:6" ht="14.25" x14ac:dyDescent="0.15">
      <c r="C9" s="7" t="s">
        <v>17</v>
      </c>
      <c r="D9" s="271">
        <v>8</v>
      </c>
      <c r="E9" s="6" t="s">
        <v>0</v>
      </c>
    </row>
    <row r="10" spans="2:6" hidden="1" x14ac:dyDescent="0.15">
      <c r="C10" s="7"/>
      <c r="D10" s="84">
        <f>D9*1000000</f>
        <v>8000000</v>
      </c>
      <c r="E10" s="87" t="s">
        <v>1</v>
      </c>
    </row>
    <row r="11" spans="2:6" ht="15" x14ac:dyDescent="0.2">
      <c r="C11" s="89" t="s">
        <v>278</v>
      </c>
      <c r="D11" s="272">
        <v>32.979999999999997</v>
      </c>
      <c r="E11" s="88" t="s">
        <v>96</v>
      </c>
    </row>
    <row r="12" spans="2:6" ht="14.25" x14ac:dyDescent="0.15">
      <c r="C12" s="90" t="s">
        <v>264</v>
      </c>
      <c r="D12" s="272">
        <v>10000</v>
      </c>
      <c r="E12" s="86" t="s">
        <v>27</v>
      </c>
    </row>
    <row r="13" spans="2:6" ht="14.25" x14ac:dyDescent="0.15">
      <c r="C13" s="91" t="s">
        <v>279</v>
      </c>
      <c r="D13" s="55">
        <f>1000/(2*PI()*SQRT(D12*D11))</f>
        <v>0.27713718796629278</v>
      </c>
      <c r="E13" s="86" t="s">
        <v>0</v>
      </c>
    </row>
    <row r="14" spans="2:6" ht="14.25" hidden="1" x14ac:dyDescent="0.15">
      <c r="C14" s="97" t="s">
        <v>380</v>
      </c>
      <c r="D14" s="148">
        <f>IF(D7="LDC1101",10,5)</f>
        <v>5</v>
      </c>
      <c r="E14" s="86" t="s">
        <v>0</v>
      </c>
    </row>
    <row r="15" spans="2:6" ht="27" x14ac:dyDescent="0.15">
      <c r="C15" s="94" t="s">
        <v>280</v>
      </c>
      <c r="D15" s="273">
        <f>D13</f>
        <v>0.27713718796629278</v>
      </c>
      <c r="E15" s="6" t="s">
        <v>0</v>
      </c>
    </row>
    <row r="16" spans="2:6" ht="14.25" x14ac:dyDescent="0.15">
      <c r="C16" s="7" t="s">
        <v>18</v>
      </c>
      <c r="D16" s="270">
        <v>6144</v>
      </c>
      <c r="E16" s="6" t="s">
        <v>166</v>
      </c>
    </row>
    <row r="17" spans="2:9" ht="14.25" x14ac:dyDescent="0.15">
      <c r="C17" s="7" t="s">
        <v>282</v>
      </c>
      <c r="D17" s="96">
        <f>IF((1/D15*D16/3)&gt;3000,0.001/D15*D16/3,1/D15*D16/3)</f>
        <v>7.3898418867160158</v>
      </c>
      <c r="E17" s="65" t="str">
        <f>IF((1/D15*D16/3)&gt;3000,"ms","µs")</f>
        <v>ms</v>
      </c>
    </row>
    <row r="18" spans="2:9" ht="14.25" x14ac:dyDescent="0.15">
      <c r="C18" s="7" t="s">
        <v>201</v>
      </c>
      <c r="D18" s="95">
        <f>1000/D17</f>
        <v>135.3208925616664</v>
      </c>
      <c r="E18" s="65" t="str">
        <f>IF(E17="µs","ksps","sps")</f>
        <v>sps</v>
      </c>
      <c r="I18" s="382"/>
    </row>
    <row r="19" spans="2:9" ht="14.25" x14ac:dyDescent="0.15">
      <c r="C19" s="7" t="s">
        <v>285</v>
      </c>
      <c r="D19" s="47">
        <f>LOG(D16/3*D9/D15,2)</f>
        <v>15.851327781416328</v>
      </c>
      <c r="E19" s="93" t="s">
        <v>281</v>
      </c>
    </row>
    <row r="20" spans="2:9" x14ac:dyDescent="0.15">
      <c r="C20" s="7" t="s">
        <v>1548</v>
      </c>
      <c r="D20" s="769">
        <f>CEILING(68.94*LOG(D15:D15/0.0025,10),1)</f>
        <v>141</v>
      </c>
      <c r="E20" s="8"/>
    </row>
    <row r="22" spans="2:9" x14ac:dyDescent="0.15">
      <c r="B22" s="9" t="s">
        <v>1079</v>
      </c>
    </row>
    <row r="23" spans="2:9" ht="14.25" x14ac:dyDescent="0.15">
      <c r="B23" s="22"/>
      <c r="C23" t="s">
        <v>1074</v>
      </c>
    </row>
    <row r="24" spans="2:9" ht="14.25" x14ac:dyDescent="0.15">
      <c r="B24" s="22"/>
    </row>
    <row r="25" spans="2:9" ht="14.25" hidden="1" x14ac:dyDescent="0.15">
      <c r="B25" s="22"/>
      <c r="C25" t="s">
        <v>15</v>
      </c>
      <c r="D25" s="622" t="s">
        <v>1071</v>
      </c>
      <c r="F25" t="s">
        <v>1070</v>
      </c>
    </row>
    <row r="26" spans="2:9" x14ac:dyDescent="0.15">
      <c r="C26" s="72" t="s">
        <v>98</v>
      </c>
      <c r="D26" s="45">
        <v>6144</v>
      </c>
      <c r="F26" t="s">
        <v>361</v>
      </c>
    </row>
    <row r="27" spans="2:9" x14ac:dyDescent="0.15">
      <c r="C27" s="72" t="str">
        <f>IF(E27="decimal","Count Output","Count Output           0x")</f>
        <v>Count Output</v>
      </c>
      <c r="D27" s="45">
        <v>7154</v>
      </c>
      <c r="E27" s="266" t="s">
        <v>363</v>
      </c>
      <c r="F27" t="s">
        <v>167</v>
      </c>
    </row>
    <row r="28" spans="2:9" hidden="1" x14ac:dyDescent="0.15">
      <c r="C28" s="72"/>
      <c r="D28" s="118">
        <f>IF(E27="Hex",HEX2DEC(D27),D27)</f>
        <v>7154</v>
      </c>
      <c r="E28" s="8" t="s">
        <v>360</v>
      </c>
    </row>
    <row r="29" spans="2:9" x14ac:dyDescent="0.15">
      <c r="C29" s="72" t="s">
        <v>333</v>
      </c>
      <c r="D29" s="37">
        <f>IF(D25="LDC1101",16,8)</f>
        <v>8</v>
      </c>
      <c r="E29" s="8" t="s">
        <v>0</v>
      </c>
    </row>
    <row r="30" spans="2:9" x14ac:dyDescent="0.15">
      <c r="C30" s="72" t="s">
        <v>19</v>
      </c>
      <c r="D30" s="264">
        <v>8</v>
      </c>
      <c r="E30" s="8" t="s">
        <v>0</v>
      </c>
      <c r="F30" t="s">
        <v>1077</v>
      </c>
    </row>
    <row r="31" spans="2:9" x14ac:dyDescent="0.15">
      <c r="C31" s="72" t="s">
        <v>334</v>
      </c>
      <c r="D31" s="37">
        <f>IF(D25="LDC1101",10,5)</f>
        <v>5</v>
      </c>
      <c r="E31" s="8" t="s">
        <v>0</v>
      </c>
      <c r="F31" s="18"/>
    </row>
    <row r="32" spans="2:9" x14ac:dyDescent="0.15">
      <c r="C32" s="72" t="s">
        <v>2</v>
      </c>
      <c r="D32" s="27">
        <f>D30*D26/(3*D28)</f>
        <v>2.2901873077998323</v>
      </c>
      <c r="E32" s="74" t="s">
        <v>0</v>
      </c>
      <c r="F32" s="71" t="str">
        <f>IF(D32&gt;D31,"Note: This sensor frequency is higher than specified max"," ")</f>
        <v xml:space="preserve"> </v>
      </c>
    </row>
    <row r="33" spans="2:17" x14ac:dyDescent="0.15">
      <c r="C33" s="72" t="s">
        <v>264</v>
      </c>
      <c r="D33" s="45">
        <v>220</v>
      </c>
      <c r="E33" s="8" t="s">
        <v>99</v>
      </c>
      <c r="F33" t="s">
        <v>265</v>
      </c>
    </row>
    <row r="34" spans="2:17" hidden="1" x14ac:dyDescent="0.15">
      <c r="C34" s="73"/>
      <c r="D34" s="78">
        <f>D33*0.000000000001</f>
        <v>2.1999999999999999E-10</v>
      </c>
      <c r="E34" s="24" t="s">
        <v>97</v>
      </c>
      <c r="F34" s="18"/>
    </row>
    <row r="35" spans="2:17" hidden="1" x14ac:dyDescent="0.15">
      <c r="C35" s="73"/>
      <c r="D35" s="79">
        <f>1/(D34*(D32*1000000*2*PI())^2)</f>
        <v>2.1952074882992174E-5</v>
      </c>
      <c r="E35" s="24" t="s">
        <v>1</v>
      </c>
      <c r="F35" s="18"/>
    </row>
    <row r="36" spans="2:17" ht="14.25" x14ac:dyDescent="0.2">
      <c r="C36" s="72" t="s">
        <v>100</v>
      </c>
      <c r="D36" s="35">
        <f>D35*1000000</f>
        <v>21.952074882992175</v>
      </c>
      <c r="E36" s="23" t="s">
        <v>96</v>
      </c>
    </row>
    <row r="37" spans="2:17" x14ac:dyDescent="0.15">
      <c r="C37" s="72" t="s">
        <v>257</v>
      </c>
      <c r="D37" s="62">
        <f>1/(D28/D32/1000)</f>
        <v>0.32012682524459496</v>
      </c>
      <c r="E37" s="8" t="s">
        <v>202</v>
      </c>
    </row>
    <row r="38" spans="2:17" x14ac:dyDescent="0.15">
      <c r="E38" s="8"/>
    </row>
    <row r="39" spans="2:17" ht="16.5" x14ac:dyDescent="0.25">
      <c r="B39" s="9" t="s">
        <v>1075</v>
      </c>
    </row>
    <row r="40" spans="2:17" x14ac:dyDescent="0.15">
      <c r="C40" s="61" t="s">
        <v>15</v>
      </c>
      <c r="D40" s="268" t="s">
        <v>10</v>
      </c>
    </row>
    <row r="41" spans="2:17" ht="15" x14ac:dyDescent="0.25">
      <c r="C41" s="121" t="s">
        <v>337</v>
      </c>
      <c r="D41" s="45">
        <v>1.026</v>
      </c>
      <c r="E41" s="19" t="s">
        <v>340</v>
      </c>
      <c r="F41" t="str">
        <f>IF(D42&lt;D41,"RP Min must be less than Rpmax setting!","Register 0x01")</f>
        <v>Register 0x01</v>
      </c>
    </row>
    <row r="42" spans="2:17" ht="15" x14ac:dyDescent="0.25">
      <c r="C42" s="121" t="s">
        <v>336</v>
      </c>
      <c r="D42" s="45">
        <v>27.704000000000001</v>
      </c>
      <c r="E42" s="19" t="s">
        <v>340</v>
      </c>
      <c r="F42" t="str">
        <f>IF(D42&lt;D41,"RP Min must be less than Rpmax setting!",IF(D40="LDC1101","Register 0x01", "Register 0x02"))</f>
        <v>Register 0x02</v>
      </c>
    </row>
    <row r="43" spans="2:17" ht="14.25" hidden="1" x14ac:dyDescent="0.2">
      <c r="C43" s="121" t="s">
        <v>342</v>
      </c>
      <c r="D43" s="151">
        <f>IF(D40="LDC1041/1051",255,IF(D40="LDC1000",32768,IF(D40="LDC1101",65535)))</f>
        <v>32768</v>
      </c>
      <c r="E43" s="21" t="s">
        <v>360</v>
      </c>
      <c r="O43" s="45" t="s">
        <v>228</v>
      </c>
      <c r="P43" s="27" t="e">
        <f>IF(O43="fsensor",0.000001/(2*PI()*SQRT(#REF!*0.000001*#REF!*0.000000000001)),IF(O43="C",1000000000000/((#REF!*0.000001)*(2*PI()*#REF!*1000000)^2),1000000/((#REF!*0.000000000001)*(2*PI()*#REF!*1000000)^2)))</f>
        <v>#REF!</v>
      </c>
      <c r="Q43" s="28" t="str">
        <f>IF(O43="fsensor","MHz",IF(O43="L","µH","pF"))</f>
        <v>MHz</v>
      </c>
    </row>
    <row r="44" spans="2:17" x14ac:dyDescent="0.15">
      <c r="C44" s="121" t="str">
        <f>IF(E44="Hex","RP Data Output                0x","RP Data Output")</f>
        <v>RP Data Output</v>
      </c>
      <c r="D44" s="45">
        <v>10000</v>
      </c>
      <c r="E44" s="266" t="s">
        <v>360</v>
      </c>
      <c r="F44" t="str">
        <f>IF(D45&gt;D43,"Output Code exceeds maximum for device!",IF(D40="LDC1041/1051","LDC output from Register 0x22","LDC output from Registers [0x21:0x22]"))</f>
        <v>LDC output from Registers [0x21:0x22]</v>
      </c>
    </row>
    <row r="45" spans="2:17" hidden="1" x14ac:dyDescent="0.15">
      <c r="C45" s="121" t="s">
        <v>344</v>
      </c>
      <c r="D45" s="118">
        <f>IF(E44="Decimal",D44,HEX2DEC(D44))</f>
        <v>10000</v>
      </c>
      <c r="E45" s="8" t="s">
        <v>360</v>
      </c>
    </row>
    <row r="46" spans="2:17" ht="15" hidden="1" x14ac:dyDescent="0.25">
      <c r="C46" s="121" t="s">
        <v>343</v>
      </c>
      <c r="D46" s="113">
        <f>(D41*D42*1000)/(D41*1000*(1-D45/D43)+D42*1000*D45/D43)</f>
        <v>3.1005582313244457</v>
      </c>
      <c r="E46" s="19" t="s">
        <v>340</v>
      </c>
    </row>
    <row r="47" spans="2:17" ht="15" hidden="1" x14ac:dyDescent="0.25">
      <c r="C47" s="121" t="s">
        <v>341</v>
      </c>
      <c r="D47" s="113">
        <f>(D41*D42)/(D42*(1-D45/65535)+D41*(D45/65535))</f>
        <v>1.2027277829070482</v>
      </c>
      <c r="E47" s="19" t="s">
        <v>340</v>
      </c>
    </row>
    <row r="48" spans="2:17" ht="16.5" x14ac:dyDescent="0.25">
      <c r="C48" s="140" t="s">
        <v>364</v>
      </c>
      <c r="D48" s="478">
        <f>IF(D40="LDC1101",D47,(D41*D42*1000)/(D41*1000*(1-D45/D43)+D42*1000*D45/D43))</f>
        <v>3.1005582313244457</v>
      </c>
      <c r="E48" s="19" t="s">
        <v>340</v>
      </c>
    </row>
    <row r="49" spans="3:15" x14ac:dyDescent="0.15">
      <c r="F49" s="330"/>
      <c r="G49" s="330"/>
      <c r="H49" s="330"/>
      <c r="I49" s="330"/>
      <c r="J49" s="330"/>
      <c r="K49" s="330"/>
      <c r="L49" s="330"/>
      <c r="M49" s="330"/>
      <c r="N49" s="330"/>
      <c r="O49" s="330"/>
    </row>
    <row r="50" spans="3:15" x14ac:dyDescent="0.15">
      <c r="F50" s="330"/>
      <c r="G50" s="330"/>
      <c r="H50" s="330"/>
      <c r="I50" s="330"/>
      <c r="J50" s="330"/>
      <c r="K50" s="330"/>
      <c r="L50" s="330"/>
      <c r="M50" s="330"/>
      <c r="N50" s="330"/>
      <c r="O50" s="330"/>
    </row>
    <row r="51" spans="3:15" ht="17.25" x14ac:dyDescent="0.2">
      <c r="C51" s="154" t="s">
        <v>4</v>
      </c>
      <c r="D51" s="2"/>
      <c r="E51" s="2"/>
      <c r="F51" s="2"/>
      <c r="G51" s="155" t="s">
        <v>198</v>
      </c>
      <c r="H51" s="2"/>
      <c r="I51" s="2"/>
      <c r="J51" s="330"/>
      <c r="K51" s="330"/>
      <c r="L51" s="330"/>
      <c r="M51" s="330"/>
      <c r="N51" s="330"/>
      <c r="O51" s="330"/>
    </row>
    <row r="52" spans="3:15" ht="14.25" x14ac:dyDescent="0.15">
      <c r="C52" s="156" t="s">
        <v>216</v>
      </c>
      <c r="D52" s="2"/>
      <c r="E52" s="2"/>
      <c r="F52" s="2"/>
      <c r="G52" s="2"/>
      <c r="H52" s="2"/>
      <c r="I52" s="2"/>
      <c r="J52" s="330"/>
      <c r="K52" s="330"/>
      <c r="L52" s="330"/>
      <c r="M52" s="330"/>
      <c r="N52" s="330"/>
      <c r="O52" s="330"/>
    </row>
    <row r="53" spans="3:15" ht="14.25" x14ac:dyDescent="0.15">
      <c r="C53" s="156" t="s">
        <v>218</v>
      </c>
      <c r="D53" s="2"/>
      <c r="E53" s="2"/>
      <c r="F53" s="2"/>
      <c r="G53" s="2"/>
      <c r="H53" s="2"/>
      <c r="I53" s="2"/>
      <c r="J53" s="330"/>
      <c r="K53" s="330"/>
      <c r="L53" s="330"/>
      <c r="M53" s="330"/>
      <c r="N53" s="330"/>
      <c r="O53" s="330"/>
    </row>
    <row r="54" spans="3:15" ht="14.25" x14ac:dyDescent="0.15">
      <c r="C54" s="156" t="s">
        <v>217</v>
      </c>
      <c r="D54" s="2"/>
      <c r="E54" s="2"/>
      <c r="F54" s="2"/>
      <c r="G54" s="2"/>
      <c r="H54" s="2"/>
      <c r="I54" s="2"/>
      <c r="J54" s="330"/>
      <c r="K54" s="330"/>
      <c r="L54" s="330"/>
      <c r="M54" s="330"/>
      <c r="N54" s="330"/>
      <c r="O54" s="330"/>
    </row>
    <row r="55" spans="3:15" ht="14.25" x14ac:dyDescent="0.15">
      <c r="C55" s="157" t="s">
        <v>11</v>
      </c>
      <c r="D55" s="2"/>
      <c r="E55" s="2"/>
      <c r="F55" s="2"/>
      <c r="G55" s="2"/>
      <c r="H55" s="2"/>
      <c r="I55" s="2"/>
      <c r="J55" s="330"/>
      <c r="K55" s="330"/>
      <c r="L55" s="330"/>
      <c r="M55" s="330"/>
      <c r="N55" s="330"/>
      <c r="O55" s="330"/>
    </row>
    <row r="56" spans="3:15" ht="17.25" x14ac:dyDescent="0.2">
      <c r="C56" s="154"/>
      <c r="D56" s="2"/>
      <c r="E56" s="2"/>
      <c r="F56" s="2"/>
      <c r="G56" s="2"/>
      <c r="H56" s="2"/>
      <c r="I56" s="2"/>
      <c r="J56" s="330"/>
      <c r="K56" s="330"/>
      <c r="L56" s="330"/>
      <c r="M56" s="330"/>
      <c r="N56" s="330"/>
      <c r="O56" s="330"/>
    </row>
    <row r="57" spans="3:15" x14ac:dyDescent="0.15">
      <c r="C57" s="285" t="s">
        <v>6</v>
      </c>
      <c r="D57" s="2"/>
      <c r="E57" s="2"/>
      <c r="F57" s="2"/>
      <c r="G57" s="2"/>
      <c r="H57" s="2"/>
      <c r="I57" s="2"/>
      <c r="J57" s="330"/>
      <c r="K57" s="330"/>
      <c r="L57" s="330"/>
      <c r="M57" s="330"/>
      <c r="N57" s="330"/>
      <c r="O57" s="330"/>
    </row>
    <row r="58" spans="3:15" x14ac:dyDescent="0.15">
      <c r="C58" s="1" t="s">
        <v>7</v>
      </c>
      <c r="D58" s="52" t="s">
        <v>10</v>
      </c>
      <c r="E58" s="2"/>
      <c r="F58" s="2"/>
      <c r="G58" s="2"/>
      <c r="H58" s="2"/>
      <c r="I58" s="2"/>
      <c r="J58" s="330"/>
      <c r="K58" s="330"/>
      <c r="L58" s="330"/>
      <c r="M58" s="330"/>
      <c r="N58" s="330"/>
      <c r="O58" s="330"/>
    </row>
    <row r="59" spans="3:15" x14ac:dyDescent="0.15">
      <c r="C59" s="2" t="s">
        <v>204</v>
      </c>
      <c r="D59" s="49">
        <f>INDEX(D87:D92,MATCH(D58,C87:C92,0))</f>
        <v>5</v>
      </c>
      <c r="E59" s="2" t="s">
        <v>0</v>
      </c>
      <c r="F59" s="2"/>
      <c r="G59" s="2"/>
      <c r="H59" s="2"/>
      <c r="I59" s="2"/>
      <c r="J59" s="330"/>
      <c r="K59" s="330"/>
      <c r="L59" s="330"/>
      <c r="M59" s="330"/>
      <c r="N59" s="330"/>
      <c r="O59" s="330"/>
    </row>
    <row r="60" spans="3:15" x14ac:dyDescent="0.15">
      <c r="C60" s="2" t="s">
        <v>205</v>
      </c>
      <c r="D60" s="286">
        <f>INDEX(E87:E92,MATCH(D58,C87:C92,0))</f>
        <v>5.0000000000000001E-3</v>
      </c>
      <c r="E60" s="2" t="s">
        <v>0</v>
      </c>
      <c r="F60" s="2"/>
      <c r="G60" s="2"/>
      <c r="H60" s="2"/>
      <c r="I60" s="2"/>
      <c r="J60" s="330"/>
      <c r="K60" s="330"/>
      <c r="L60" s="330"/>
      <c r="M60" s="330"/>
      <c r="N60" s="330"/>
      <c r="O60" s="330"/>
    </row>
    <row r="61" spans="3:15" ht="15" x14ac:dyDescent="0.25">
      <c r="C61" s="2" t="s">
        <v>206</v>
      </c>
      <c r="D61" s="45">
        <v>0.7</v>
      </c>
      <c r="E61" s="2" t="s">
        <v>16</v>
      </c>
      <c r="F61" s="2"/>
      <c r="G61" s="2"/>
      <c r="H61" s="2"/>
      <c r="I61" s="2"/>
      <c r="J61" s="330"/>
      <c r="K61" s="330"/>
      <c r="L61" s="330"/>
      <c r="M61" s="330"/>
      <c r="N61" s="330"/>
      <c r="O61" s="330"/>
    </row>
    <row r="62" spans="3:15" hidden="1" x14ac:dyDescent="0.15">
      <c r="C62" s="3"/>
      <c r="D62" s="346">
        <v>299790000</v>
      </c>
      <c r="E62" s="3"/>
      <c r="F62" s="2"/>
      <c r="G62" s="2"/>
      <c r="H62" s="2"/>
      <c r="I62" s="2"/>
      <c r="J62" s="330"/>
      <c r="K62" s="330"/>
      <c r="L62" s="330"/>
      <c r="M62" s="330"/>
      <c r="N62" s="330"/>
      <c r="O62" s="330"/>
    </row>
    <row r="63" spans="3:15" x14ac:dyDescent="0.15">
      <c r="C63" s="2" t="s">
        <v>207</v>
      </c>
      <c r="D63" s="46">
        <v>3.5</v>
      </c>
      <c r="E63" s="2" t="s">
        <v>0</v>
      </c>
      <c r="F63" s="2"/>
      <c r="G63" s="2"/>
      <c r="H63" s="2"/>
      <c r="I63" s="2"/>
      <c r="J63" s="330"/>
      <c r="K63" s="330"/>
      <c r="L63" s="330"/>
      <c r="M63" s="330"/>
      <c r="N63" s="330"/>
      <c r="O63" s="330"/>
    </row>
    <row r="64" spans="3:15" hidden="1" x14ac:dyDescent="0.15">
      <c r="C64" s="3"/>
      <c r="D64" s="83">
        <f>INDEX(F87:F92,MATCH(D58,C87:C92,0))</f>
        <v>5</v>
      </c>
      <c r="E64" s="123"/>
      <c r="F64" s="2"/>
      <c r="G64" s="2"/>
      <c r="H64" s="2"/>
      <c r="I64" s="2"/>
      <c r="J64" s="330"/>
      <c r="K64" s="330"/>
      <c r="L64" s="330"/>
      <c r="M64" s="330"/>
      <c r="N64" s="330"/>
      <c r="O64" s="330"/>
    </row>
    <row r="65" spans="3:15" hidden="1" x14ac:dyDescent="0.15">
      <c r="C65" s="3"/>
      <c r="D65" s="83">
        <f>INDEX(G87:G92,MATCH(D58,C87:C92,0))</f>
        <v>10</v>
      </c>
      <c r="E65" s="123"/>
      <c r="F65" s="2"/>
      <c r="G65" s="2"/>
      <c r="H65" s="2"/>
      <c r="I65" s="2"/>
      <c r="J65" s="330"/>
      <c r="K65" s="330"/>
      <c r="L65" s="330"/>
      <c r="M65" s="330"/>
      <c r="N65" s="330"/>
      <c r="O65" s="330"/>
    </row>
    <row r="66" spans="3:15" hidden="1" x14ac:dyDescent="0.15">
      <c r="C66" s="3"/>
      <c r="D66" s="83">
        <f>D65/360/(D63*1000000)</f>
        <v>7.9365079365079361E-9</v>
      </c>
      <c r="E66" s="123"/>
      <c r="F66" s="2"/>
      <c r="G66" s="2"/>
      <c r="H66" s="2"/>
      <c r="I66" s="2"/>
      <c r="J66" s="330"/>
      <c r="K66" s="330"/>
      <c r="L66" s="330"/>
      <c r="M66" s="330"/>
      <c r="N66" s="330"/>
      <c r="O66" s="330"/>
    </row>
    <row r="67" spans="3:15" hidden="1" x14ac:dyDescent="0.15">
      <c r="C67" s="3"/>
      <c r="D67" s="83">
        <f>(D66-(D64*0.000000001))/2</f>
        <v>1.468253968253968E-9</v>
      </c>
      <c r="E67" s="3"/>
      <c r="F67" s="2"/>
      <c r="G67" s="2"/>
      <c r="H67" s="2"/>
      <c r="I67" s="2"/>
      <c r="J67" s="330"/>
      <c r="K67" s="330"/>
      <c r="L67" s="330"/>
      <c r="M67" s="330"/>
      <c r="N67" s="330"/>
      <c r="O67" s="330"/>
    </row>
    <row r="68" spans="3:15" ht="14.25" x14ac:dyDescent="0.15">
      <c r="C68" s="1" t="s">
        <v>5</v>
      </c>
      <c r="D68" s="48">
        <f>MAX(50*D67*D61*D62,1)</f>
        <v>15.405874999999995</v>
      </c>
      <c r="E68" s="2" t="s">
        <v>3</v>
      </c>
      <c r="F68" s="2"/>
      <c r="G68" s="2"/>
      <c r="H68" s="2"/>
      <c r="I68" s="2"/>
      <c r="J68" s="330"/>
      <c r="K68" s="330"/>
      <c r="L68" s="330"/>
      <c r="M68" s="330"/>
      <c r="N68" s="330"/>
      <c r="O68" s="330"/>
    </row>
    <row r="69" spans="3:15" x14ac:dyDescent="0.15">
      <c r="C69" s="2"/>
      <c r="D69" s="2"/>
      <c r="E69" s="2"/>
      <c r="F69" s="2"/>
      <c r="G69" s="2"/>
      <c r="H69" s="2"/>
      <c r="I69" s="2"/>
      <c r="J69" s="330"/>
      <c r="K69" s="330"/>
      <c r="L69" s="330"/>
      <c r="M69" s="330"/>
      <c r="N69" s="330"/>
      <c r="O69" s="330"/>
    </row>
    <row r="70" spans="3:15" x14ac:dyDescent="0.15">
      <c r="C70" s="287" t="s">
        <v>8</v>
      </c>
      <c r="D70" s="2"/>
      <c r="E70" s="2"/>
      <c r="F70" s="2"/>
      <c r="G70" s="2"/>
      <c r="H70" s="2"/>
      <c r="I70" s="2"/>
      <c r="J70" s="330"/>
      <c r="K70" s="330"/>
      <c r="L70" s="330"/>
      <c r="M70" s="330"/>
      <c r="N70" s="330"/>
      <c r="O70" s="330"/>
    </row>
    <row r="71" spans="3:15" x14ac:dyDescent="0.15">
      <c r="C71" s="175" t="s">
        <v>208</v>
      </c>
      <c r="D71" s="51">
        <v>15</v>
      </c>
      <c r="E71" s="175" t="s">
        <v>3</v>
      </c>
      <c r="F71" s="2"/>
      <c r="G71" s="2"/>
      <c r="H71" s="2"/>
      <c r="I71" s="2"/>
      <c r="J71" s="330"/>
      <c r="K71" s="330"/>
      <c r="L71" s="330"/>
      <c r="M71" s="330"/>
      <c r="N71" s="330"/>
      <c r="O71" s="330"/>
    </row>
    <row r="72" spans="3:15" hidden="1" x14ac:dyDescent="0.15">
      <c r="C72" s="288"/>
      <c r="D72" s="289">
        <f>0.02*D71/D62</f>
        <v>1.0007004903432402E-9</v>
      </c>
      <c r="E72" s="288"/>
      <c r="F72" s="2"/>
      <c r="G72" s="2"/>
      <c r="H72" s="2"/>
      <c r="I72" s="2"/>
      <c r="J72" s="330"/>
      <c r="K72" s="330"/>
      <c r="L72" s="330"/>
      <c r="M72" s="330"/>
      <c r="N72" s="330"/>
      <c r="O72" s="330"/>
    </row>
    <row r="73" spans="3:15" hidden="1" x14ac:dyDescent="0.15">
      <c r="C73" s="288"/>
      <c r="D73" s="289">
        <f>D72*2/D61</f>
        <v>2.8591442581235437E-9</v>
      </c>
      <c r="E73" s="288"/>
      <c r="F73" s="2"/>
      <c r="G73" s="2"/>
      <c r="H73" s="2"/>
      <c r="I73" s="2"/>
      <c r="J73" s="330"/>
      <c r="K73" s="330"/>
      <c r="L73" s="330"/>
      <c r="M73" s="330"/>
      <c r="N73" s="330"/>
      <c r="O73" s="330"/>
    </row>
    <row r="74" spans="3:15" hidden="1" x14ac:dyDescent="0.15">
      <c r="C74" s="288"/>
      <c r="D74" s="289">
        <f>D73+(D64*0.000000001)</f>
        <v>7.8591442581235438E-9</v>
      </c>
      <c r="E74" s="288"/>
      <c r="F74" s="2"/>
      <c r="G74" s="2"/>
      <c r="H74" s="2"/>
      <c r="I74" s="2"/>
      <c r="J74" s="330"/>
      <c r="K74" s="330"/>
      <c r="L74" s="330"/>
      <c r="M74" s="330"/>
      <c r="N74" s="330"/>
      <c r="O74" s="330"/>
    </row>
    <row r="75" spans="3:15" hidden="1" x14ac:dyDescent="0.15">
      <c r="C75" s="288"/>
      <c r="D75" s="289">
        <f>D65/(360*D74)</f>
        <v>3534453.226134066</v>
      </c>
      <c r="E75" s="288"/>
      <c r="F75" s="2"/>
      <c r="G75" s="2"/>
      <c r="H75" s="2"/>
      <c r="I75" s="2"/>
      <c r="J75" s="330"/>
      <c r="K75" s="330"/>
      <c r="L75" s="330"/>
      <c r="M75" s="330"/>
      <c r="N75" s="330"/>
      <c r="O75" s="330"/>
    </row>
    <row r="76" spans="3:15" ht="14.25" x14ac:dyDescent="0.15">
      <c r="C76" s="290" t="s">
        <v>9</v>
      </c>
      <c r="D76" s="291">
        <f>D75*0.000001</f>
        <v>3.5344532261340658</v>
      </c>
      <c r="E76" s="175" t="s">
        <v>0</v>
      </c>
      <c r="F76" s="2"/>
      <c r="G76" s="2"/>
      <c r="H76" s="2"/>
      <c r="I76" s="2"/>
      <c r="J76" s="330"/>
      <c r="K76" s="330"/>
      <c r="L76" s="330"/>
      <c r="M76" s="330"/>
      <c r="N76" s="330"/>
      <c r="O76" s="330"/>
    </row>
    <row r="77" spans="3:15" x14ac:dyDescent="0.15">
      <c r="C77" s="2"/>
      <c r="D77" s="2"/>
      <c r="E77" s="2"/>
      <c r="F77" s="2"/>
      <c r="G77" s="2"/>
      <c r="H77" s="2"/>
      <c r="I77" s="2"/>
      <c r="J77" s="330"/>
      <c r="K77" s="330"/>
      <c r="L77" s="330"/>
      <c r="M77" s="330"/>
      <c r="N77" s="330"/>
      <c r="O77" s="330"/>
    </row>
    <row r="78" spans="3:15" x14ac:dyDescent="0.15">
      <c r="C78" s="162" t="s">
        <v>203</v>
      </c>
      <c r="D78" s="2"/>
      <c r="E78" s="2"/>
      <c r="F78" s="2"/>
      <c r="G78" s="2"/>
      <c r="H78" s="2"/>
      <c r="I78" s="2"/>
      <c r="J78" s="330"/>
      <c r="K78" s="330"/>
      <c r="L78" s="330"/>
      <c r="M78" s="330"/>
      <c r="N78" s="330"/>
      <c r="O78" s="330"/>
    </row>
    <row r="79" spans="3:15" x14ac:dyDescent="0.15">
      <c r="C79" s="162" t="s">
        <v>12</v>
      </c>
      <c r="D79" s="2"/>
      <c r="E79" s="2"/>
      <c r="F79" s="2"/>
      <c r="G79" s="2"/>
      <c r="H79" s="2"/>
      <c r="I79" s="2"/>
      <c r="J79" s="330"/>
      <c r="K79" s="330"/>
      <c r="L79" s="330"/>
      <c r="M79" s="330"/>
      <c r="N79" s="330"/>
      <c r="O79" s="330"/>
    </row>
    <row r="80" spans="3:15" x14ac:dyDescent="0.15">
      <c r="C80" s="162" t="s">
        <v>95</v>
      </c>
      <c r="D80" s="2"/>
      <c r="E80" s="2"/>
      <c r="F80" s="2"/>
      <c r="G80" s="2"/>
      <c r="H80" s="2"/>
      <c r="I80" s="2"/>
      <c r="J80" s="330"/>
      <c r="K80" s="330"/>
      <c r="L80" s="330"/>
      <c r="M80" s="330"/>
      <c r="N80" s="330"/>
      <c r="O80" s="330"/>
    </row>
    <row r="81" spans="1:15" x14ac:dyDescent="0.15">
      <c r="C81" s="2" t="s">
        <v>330</v>
      </c>
      <c r="D81" s="2"/>
      <c r="E81" s="2"/>
      <c r="F81" s="2"/>
      <c r="G81" s="2"/>
      <c r="H81" s="2"/>
      <c r="I81" s="2"/>
      <c r="J81" s="330"/>
      <c r="K81" s="330"/>
      <c r="L81" s="330"/>
      <c r="M81" s="330"/>
      <c r="N81" s="330"/>
      <c r="O81" s="330"/>
    </row>
    <row r="82" spans="1:15" x14ac:dyDescent="0.15">
      <c r="C82" s="2"/>
      <c r="D82" s="2"/>
      <c r="E82" s="2"/>
      <c r="F82" s="2"/>
      <c r="G82" s="2"/>
      <c r="H82" s="2"/>
      <c r="I82" s="2"/>
      <c r="J82" s="330"/>
      <c r="K82" s="330"/>
      <c r="L82" s="330"/>
      <c r="M82" s="330"/>
      <c r="N82" s="330"/>
      <c r="O82" s="330"/>
    </row>
    <row r="83" spans="1:15" x14ac:dyDescent="0.15">
      <c r="C83" s="2"/>
      <c r="D83" s="2"/>
      <c r="E83" s="2"/>
      <c r="F83" s="2"/>
      <c r="G83" s="2"/>
      <c r="H83" s="2"/>
      <c r="I83" s="2"/>
      <c r="J83" s="330"/>
      <c r="K83" s="330"/>
      <c r="L83" s="330"/>
      <c r="M83" s="330"/>
      <c r="N83" s="330"/>
      <c r="O83" s="330"/>
    </row>
    <row r="84" spans="1:15" ht="14.25" x14ac:dyDescent="0.15">
      <c r="C84" s="63"/>
      <c r="D84" s="12"/>
      <c r="E84" s="12"/>
      <c r="F84" s="2"/>
      <c r="G84" s="2"/>
      <c r="H84" s="2"/>
      <c r="I84" s="2"/>
      <c r="J84" s="330"/>
      <c r="K84" s="330"/>
      <c r="L84" s="330"/>
      <c r="M84" s="330"/>
      <c r="N84" s="330"/>
      <c r="O84" s="330"/>
    </row>
    <row r="85" spans="1:15" x14ac:dyDescent="0.15">
      <c r="C85" s="1"/>
      <c r="D85" s="2"/>
      <c r="E85" s="2"/>
      <c r="F85" s="2"/>
      <c r="G85" s="2"/>
      <c r="H85" s="2"/>
      <c r="I85" s="2"/>
      <c r="J85" s="330"/>
      <c r="K85" s="330"/>
      <c r="L85" s="330"/>
      <c r="M85" s="330"/>
      <c r="N85" s="330"/>
      <c r="O85" s="330"/>
    </row>
    <row r="86" spans="1:15" x14ac:dyDescent="0.15">
      <c r="C86" s="292"/>
      <c r="D86" s="2"/>
      <c r="E86" s="2"/>
      <c r="F86" s="2"/>
      <c r="G86" s="2"/>
      <c r="H86" s="2"/>
      <c r="I86" s="2"/>
      <c r="J86" s="330"/>
      <c r="K86" s="330"/>
      <c r="L86" s="330"/>
      <c r="M86" s="330"/>
      <c r="N86" s="330"/>
      <c r="O86" s="330"/>
    </row>
    <row r="87" spans="1:15" ht="17.25" hidden="1" x14ac:dyDescent="0.2">
      <c r="C87" s="293" t="s">
        <v>15</v>
      </c>
      <c r="D87" s="294" t="s">
        <v>13</v>
      </c>
      <c r="E87" s="294" t="s">
        <v>14</v>
      </c>
      <c r="F87" s="295"/>
      <c r="G87" s="295"/>
      <c r="H87" s="2"/>
      <c r="I87" s="2"/>
      <c r="J87" s="330"/>
      <c r="K87" s="330"/>
      <c r="L87" s="330"/>
      <c r="M87" s="330"/>
      <c r="N87" s="330"/>
      <c r="O87" s="330"/>
    </row>
    <row r="88" spans="1:15" hidden="1" x14ac:dyDescent="0.15">
      <c r="C88" s="296" t="s">
        <v>10</v>
      </c>
      <c r="D88" s="297">
        <v>5</v>
      </c>
      <c r="E88" s="297">
        <v>5.0000000000000001E-3</v>
      </c>
      <c r="F88" s="297">
        <v>5</v>
      </c>
      <c r="G88" s="297">
        <v>10</v>
      </c>
      <c r="H88" s="2"/>
      <c r="I88" s="2"/>
      <c r="J88" s="330"/>
      <c r="K88" s="330"/>
      <c r="L88" s="330"/>
      <c r="M88" s="330"/>
      <c r="N88" s="330"/>
      <c r="O88" s="330"/>
    </row>
    <row r="89" spans="1:15" hidden="1" x14ac:dyDescent="0.15">
      <c r="C89" s="296" t="s">
        <v>183</v>
      </c>
      <c r="D89" s="297">
        <v>5</v>
      </c>
      <c r="E89" s="297">
        <v>5.0000000000000001E-3</v>
      </c>
      <c r="F89" s="297">
        <v>5</v>
      </c>
      <c r="G89" s="297">
        <v>10</v>
      </c>
      <c r="H89" s="2"/>
      <c r="I89" s="2"/>
      <c r="J89" s="330"/>
      <c r="K89" s="330"/>
      <c r="L89" s="330"/>
      <c r="M89" s="330"/>
      <c r="N89" s="330"/>
      <c r="O89" s="330"/>
    </row>
    <row r="90" spans="1:15" hidden="1" x14ac:dyDescent="0.15">
      <c r="C90" s="296" t="s">
        <v>214</v>
      </c>
      <c r="D90" s="297">
        <v>10</v>
      </c>
      <c r="E90" s="297">
        <v>1E-3</v>
      </c>
      <c r="F90" s="297">
        <v>6</v>
      </c>
      <c r="G90" s="297">
        <v>14</v>
      </c>
      <c r="H90" s="2"/>
      <c r="I90" s="2"/>
      <c r="J90" s="330"/>
      <c r="K90" s="330"/>
      <c r="L90" s="330"/>
      <c r="M90" s="330"/>
      <c r="N90" s="330"/>
      <c r="O90" s="330"/>
    </row>
    <row r="91" spans="1:15" hidden="1" x14ac:dyDescent="0.15">
      <c r="C91" s="296" t="s">
        <v>215</v>
      </c>
      <c r="D91" s="297">
        <v>10</v>
      </c>
      <c r="E91" s="297">
        <v>1E-3</v>
      </c>
      <c r="F91" s="297">
        <v>6</v>
      </c>
      <c r="G91" s="297">
        <v>14</v>
      </c>
      <c r="H91" s="2"/>
      <c r="I91" s="298"/>
      <c r="J91" s="344"/>
      <c r="K91" s="330"/>
      <c r="L91" s="330"/>
      <c r="M91" s="330"/>
      <c r="N91" s="330"/>
      <c r="O91" s="330"/>
    </row>
    <row r="92" spans="1:15" hidden="1" x14ac:dyDescent="0.15">
      <c r="C92" s="297" t="s">
        <v>332</v>
      </c>
      <c r="D92" s="297">
        <v>10</v>
      </c>
      <c r="E92" s="297">
        <v>0.5</v>
      </c>
      <c r="F92" s="297">
        <v>5</v>
      </c>
      <c r="G92" s="297">
        <v>20</v>
      </c>
      <c r="H92" s="2"/>
      <c r="I92" s="198"/>
      <c r="J92" s="345"/>
      <c r="K92" s="330"/>
      <c r="L92" s="330"/>
      <c r="M92" s="330"/>
      <c r="N92" s="330"/>
      <c r="O92" s="330"/>
    </row>
    <row r="93" spans="1:15" x14ac:dyDescent="0.15">
      <c r="C93" s="2"/>
      <c r="D93" s="2"/>
      <c r="E93" s="2"/>
      <c r="F93" s="2"/>
      <c r="G93" s="2"/>
      <c r="H93" s="2"/>
      <c r="I93" s="198"/>
      <c r="J93" s="345"/>
      <c r="K93" s="330"/>
      <c r="L93" s="330"/>
      <c r="M93" s="330"/>
      <c r="N93" s="330"/>
      <c r="O93" s="330"/>
    </row>
    <row r="94" spans="1:15" x14ac:dyDescent="0.15">
      <c r="C94" s="330"/>
      <c r="D94" s="330"/>
      <c r="E94" s="330"/>
      <c r="F94" s="330"/>
      <c r="G94" s="330"/>
      <c r="H94" s="330"/>
      <c r="I94" s="345"/>
      <c r="J94" s="345"/>
      <c r="K94" s="330"/>
      <c r="L94" s="330"/>
      <c r="M94" s="330"/>
      <c r="N94" s="330"/>
      <c r="O94" s="330"/>
    </row>
    <row r="95" spans="1:15" x14ac:dyDescent="0.15">
      <c r="F95" s="330"/>
      <c r="G95" s="330"/>
      <c r="H95" s="330"/>
      <c r="I95" s="330"/>
      <c r="J95" s="330"/>
      <c r="K95" s="330"/>
      <c r="L95" s="330"/>
      <c r="M95" s="330"/>
      <c r="N95" s="330"/>
      <c r="O95" s="330"/>
    </row>
    <row r="96" spans="1:15" x14ac:dyDescent="0.15">
      <c r="A96" s="621"/>
      <c r="B96" s="621"/>
      <c r="F96" s="330"/>
      <c r="G96" s="330"/>
      <c r="H96" s="330"/>
      <c r="I96" s="330"/>
      <c r="J96" s="330"/>
      <c r="K96" s="330"/>
      <c r="L96" s="330"/>
      <c r="M96" s="330"/>
      <c r="N96" s="330"/>
      <c r="O96" s="330"/>
    </row>
    <row r="97" spans="1:15" x14ac:dyDescent="0.15">
      <c r="A97" s="621"/>
      <c r="B97" s="621"/>
      <c r="F97" s="330"/>
      <c r="G97" s="330"/>
      <c r="H97" s="330"/>
      <c r="I97" s="330"/>
      <c r="J97" s="330"/>
      <c r="K97" s="330"/>
      <c r="L97" s="330"/>
      <c r="M97" s="330"/>
      <c r="N97" s="330"/>
      <c r="O97" s="330"/>
    </row>
    <row r="98" spans="1:15" x14ac:dyDescent="0.15">
      <c r="A98" s="621"/>
      <c r="B98" s="621"/>
      <c r="F98" s="330"/>
      <c r="G98" s="330"/>
      <c r="H98" s="330"/>
      <c r="I98" s="330"/>
      <c r="J98" s="330"/>
      <c r="K98" s="330"/>
      <c r="L98" s="330"/>
      <c r="M98" s="330"/>
      <c r="N98" s="330"/>
      <c r="O98" s="330"/>
    </row>
    <row r="99" spans="1:15" x14ac:dyDescent="0.15">
      <c r="A99" s="621"/>
      <c r="B99" s="621"/>
      <c r="F99" s="330"/>
      <c r="G99" s="330"/>
      <c r="H99" s="330"/>
      <c r="I99" s="330"/>
      <c r="J99" s="330"/>
      <c r="K99" s="330"/>
      <c r="L99" s="330"/>
      <c r="M99" s="330"/>
      <c r="N99" s="330"/>
      <c r="O99" s="330"/>
    </row>
    <row r="100" spans="1:15" x14ac:dyDescent="0.15">
      <c r="A100" s="621"/>
      <c r="B100" s="621"/>
      <c r="F100" s="330"/>
      <c r="G100" s="330"/>
      <c r="H100" s="330"/>
      <c r="I100" s="330"/>
      <c r="J100" s="330"/>
      <c r="K100" s="330"/>
      <c r="L100" s="330"/>
      <c r="M100" s="330"/>
      <c r="N100" s="330"/>
      <c r="O100" s="330"/>
    </row>
    <row r="101" spans="1:15" x14ac:dyDescent="0.15">
      <c r="A101" s="621"/>
      <c r="B101" s="621"/>
    </row>
    <row r="102" spans="1:15" x14ac:dyDescent="0.15">
      <c r="A102" s="621"/>
      <c r="B102" s="621"/>
    </row>
    <row r="103" spans="1:15" x14ac:dyDescent="0.15">
      <c r="A103" s="621"/>
      <c r="B103" s="621"/>
    </row>
    <row r="104" spans="1:15" x14ac:dyDescent="0.15">
      <c r="A104" s="621"/>
      <c r="B104" s="621"/>
    </row>
    <row r="110" spans="1:15" x14ac:dyDescent="0.15">
      <c r="C110" s="120" t="s">
        <v>339</v>
      </c>
      <c r="D110" s="120" t="s">
        <v>338</v>
      </c>
      <c r="E110" s="120"/>
    </row>
    <row r="111" spans="1:15" x14ac:dyDescent="0.15">
      <c r="C111" s="119">
        <f>IF(D$40="LDC1101",E111,D111)</f>
        <v>3926.991</v>
      </c>
      <c r="D111" s="119">
        <v>3926.991</v>
      </c>
      <c r="E111" s="119"/>
    </row>
    <row r="112" spans="1:15" x14ac:dyDescent="0.15">
      <c r="C112" s="119">
        <f t="shared" ref="C112:C142" si="0">IF(D$40="LDC1101",E112,D112)</f>
        <v>3141.5929999999998</v>
      </c>
      <c r="D112" s="119">
        <v>3141.5929999999998</v>
      </c>
      <c r="E112" s="119"/>
    </row>
    <row r="113" spans="3:5" x14ac:dyDescent="0.15">
      <c r="C113" s="119">
        <f t="shared" si="0"/>
        <v>2243.9949999999999</v>
      </c>
      <c r="D113" s="119">
        <v>2243.9949999999999</v>
      </c>
      <c r="E113" s="119"/>
    </row>
    <row r="114" spans="3:5" x14ac:dyDescent="0.15">
      <c r="C114" s="119">
        <f t="shared" si="0"/>
        <v>1745.329</v>
      </c>
      <c r="D114" s="119">
        <v>1745.329</v>
      </c>
      <c r="E114" s="119"/>
    </row>
    <row r="115" spans="3:5" x14ac:dyDescent="0.15">
      <c r="C115" s="119">
        <f t="shared" si="0"/>
        <v>1308.9970000000001</v>
      </c>
      <c r="D115" s="119">
        <v>1308.9970000000001</v>
      </c>
      <c r="E115" s="119"/>
    </row>
    <row r="116" spans="3:5" x14ac:dyDescent="0.15">
      <c r="C116" s="119">
        <f t="shared" si="0"/>
        <v>981.74800000000005</v>
      </c>
      <c r="D116" s="119">
        <v>981.74800000000005</v>
      </c>
      <c r="E116" s="119"/>
    </row>
    <row r="117" spans="3:5" x14ac:dyDescent="0.15">
      <c r="C117" s="119">
        <f t="shared" si="0"/>
        <v>747.99800000000005</v>
      </c>
      <c r="D117" s="119">
        <v>747.99800000000005</v>
      </c>
      <c r="E117" s="119"/>
    </row>
    <row r="118" spans="3:5" x14ac:dyDescent="0.15">
      <c r="C118" s="119">
        <f t="shared" si="0"/>
        <v>581.77599999999995</v>
      </c>
      <c r="D118" s="119">
        <v>581.77599999999995</v>
      </c>
      <c r="E118" s="119"/>
    </row>
    <row r="119" spans="3:5" x14ac:dyDescent="0.15">
      <c r="C119" s="119">
        <f t="shared" si="0"/>
        <v>436.33199999999999</v>
      </c>
      <c r="D119" s="119">
        <v>436.33199999999999</v>
      </c>
      <c r="E119" s="119"/>
    </row>
    <row r="120" spans="3:5" x14ac:dyDescent="0.15">
      <c r="C120" s="119">
        <f t="shared" si="0"/>
        <v>349.06599999999997</v>
      </c>
      <c r="D120" s="119">
        <v>349.06599999999997</v>
      </c>
      <c r="E120" s="119"/>
    </row>
    <row r="121" spans="3:5" x14ac:dyDescent="0.15">
      <c r="C121" s="119">
        <f t="shared" si="0"/>
        <v>249.333</v>
      </c>
      <c r="D121" s="119">
        <v>249.333</v>
      </c>
      <c r="E121" s="119"/>
    </row>
    <row r="122" spans="3:5" x14ac:dyDescent="0.15">
      <c r="C122" s="119">
        <f t="shared" si="0"/>
        <v>193.92599999999999</v>
      </c>
      <c r="D122" s="119">
        <v>193.92599999999999</v>
      </c>
      <c r="E122" s="119"/>
    </row>
    <row r="123" spans="3:5" x14ac:dyDescent="0.15">
      <c r="C123" s="119">
        <f t="shared" si="0"/>
        <v>145.44399999999999</v>
      </c>
      <c r="D123" s="119">
        <v>145.44399999999999</v>
      </c>
      <c r="E123" s="119"/>
    </row>
    <row r="124" spans="3:5" x14ac:dyDescent="0.15">
      <c r="C124" s="119">
        <f t="shared" si="0"/>
        <v>109.083</v>
      </c>
      <c r="D124" s="119">
        <v>109.083</v>
      </c>
      <c r="E124" s="119"/>
    </row>
    <row r="125" spans="3:5" x14ac:dyDescent="0.15">
      <c r="C125" s="119">
        <f t="shared" si="0"/>
        <v>83.111000000000004</v>
      </c>
      <c r="D125" s="119">
        <v>83.111000000000004</v>
      </c>
      <c r="E125" s="119"/>
    </row>
    <row r="126" spans="3:5" x14ac:dyDescent="0.15">
      <c r="C126" s="119">
        <f t="shared" si="0"/>
        <v>64.641999999999996</v>
      </c>
      <c r="D126" s="119">
        <v>64.641999999999996</v>
      </c>
      <c r="E126" s="119"/>
    </row>
    <row r="127" spans="3:5" x14ac:dyDescent="0.15">
      <c r="C127" s="119">
        <f t="shared" si="0"/>
        <v>48.481000000000002</v>
      </c>
      <c r="D127" s="119">
        <v>48.481000000000002</v>
      </c>
      <c r="E127" s="119"/>
    </row>
    <row r="128" spans="3:5" x14ac:dyDescent="0.15">
      <c r="C128" s="119">
        <f t="shared" si="0"/>
        <v>38.784999999999997</v>
      </c>
      <c r="D128" s="119">
        <v>38.784999999999997</v>
      </c>
      <c r="E128" s="119"/>
    </row>
    <row r="129" spans="3:5" x14ac:dyDescent="0.15">
      <c r="C129" s="119">
        <f t="shared" si="0"/>
        <v>27.704000000000001</v>
      </c>
      <c r="D129" s="119">
        <v>27.704000000000001</v>
      </c>
      <c r="E129" s="119"/>
    </row>
    <row r="130" spans="3:5" x14ac:dyDescent="0.15">
      <c r="C130" s="119">
        <f t="shared" si="0"/>
        <v>21.547000000000001</v>
      </c>
      <c r="D130" s="119">
        <v>21.547000000000001</v>
      </c>
      <c r="E130" s="119"/>
    </row>
    <row r="131" spans="3:5" x14ac:dyDescent="0.15">
      <c r="C131" s="119">
        <f t="shared" si="0"/>
        <v>16.16</v>
      </c>
      <c r="D131" s="119">
        <v>16.16</v>
      </c>
      <c r="E131" s="119"/>
    </row>
    <row r="132" spans="3:5" x14ac:dyDescent="0.15">
      <c r="C132" s="119">
        <f t="shared" si="0"/>
        <v>12.12</v>
      </c>
      <c r="D132" s="119">
        <v>12.12</v>
      </c>
      <c r="E132" s="119"/>
    </row>
    <row r="133" spans="3:5" x14ac:dyDescent="0.15">
      <c r="C133" s="119">
        <f t="shared" si="0"/>
        <v>9.2349999999999994</v>
      </c>
      <c r="D133" s="119">
        <v>9.2349999999999994</v>
      </c>
      <c r="E133" s="119"/>
    </row>
    <row r="134" spans="3:5" x14ac:dyDescent="0.15">
      <c r="C134" s="119">
        <f t="shared" si="0"/>
        <v>7.1820000000000004</v>
      </c>
      <c r="D134" s="119">
        <v>7.1820000000000004</v>
      </c>
      <c r="E134" s="119"/>
    </row>
    <row r="135" spans="3:5" x14ac:dyDescent="0.15">
      <c r="C135" s="119">
        <f t="shared" si="0"/>
        <v>5.3869999999999996</v>
      </c>
      <c r="D135" s="119">
        <v>5.3869999999999996</v>
      </c>
      <c r="E135" s="119"/>
    </row>
    <row r="136" spans="3:5" x14ac:dyDescent="0.15">
      <c r="C136" s="119">
        <f t="shared" si="0"/>
        <v>4.3090000000000002</v>
      </c>
      <c r="D136" s="119">
        <v>4.3090000000000002</v>
      </c>
      <c r="E136" s="119"/>
    </row>
    <row r="137" spans="3:5" x14ac:dyDescent="0.15">
      <c r="C137" s="119">
        <f t="shared" si="0"/>
        <v>3.0779999999999998</v>
      </c>
      <c r="D137" s="119">
        <v>3.0779999999999998</v>
      </c>
      <c r="E137" s="119"/>
    </row>
    <row r="138" spans="3:5" x14ac:dyDescent="0.15">
      <c r="C138" s="119">
        <f t="shared" si="0"/>
        <v>2.3940000000000001</v>
      </c>
      <c r="D138" s="119">
        <v>2.3940000000000001</v>
      </c>
      <c r="E138" s="119"/>
    </row>
    <row r="139" spans="3:5" x14ac:dyDescent="0.15">
      <c r="C139" s="119">
        <f t="shared" si="0"/>
        <v>1.796</v>
      </c>
      <c r="D139" s="119">
        <v>1.796</v>
      </c>
      <c r="E139" s="119"/>
    </row>
    <row r="140" spans="3:5" x14ac:dyDescent="0.15">
      <c r="C140" s="119">
        <f t="shared" si="0"/>
        <v>1.347</v>
      </c>
      <c r="D140" s="119">
        <v>1.347</v>
      </c>
      <c r="E140" s="119"/>
    </row>
    <row r="141" spans="3:5" x14ac:dyDescent="0.15">
      <c r="C141" s="119">
        <f t="shared" si="0"/>
        <v>1.026</v>
      </c>
      <c r="D141" s="119">
        <v>1.026</v>
      </c>
      <c r="E141" s="119"/>
    </row>
    <row r="142" spans="3:5" x14ac:dyDescent="0.15">
      <c r="C142" s="119">
        <f t="shared" si="0"/>
        <v>0.79800000000000004</v>
      </c>
      <c r="D142" s="119">
        <v>0.79800000000000004</v>
      </c>
      <c r="E142" s="119"/>
    </row>
  </sheetData>
  <sheetProtection sheet="1" objects="1" scenarios="1"/>
  <phoneticPr fontId="121"/>
  <conditionalFormatting sqref="D30">
    <cfRule type="cellIs" dxfId="3" priority="2" operator="greaterThan">
      <formula>8</formula>
    </cfRule>
  </conditionalFormatting>
  <dataValidations count="19">
    <dataValidation type="list" allowBlank="1" showInputMessage="1" showErrorMessage="1" sqref="E27">
      <formula1>"Hex,decimal"</formula1>
    </dataValidation>
    <dataValidation type="list" allowBlank="1" showInputMessage="1" showErrorMessage="1" sqref="O43">
      <formula1>"fsensor,L,C"</formula1>
    </dataValidation>
    <dataValidation errorStyle="warning" allowBlank="1" showInputMessage="1" showErrorMessage="1" errorTitle="Invalid Output Code" error="The output code entered exceeds the maximum output code for the device." sqref="D44"/>
    <dataValidation type="list" allowBlank="1" showInputMessage="1" showErrorMessage="1" sqref="E44">
      <formula1>"Hex,Decimal"</formula1>
    </dataValidation>
    <dataValidation type="whole" errorStyle="warning" allowBlank="1" showInputMessage="1" showErrorMessage="1" errorTitle="Invalid Output Code" error="The output code entered exceeds the maximum output code for the device." sqref="D45">
      <formula1>0</formula1>
      <formula2>#REF!</formula2>
    </dataValidation>
    <dataValidation type="list" allowBlank="1" showInputMessage="1" showErrorMessage="1" sqref="D41:D42">
      <formula1>$C$111:$C$142</formula1>
    </dataValidation>
    <dataValidation type="list" allowBlank="1" showInputMessage="1" showErrorMessage="1" sqref="D40">
      <formula1>"LDC1000,LDC1041/1051"</formula1>
    </dataValidation>
    <dataValidation type="whole" allowBlank="1" showInputMessage="1" showErrorMessage="1" sqref="D27:D29 D31">
      <formula1>0</formula1>
      <formula2>20000000</formula2>
    </dataValidation>
    <dataValidation type="list" allowBlank="1" showInputMessage="1" showErrorMessage="1" sqref="D25">
      <formula1>"LDC1000/10x1,LDC1101"</formula1>
    </dataValidation>
    <dataValidation type="decimal" errorStyle="information" operator="greaterThan" allowBlank="1" showInputMessage="1" showErrorMessage="1" errorTitle="Low Sensor Capacitance" error="Sensor capacitances which are too low are not recommended, as parasitic effects may influence the measurement." sqref="D33">
      <formula1>80</formula1>
    </dataValidation>
    <dataValidation type="decimal" errorStyle="warning" allowBlank="1" showInputMessage="1" showErrorMessage="1" errorTitle="Frequency too High" error="Entered frequency exceeds maximum specified Reference freuqency." sqref="D30">
      <formula1>1</formula1>
      <formula2>D29</formula2>
    </dataValidation>
    <dataValidation type="list" allowBlank="1" showInputMessage="1" showErrorMessage="1" sqref="D26">
      <formula1>"192,384,768,1536,3072,6144"</formula1>
    </dataValidation>
    <dataValidation type="list" allowBlank="1" showInputMessage="1" showErrorMessage="1" sqref="D7">
      <formula1>"LDC1101,LDC1000/41/51"</formula1>
    </dataValidation>
    <dataValidation type="list" errorStyle="warning" allowBlank="1" showInputMessage="1" showErrorMessage="1" sqref="D16">
      <formula1>"192,384,768,1536,3072,6144"</formula1>
    </dataValidation>
    <dataValidation type="decimal" errorStyle="warning" allowBlank="1" showInputMessage="1" showErrorMessage="1" errorTitle="Sensor Frequency out of range" error="The LDC1000/1041/1051 sensor range is limited to the range of 5kHz to 5MHz." sqref="D15">
      <formula1>0.005</formula1>
      <formula2>D14</formula2>
    </dataValidation>
    <dataValidation type="decimal" errorStyle="warning" allowBlank="1" showInputMessage="1" showErrorMessage="1" errorTitle="Exceeds Maximum fReference" error="This input exceeds the LDC maximum reference frequency." sqref="D9">
      <formula1>0.001</formula1>
      <formula2>D8</formula2>
    </dataValidation>
    <dataValidation type="decimal" errorStyle="warning" allowBlank="1" showInputMessage="1" showErrorMessage="1" errorTitle="Sensor Frequency too high" error="The Sensor frequency cannot exceed the IC Max Frequency" sqref="D63">
      <formula1>D60</formula1>
      <formula2>D59</formula2>
    </dataValidation>
    <dataValidation type="list" allowBlank="1" showInputMessage="1" showErrorMessage="1" sqref="D58">
      <formula1>$C$88:$C$92</formula1>
    </dataValidation>
    <dataValidation type="decimal" allowBlank="1" showInputMessage="1" showErrorMessage="1" sqref="D61">
      <formula1>0.000001</formula1>
      <formula2>1</formula2>
    </dataValidation>
  </dataValidations>
  <hyperlinks>
    <hyperlink ref="F2" location="Contents!A1" display="Return to Main Page"/>
    <hyperlink ref="G51" location="Contents!A1" display="Return to Main Page"/>
  </hyperlink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4" tint="0.59999389629810485"/>
  </sheetPr>
  <dimension ref="B2:I128"/>
  <sheetViews>
    <sheetView showGridLines="0" showRowColHeaders="0" workbookViewId="0">
      <selection activeCell="D10" sqref="D10"/>
    </sheetView>
  </sheetViews>
  <sheetFormatPr defaultRowHeight="13.5" x14ac:dyDescent="0.15"/>
  <cols>
    <col min="1" max="1" width="4.5" customWidth="1"/>
    <col min="2" max="2" width="3.5" customWidth="1"/>
    <col min="3" max="3" width="21.5" customWidth="1"/>
    <col min="4" max="4" width="20.25" customWidth="1"/>
    <col min="5" max="5" width="8.5" customWidth="1"/>
    <col min="6" max="6" width="11.875" customWidth="1"/>
    <col min="9" max="9" width="11.5" customWidth="1"/>
  </cols>
  <sheetData>
    <row r="2" spans="2:7" ht="17.25" x14ac:dyDescent="0.2">
      <c r="B2" s="4" t="s">
        <v>103</v>
      </c>
      <c r="G2" s="20" t="s">
        <v>198</v>
      </c>
    </row>
    <row r="3" spans="2:7" ht="17.25" x14ac:dyDescent="0.2">
      <c r="B3" s="4"/>
      <c r="G3" s="20"/>
    </row>
    <row r="4" spans="2:7" x14ac:dyDescent="0.15">
      <c r="C4" s="7" t="s">
        <v>168</v>
      </c>
    </row>
    <row r="5" spans="2:7" x14ac:dyDescent="0.15">
      <c r="C5" s="7" t="s">
        <v>169</v>
      </c>
    </row>
    <row r="6" spans="2:7" x14ac:dyDescent="0.15">
      <c r="C6" s="7" t="s">
        <v>275</v>
      </c>
    </row>
    <row r="7" spans="2:7" x14ac:dyDescent="0.15">
      <c r="C7" s="7" t="s">
        <v>274</v>
      </c>
    </row>
    <row r="8" spans="2:7" ht="15" x14ac:dyDescent="0.25">
      <c r="C8" s="7" t="s">
        <v>289</v>
      </c>
    </row>
    <row r="9" spans="2:7" x14ac:dyDescent="0.15">
      <c r="C9" s="7"/>
    </row>
    <row r="10" spans="2:7" x14ac:dyDescent="0.15">
      <c r="C10" t="s">
        <v>164</v>
      </c>
      <c r="D10" s="52" t="s">
        <v>122</v>
      </c>
    </row>
    <row r="11" spans="2:7" ht="14.25" hidden="1" x14ac:dyDescent="0.2">
      <c r="C11" t="s">
        <v>106</v>
      </c>
      <c r="D11" s="53">
        <f>INDEX(F107:F128,MATCH(D10,C107:C128))</f>
        <v>2.65</v>
      </c>
      <c r="E11" s="23" t="s">
        <v>107</v>
      </c>
    </row>
    <row r="12" spans="2:7" ht="14.25" x14ac:dyDescent="0.2">
      <c r="C12" t="s">
        <v>1093</v>
      </c>
      <c r="D12" s="100">
        <f>D11/1000000/100</f>
        <v>2.6499999999999999E-8</v>
      </c>
      <c r="E12" s="99" t="s">
        <v>108</v>
      </c>
    </row>
    <row r="13" spans="2:7" x14ac:dyDescent="0.15">
      <c r="C13" t="s">
        <v>109</v>
      </c>
      <c r="D13" s="54">
        <f>IF(D10="Nickel",100,1)</f>
        <v>1</v>
      </c>
      <c r="E13" s="8"/>
    </row>
    <row r="14" spans="2:7" x14ac:dyDescent="0.15">
      <c r="C14" t="s">
        <v>2</v>
      </c>
      <c r="D14" s="46">
        <v>7</v>
      </c>
      <c r="E14" s="8" t="s">
        <v>0</v>
      </c>
    </row>
    <row r="15" spans="2:7" hidden="1" x14ac:dyDescent="0.15">
      <c r="D15" s="76">
        <f>D14*1000000</f>
        <v>7000000</v>
      </c>
      <c r="E15" s="24" t="s">
        <v>1</v>
      </c>
    </row>
    <row r="16" spans="2:7" hidden="1" x14ac:dyDescent="0.15">
      <c r="C16" s="18" t="s">
        <v>110</v>
      </c>
      <c r="D16" s="76">
        <f>4*PI()*0.0000001</f>
        <v>1.2566370614359173E-6</v>
      </c>
      <c r="E16" s="24" t="s">
        <v>111</v>
      </c>
    </row>
    <row r="17" spans="3:8" hidden="1" x14ac:dyDescent="0.15">
      <c r="C17" s="18" t="s">
        <v>112</v>
      </c>
      <c r="D17" s="76">
        <f>SQRT((2*D12)/(2*PI()*D16*D13*D15))</f>
        <v>3.0966637384460988E-5</v>
      </c>
      <c r="E17" s="24" t="s">
        <v>113</v>
      </c>
    </row>
    <row r="18" spans="3:8" ht="14.25" x14ac:dyDescent="0.2">
      <c r="C18" t="s">
        <v>112</v>
      </c>
      <c r="D18" s="37">
        <f>D17*1000000</f>
        <v>30.966637384460988</v>
      </c>
      <c r="E18" s="23" t="s">
        <v>114</v>
      </c>
    </row>
    <row r="19" spans="3:8" x14ac:dyDescent="0.15">
      <c r="C19" t="s">
        <v>115</v>
      </c>
      <c r="D19" s="152">
        <v>0.2</v>
      </c>
      <c r="E19" s="266" t="s">
        <v>34</v>
      </c>
    </row>
    <row r="20" spans="3:8" ht="14.25" hidden="1" customHeight="1" x14ac:dyDescent="0.15">
      <c r="D20" s="77">
        <f>IF(E19="mm",D19*0.001,IF(E19="um",D19*0.000001,D19*0.0000254))</f>
        <v>2.0000000000000001E-4</v>
      </c>
      <c r="E20" s="38" t="s">
        <v>116</v>
      </c>
      <c r="G20" s="15"/>
    </row>
    <row r="21" spans="3:8" x14ac:dyDescent="0.15">
      <c r="C21" t="s">
        <v>158</v>
      </c>
      <c r="D21" s="35">
        <f>D20/D17</f>
        <v>6.4585636960492101</v>
      </c>
      <c r="E21" s="8" t="s">
        <v>118</v>
      </c>
    </row>
    <row r="22" spans="3:8" x14ac:dyDescent="0.15">
      <c r="C22" t="s">
        <v>117</v>
      </c>
      <c r="D22" s="27">
        <f>100*(1-EXP(-1*D21))</f>
        <v>99.843295515250915</v>
      </c>
      <c r="E22" s="8" t="s">
        <v>163</v>
      </c>
    </row>
    <row r="23" spans="3:8" ht="14.25" x14ac:dyDescent="0.15">
      <c r="E23" s="8"/>
      <c r="H23" s="26" t="s">
        <v>165</v>
      </c>
    </row>
    <row r="24" spans="3:8" x14ac:dyDescent="0.15">
      <c r="E24" s="8"/>
    </row>
    <row r="25" spans="3:8" ht="14.25" x14ac:dyDescent="0.15">
      <c r="C25" s="63" t="s">
        <v>200</v>
      </c>
      <c r="D25" s="12"/>
      <c r="E25" s="12"/>
    </row>
    <row r="26" spans="3:8" ht="14.25" x14ac:dyDescent="0.2">
      <c r="C26" s="28" t="str">
        <f>IF(C28="L","fsensor","L")</f>
        <v>L</v>
      </c>
      <c r="D26" s="46">
        <v>20</v>
      </c>
      <c r="E26" s="64" t="str">
        <f>IF(C26="fsensor","MHz","µH")</f>
        <v>µH</v>
      </c>
    </row>
    <row r="27" spans="3:8" x14ac:dyDescent="0.15">
      <c r="C27" s="28" t="str">
        <f>IF(C28="C","fsensor","C")</f>
        <v>C</v>
      </c>
      <c r="D27" s="46">
        <v>100</v>
      </c>
      <c r="E27" s="65" t="str">
        <f>IF(C27="fsensor","MHz","pF")</f>
        <v>pF</v>
      </c>
    </row>
    <row r="28" spans="3:8" x14ac:dyDescent="0.15">
      <c r="C28" s="45" t="s">
        <v>228</v>
      </c>
      <c r="D28" s="27">
        <f>IF(C28="fsensor",0.000001/(2*PI()*SQRT(D26*0.000001*D27*0.000000000001)),IF(C28="C",1000000000000/((D26*0.000001)*(2*PI()*D27*1000000)^2),1000000/((D27*0.000000000001)*(2*PI()*D26*1000000)^2)))</f>
        <v>3.558812717085885</v>
      </c>
      <c r="E28" s="28" t="str">
        <f>IF(C28="fsensor","MHz",IF(C28="L","µH","pF"))</f>
        <v>MHz</v>
      </c>
    </row>
    <row r="104" spans="3:9" ht="14.25" x14ac:dyDescent="0.15">
      <c r="C104" s="26" t="s">
        <v>119</v>
      </c>
    </row>
    <row r="105" spans="3:9" ht="36" x14ac:dyDescent="0.15">
      <c r="E105" s="70" t="s">
        <v>259</v>
      </c>
      <c r="F105" s="70" t="s">
        <v>120</v>
      </c>
      <c r="G105" s="70" t="s">
        <v>101</v>
      </c>
      <c r="H105" s="70" t="s">
        <v>101</v>
      </c>
      <c r="I105" s="70" t="s">
        <v>256</v>
      </c>
    </row>
    <row r="106" spans="3:9" ht="27" x14ac:dyDescent="0.15">
      <c r="C106" s="66" t="s">
        <v>104</v>
      </c>
      <c r="D106" s="66" t="s">
        <v>260</v>
      </c>
      <c r="E106" s="67" t="s">
        <v>258</v>
      </c>
      <c r="F106" s="68" t="s">
        <v>107</v>
      </c>
      <c r="G106" s="67" t="s">
        <v>121</v>
      </c>
      <c r="H106" s="67" t="s">
        <v>102</v>
      </c>
      <c r="I106" s="67" t="s">
        <v>367</v>
      </c>
    </row>
    <row r="107" spans="3:9" x14ac:dyDescent="0.15">
      <c r="C107" s="69" t="s">
        <v>122</v>
      </c>
      <c r="D107" s="69" t="s">
        <v>123</v>
      </c>
      <c r="E107" s="69">
        <v>4200</v>
      </c>
      <c r="F107" s="69">
        <v>2.65</v>
      </c>
      <c r="G107" s="69">
        <v>660</v>
      </c>
      <c r="H107" s="69">
        <v>1221</v>
      </c>
      <c r="I107" s="69">
        <v>1</v>
      </c>
    </row>
    <row r="108" spans="3:9" x14ac:dyDescent="0.15">
      <c r="C108" s="69" t="s">
        <v>1094</v>
      </c>
      <c r="D108" s="69" t="s">
        <v>1095</v>
      </c>
      <c r="E108" s="69"/>
      <c r="F108" s="69">
        <v>13.5</v>
      </c>
      <c r="G108" s="69">
        <v>1040</v>
      </c>
      <c r="H108" s="69">
        <f>9*G108/5+32</f>
        <v>1904</v>
      </c>
      <c r="I108" s="69"/>
    </row>
    <row r="109" spans="3:9" x14ac:dyDescent="0.15">
      <c r="C109" s="69" t="s">
        <v>124</v>
      </c>
      <c r="D109" s="69" t="s">
        <v>26</v>
      </c>
      <c r="E109" s="69">
        <v>-500</v>
      </c>
      <c r="F109" s="69">
        <v>3000</v>
      </c>
      <c r="G109" s="69"/>
      <c r="H109" s="69"/>
      <c r="I109" s="28">
        <v>1</v>
      </c>
    </row>
    <row r="110" spans="3:9" x14ac:dyDescent="0.15">
      <c r="C110" s="69" t="s">
        <v>125</v>
      </c>
      <c r="D110" s="69" t="s">
        <v>126</v>
      </c>
      <c r="E110" s="69">
        <v>5900</v>
      </c>
      <c r="F110" s="69">
        <v>18</v>
      </c>
      <c r="G110" s="69">
        <v>1857</v>
      </c>
      <c r="H110" s="69">
        <v>3374.6</v>
      </c>
      <c r="I110" s="69">
        <v>1</v>
      </c>
    </row>
    <row r="111" spans="3:9" x14ac:dyDescent="0.15">
      <c r="C111" s="69" t="s">
        <v>105</v>
      </c>
      <c r="D111" s="69" t="s">
        <v>127</v>
      </c>
      <c r="E111" s="69">
        <v>4300</v>
      </c>
      <c r="F111" s="69">
        <v>1.673</v>
      </c>
      <c r="G111" s="69">
        <v>1083</v>
      </c>
      <c r="H111" s="69">
        <v>1981.4</v>
      </c>
      <c r="I111" s="69">
        <v>1</v>
      </c>
    </row>
    <row r="112" spans="3:9" x14ac:dyDescent="0.15">
      <c r="C112" s="69" t="s">
        <v>128</v>
      </c>
      <c r="D112" s="69" t="s">
        <v>129</v>
      </c>
      <c r="E112" s="69">
        <v>4000</v>
      </c>
      <c r="F112" s="69">
        <v>2.44</v>
      </c>
      <c r="G112" s="69">
        <v>1064</v>
      </c>
      <c r="H112" s="69">
        <v>1947.2</v>
      </c>
      <c r="I112" s="69">
        <v>1</v>
      </c>
    </row>
    <row r="113" spans="3:9" x14ac:dyDescent="0.15">
      <c r="C113" s="69" t="s">
        <v>130</v>
      </c>
      <c r="D113" s="69" t="s">
        <v>131</v>
      </c>
      <c r="E113" s="69">
        <v>6500</v>
      </c>
      <c r="F113" s="69">
        <v>9.66</v>
      </c>
      <c r="G113" s="69">
        <v>1535</v>
      </c>
      <c r="H113" s="69">
        <v>2795</v>
      </c>
      <c r="I113" s="69">
        <v>5000</v>
      </c>
    </row>
    <row r="114" spans="3:9" x14ac:dyDescent="0.15">
      <c r="C114" s="69" t="s">
        <v>132</v>
      </c>
      <c r="D114" s="69" t="s">
        <v>133</v>
      </c>
      <c r="E114" s="69">
        <v>4200</v>
      </c>
      <c r="F114" s="69">
        <v>20.65</v>
      </c>
      <c r="G114" s="69">
        <v>328</v>
      </c>
      <c r="H114" s="69">
        <v>622.4</v>
      </c>
      <c r="I114" s="69">
        <v>1</v>
      </c>
    </row>
    <row r="115" spans="3:9" x14ac:dyDescent="0.15">
      <c r="C115" s="69" t="s">
        <v>134</v>
      </c>
      <c r="D115" s="69" t="s">
        <v>135</v>
      </c>
      <c r="E115" s="69"/>
      <c r="F115" s="69">
        <v>4.2</v>
      </c>
      <c r="G115" s="69"/>
      <c r="H115" s="69"/>
      <c r="I115" s="69">
        <v>1</v>
      </c>
    </row>
    <row r="116" spans="3:9" x14ac:dyDescent="0.15">
      <c r="C116" s="69" t="s">
        <v>136</v>
      </c>
      <c r="D116" s="69" t="s">
        <v>137</v>
      </c>
      <c r="E116" s="69">
        <v>6800</v>
      </c>
      <c r="F116" s="69">
        <v>8.7070000000000007</v>
      </c>
      <c r="G116" s="69">
        <v>1453</v>
      </c>
      <c r="H116" s="69">
        <v>2647.4</v>
      </c>
      <c r="I116" s="69">
        <v>100</v>
      </c>
    </row>
    <row r="117" spans="3:9" x14ac:dyDescent="0.15">
      <c r="C117" s="69" t="s">
        <v>138</v>
      </c>
      <c r="D117" s="69" t="s">
        <v>139</v>
      </c>
      <c r="E117" s="69" t="s">
        <v>140</v>
      </c>
      <c r="F117" s="69">
        <v>110</v>
      </c>
      <c r="G117" s="69"/>
      <c r="H117" s="69"/>
      <c r="I117" s="69">
        <v>1</v>
      </c>
    </row>
    <row r="118" spans="3:9" x14ac:dyDescent="0.15">
      <c r="C118" s="69" t="s">
        <v>141</v>
      </c>
      <c r="D118" s="69" t="s">
        <v>142</v>
      </c>
      <c r="E118" s="69">
        <v>4100</v>
      </c>
      <c r="F118" s="69">
        <v>1.59</v>
      </c>
      <c r="G118" s="69">
        <v>962</v>
      </c>
      <c r="H118" s="69">
        <v>1763.6</v>
      </c>
      <c r="I118" s="69">
        <v>1</v>
      </c>
    </row>
    <row r="119" spans="3:9" x14ac:dyDescent="0.15">
      <c r="C119" s="69" t="s">
        <v>366</v>
      </c>
      <c r="D119" s="69" t="s">
        <v>368</v>
      </c>
      <c r="E119" s="69">
        <v>8010</v>
      </c>
      <c r="F119" s="69">
        <v>74</v>
      </c>
      <c r="G119" s="69">
        <v>1371</v>
      </c>
      <c r="H119" s="69"/>
      <c r="I119" s="69">
        <v>1.0029999999999999</v>
      </c>
    </row>
    <row r="120" spans="3:9" x14ac:dyDescent="0.15">
      <c r="C120" s="69" t="s">
        <v>373</v>
      </c>
      <c r="D120" s="69"/>
      <c r="E120" s="69"/>
      <c r="F120" s="69">
        <v>23.68</v>
      </c>
      <c r="G120" s="69"/>
      <c r="H120" s="69"/>
      <c r="I120" s="69">
        <v>409</v>
      </c>
    </row>
    <row r="121" spans="3:9" x14ac:dyDescent="0.15">
      <c r="C121" s="69" t="s">
        <v>374</v>
      </c>
      <c r="D121" s="69"/>
      <c r="E121" s="69"/>
      <c r="F121" s="69">
        <v>17.239999999999998</v>
      </c>
      <c r="G121" s="69"/>
      <c r="H121" s="69"/>
      <c r="I121" s="69">
        <v>1404</v>
      </c>
    </row>
    <row r="122" spans="3:9" x14ac:dyDescent="0.15">
      <c r="C122" s="69" t="s">
        <v>143</v>
      </c>
      <c r="D122" s="69" t="s">
        <v>144</v>
      </c>
      <c r="E122" s="69"/>
      <c r="F122" s="69">
        <v>15.52</v>
      </c>
      <c r="G122" s="69">
        <v>2996</v>
      </c>
      <c r="H122" s="69">
        <v>5424.8</v>
      </c>
      <c r="I122" s="69">
        <v>1</v>
      </c>
    </row>
    <row r="123" spans="3:9" x14ac:dyDescent="0.15">
      <c r="C123" s="69" t="s">
        <v>145</v>
      </c>
      <c r="D123" s="69" t="s">
        <v>146</v>
      </c>
      <c r="E123" s="69">
        <v>-100</v>
      </c>
      <c r="F123" s="69">
        <v>252</v>
      </c>
      <c r="G123" s="69"/>
      <c r="H123" s="69"/>
      <c r="I123" s="69">
        <v>1</v>
      </c>
    </row>
    <row r="124" spans="3:9" x14ac:dyDescent="0.15">
      <c r="C124" s="69" t="s">
        <v>147</v>
      </c>
      <c r="D124" s="69" t="s">
        <v>148</v>
      </c>
      <c r="E124" s="69">
        <v>4600</v>
      </c>
      <c r="F124" s="69">
        <v>11.55</v>
      </c>
      <c r="G124" s="69">
        <v>232</v>
      </c>
      <c r="H124" s="69">
        <v>449.6</v>
      </c>
      <c r="I124" s="69">
        <v>1</v>
      </c>
    </row>
    <row r="125" spans="3:9" x14ac:dyDescent="0.15">
      <c r="C125" s="69" t="s">
        <v>149</v>
      </c>
      <c r="D125" s="69" t="s">
        <v>150</v>
      </c>
      <c r="E125" s="69"/>
      <c r="F125" s="69">
        <v>55</v>
      </c>
      <c r="G125" s="69">
        <v>1660</v>
      </c>
      <c r="H125" s="69">
        <v>3020</v>
      </c>
      <c r="I125" s="69">
        <v>1</v>
      </c>
    </row>
    <row r="126" spans="3:9" x14ac:dyDescent="0.15">
      <c r="C126" s="69" t="s">
        <v>151</v>
      </c>
      <c r="D126" s="69" t="s">
        <v>152</v>
      </c>
      <c r="E126" s="69">
        <v>4800</v>
      </c>
      <c r="F126" s="69">
        <v>5.6</v>
      </c>
      <c r="G126" s="69">
        <v>3422</v>
      </c>
      <c r="H126" s="69">
        <v>6192</v>
      </c>
      <c r="I126" s="69">
        <v>1</v>
      </c>
    </row>
    <row r="127" spans="3:9" x14ac:dyDescent="0.15">
      <c r="C127" s="69" t="s">
        <v>153</v>
      </c>
      <c r="D127" s="69" t="s">
        <v>154</v>
      </c>
      <c r="E127" s="69">
        <v>4200</v>
      </c>
      <c r="F127" s="69">
        <v>5.68</v>
      </c>
      <c r="G127" s="69">
        <v>420</v>
      </c>
      <c r="H127" s="69">
        <v>788</v>
      </c>
      <c r="I127" s="69">
        <v>1</v>
      </c>
    </row>
    <row r="128" spans="3:9" x14ac:dyDescent="0.15">
      <c r="C128" s="69" t="s">
        <v>155</v>
      </c>
      <c r="D128" s="69" t="s">
        <v>156</v>
      </c>
      <c r="E128" s="69"/>
      <c r="F128" s="69">
        <v>4.0999999999999996</v>
      </c>
      <c r="G128" s="69">
        <v>1852</v>
      </c>
      <c r="H128" s="69">
        <v>3365.6</v>
      </c>
      <c r="I128" s="69">
        <v>1</v>
      </c>
    </row>
  </sheetData>
  <sheetProtection sheet="1" objects="1" scenarios="1"/>
  <phoneticPr fontId="121"/>
  <dataValidations count="4">
    <dataValidation type="list" allowBlank="1" showInputMessage="1" showErrorMessage="1" sqref="E19">
      <formula1>"mm,um,mil"</formula1>
    </dataValidation>
    <dataValidation type="list" allowBlank="1" showInputMessage="1" showErrorMessage="1" sqref="D10">
      <formula1>$C$107:$C$128</formula1>
    </dataValidation>
    <dataValidation type="list" allowBlank="1" showInputMessage="1" showErrorMessage="1" sqref="C28">
      <formula1>"fsensor,L,C"</formula1>
    </dataValidation>
    <dataValidation type="decimal" operator="greaterThan" allowBlank="1" showInputMessage="1" showErrorMessage="1" sqref="D26:D27">
      <formula1>0.0001</formula1>
    </dataValidation>
  </dataValidations>
  <hyperlinks>
    <hyperlink ref="G2" location="Contents!A1" display="Return to Main Page"/>
  </hyperlink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tint="0.59999389629810485"/>
  </sheetPr>
  <dimension ref="B2:X155"/>
  <sheetViews>
    <sheetView showGridLines="0" showRowColHeaders="0" zoomScaleNormal="100" workbookViewId="0">
      <selection activeCell="E7" sqref="E7"/>
    </sheetView>
  </sheetViews>
  <sheetFormatPr defaultRowHeight="13.5" x14ac:dyDescent="0.15"/>
  <cols>
    <col min="2" max="2" width="8.75" customWidth="1"/>
    <col min="3" max="3" width="42.125" bestFit="1" customWidth="1"/>
    <col min="5" max="5" width="18.5" customWidth="1"/>
    <col min="7" max="14" width="8.875" customWidth="1"/>
    <col min="15" max="15" width="25.5" customWidth="1"/>
    <col min="16" max="16" width="9.5" customWidth="1"/>
    <col min="19" max="19" width="10.875" bestFit="1" customWidth="1"/>
    <col min="24" max="24" width="10.875" bestFit="1" customWidth="1"/>
  </cols>
  <sheetData>
    <row r="2" spans="2:24" ht="17.25" x14ac:dyDescent="0.2">
      <c r="B2" s="4" t="s">
        <v>643</v>
      </c>
      <c r="E2" s="20" t="s">
        <v>198</v>
      </c>
    </row>
    <row r="4" spans="2:24" ht="14.25" x14ac:dyDescent="0.15">
      <c r="B4" s="39" t="s">
        <v>542</v>
      </c>
    </row>
    <row r="5" spans="2:24" x14ac:dyDescent="0.15">
      <c r="P5" s="362"/>
      <c r="Q5" s="362"/>
      <c r="R5" s="362"/>
      <c r="S5" s="362"/>
      <c r="U5" s="817"/>
      <c r="V5" s="817"/>
      <c r="W5" s="817"/>
      <c r="X5" s="817"/>
    </row>
    <row r="6" spans="2:24" x14ac:dyDescent="0.15">
      <c r="B6" s="31" t="s">
        <v>644</v>
      </c>
    </row>
    <row r="7" spans="2:24" x14ac:dyDescent="0.15">
      <c r="B7" s="31" t="s">
        <v>1652</v>
      </c>
      <c r="E7" s="363" t="s">
        <v>695</v>
      </c>
      <c r="Q7" s="364"/>
      <c r="V7" s="364"/>
    </row>
    <row r="8" spans="2:24" ht="18" x14ac:dyDescent="0.35">
      <c r="B8" s="32" t="s">
        <v>646</v>
      </c>
      <c r="C8" s="13" t="s">
        <v>546</v>
      </c>
      <c r="E8" s="365">
        <v>15</v>
      </c>
      <c r="F8" s="16" t="s">
        <v>34</v>
      </c>
      <c r="Q8" s="364"/>
      <c r="U8" s="366"/>
      <c r="V8" s="364"/>
    </row>
    <row r="9" spans="2:24" ht="16.5" x14ac:dyDescent="0.25">
      <c r="B9" s="32" t="s">
        <v>647</v>
      </c>
      <c r="C9" s="13" t="s">
        <v>548</v>
      </c>
      <c r="E9" s="367">
        <v>5</v>
      </c>
      <c r="F9" s="820" t="s">
        <v>34</v>
      </c>
      <c r="Q9" s="364"/>
      <c r="U9" s="366"/>
      <c r="V9" s="364"/>
    </row>
    <row r="10" spans="2:24" ht="16.5" x14ac:dyDescent="0.25">
      <c r="B10" s="32" t="s">
        <v>648</v>
      </c>
      <c r="C10" s="13" t="s">
        <v>549</v>
      </c>
      <c r="E10" s="367">
        <v>10</v>
      </c>
      <c r="F10" s="821"/>
      <c r="Q10" s="364"/>
      <c r="U10" s="366"/>
      <c r="V10" s="364"/>
    </row>
    <row r="11" spans="2:24" x14ac:dyDescent="0.15">
      <c r="B11" s="32" t="s">
        <v>550</v>
      </c>
      <c r="C11" s="13" t="s">
        <v>649</v>
      </c>
      <c r="E11" s="367">
        <v>0.8</v>
      </c>
      <c r="F11" s="16" t="s">
        <v>34</v>
      </c>
      <c r="Q11" s="364"/>
      <c r="U11" s="366"/>
      <c r="V11" s="364"/>
    </row>
    <row r="12" spans="2:24" x14ac:dyDescent="0.15">
      <c r="B12" s="368" t="s">
        <v>551</v>
      </c>
      <c r="C12" s="25" t="s">
        <v>552</v>
      </c>
      <c r="E12" s="367" t="s">
        <v>688</v>
      </c>
      <c r="Q12" s="364"/>
      <c r="U12" s="369"/>
      <c r="V12" s="364"/>
    </row>
    <row r="13" spans="2:24" ht="15" x14ac:dyDescent="0.25">
      <c r="B13" s="368" t="s">
        <v>553</v>
      </c>
      <c r="C13" s="25" t="s">
        <v>651</v>
      </c>
      <c r="E13" s="370">
        <f>LOOKUP(E12,C64:C69,D64:D69)</f>
        <v>200</v>
      </c>
      <c r="F13" s="371" t="s">
        <v>652</v>
      </c>
      <c r="Q13" s="364"/>
      <c r="U13" s="366"/>
      <c r="V13" s="364"/>
    </row>
    <row r="14" spans="2:24" ht="15" x14ac:dyDescent="0.25">
      <c r="B14" s="372" t="s">
        <v>653</v>
      </c>
      <c r="C14" s="25" t="s">
        <v>654</v>
      </c>
      <c r="E14" s="370">
        <f ca="1">LOOKUP(E12,C64:C69, E64:E70)</f>
        <v>0.28000000000000003</v>
      </c>
      <c r="F14" s="371" t="s">
        <v>554</v>
      </c>
      <c r="Q14" s="364"/>
      <c r="U14" s="366"/>
      <c r="V14" s="364"/>
    </row>
    <row r="15" spans="2:24" ht="15" x14ac:dyDescent="0.25">
      <c r="B15" s="372"/>
      <c r="C15" s="25" t="s">
        <v>655</v>
      </c>
      <c r="E15" s="367">
        <v>11</v>
      </c>
      <c r="F15" s="373" t="s">
        <v>652</v>
      </c>
      <c r="Q15" s="364"/>
      <c r="U15" s="366"/>
      <c r="V15" s="364"/>
    </row>
    <row r="16" spans="2:24" ht="15" x14ac:dyDescent="0.25">
      <c r="B16" s="372"/>
      <c r="C16" s="25" t="s">
        <v>656</v>
      </c>
      <c r="E16" s="367">
        <v>0.25</v>
      </c>
      <c r="F16" s="373"/>
      <c r="Q16" s="364"/>
      <c r="U16" s="366"/>
      <c r="V16" s="364"/>
    </row>
    <row r="17" spans="2:22" ht="15" hidden="1" x14ac:dyDescent="0.25">
      <c r="B17" s="372"/>
      <c r="C17" s="25" t="s">
        <v>657</v>
      </c>
      <c r="E17" s="374">
        <f>IF(mat="Other",E15,E13)</f>
        <v>200</v>
      </c>
      <c r="F17" s="373"/>
      <c r="Q17" s="364"/>
      <c r="U17" s="366"/>
      <c r="V17" s="364"/>
    </row>
    <row r="18" spans="2:22" ht="15" hidden="1" x14ac:dyDescent="0.25">
      <c r="B18" s="372"/>
      <c r="C18" s="25" t="s">
        <v>658</v>
      </c>
      <c r="E18" s="374">
        <f ca="1">IF(mat="Other",E16,E14)</f>
        <v>0.28000000000000003</v>
      </c>
      <c r="F18" s="373"/>
      <c r="Q18" s="364"/>
      <c r="U18" s="366"/>
      <c r="V18" s="364"/>
    </row>
    <row r="19" spans="2:22" x14ac:dyDescent="0.15">
      <c r="E19" s="10"/>
    </row>
    <row r="20" spans="2:22" x14ac:dyDescent="0.15">
      <c r="B20" s="31" t="s">
        <v>556</v>
      </c>
      <c r="E20" s="10"/>
    </row>
    <row r="21" spans="2:22" x14ac:dyDescent="0.15">
      <c r="B21" s="368" t="s">
        <v>557</v>
      </c>
      <c r="C21" t="s">
        <v>558</v>
      </c>
      <c r="E21" s="375" t="s">
        <v>696</v>
      </c>
      <c r="Q21" s="364"/>
      <c r="U21" s="10"/>
      <c r="V21" s="364"/>
    </row>
    <row r="22" spans="2:22" x14ac:dyDescent="0.15">
      <c r="B22" s="368" t="s">
        <v>83</v>
      </c>
      <c r="C22" t="s">
        <v>559</v>
      </c>
      <c r="E22" s="363">
        <v>1</v>
      </c>
      <c r="F22" s="16" t="s">
        <v>32</v>
      </c>
      <c r="Q22" s="364"/>
      <c r="V22" s="364"/>
    </row>
    <row r="23" spans="2:22" x14ac:dyDescent="0.15">
      <c r="E23" s="10"/>
    </row>
    <row r="24" spans="2:22" x14ac:dyDescent="0.15">
      <c r="B24" s="31" t="s">
        <v>560</v>
      </c>
      <c r="E24" s="10"/>
    </row>
    <row r="25" spans="2:22" ht="16.5" hidden="1" x14ac:dyDescent="0.25">
      <c r="B25" s="32" t="s">
        <v>660</v>
      </c>
      <c r="E25" s="376">
        <f>E8/2*IF(Dc_units="mm", 0.001, 0.0254)</f>
        <v>7.4999999999999997E-3</v>
      </c>
      <c r="F25" t="s">
        <v>113</v>
      </c>
    </row>
    <row r="26" spans="2:22" ht="16.5" hidden="1" x14ac:dyDescent="0.25">
      <c r="B26" s="32" t="s">
        <v>647</v>
      </c>
      <c r="E26" s="376">
        <f>MIN(E9,E10)*IF(abr_units="mm", 0.001, 0.0254)</f>
        <v>5.0000000000000001E-3</v>
      </c>
      <c r="F26" t="s">
        <v>113</v>
      </c>
    </row>
    <row r="27" spans="2:22" ht="16.5" hidden="1" x14ac:dyDescent="0.25">
      <c r="B27" s="32" t="s">
        <v>648</v>
      </c>
      <c r="E27" s="376">
        <f>MAX(E9,E10)*IF(abr_units="mm", 0.001, 0.0254)</f>
        <v>0.01</v>
      </c>
      <c r="F27" t="s">
        <v>113</v>
      </c>
    </row>
    <row r="28" spans="2:22" ht="15" hidden="1" x14ac:dyDescent="0.25">
      <c r="B28" s="32" t="s">
        <v>564</v>
      </c>
      <c r="E28" s="370">
        <f>br/ar</f>
        <v>2</v>
      </c>
      <c r="F28" s="312" t="s">
        <v>554</v>
      </c>
    </row>
    <row r="29" spans="2:22" ht="15" hidden="1" x14ac:dyDescent="0.25">
      <c r="B29" s="32" t="s">
        <v>550</v>
      </c>
      <c r="E29" s="370">
        <f>E11*IF(h_units="mm",0.001,0.0254)</f>
        <v>8.0000000000000004E-4</v>
      </c>
      <c r="F29" s="25" t="s">
        <v>113</v>
      </c>
    </row>
    <row r="30" spans="2:22" ht="15" hidden="1" x14ac:dyDescent="0.25">
      <c r="B30" s="32" t="s">
        <v>661</v>
      </c>
      <c r="E30" s="370">
        <f>PI()*ac^2</f>
        <v>1.7671458676442585E-4</v>
      </c>
      <c r="F30" s="25"/>
    </row>
    <row r="31" spans="2:22" ht="15" hidden="1" x14ac:dyDescent="0.25">
      <c r="B31" s="32" t="s">
        <v>662</v>
      </c>
      <c r="E31" s="370">
        <f>ar*br</f>
        <v>5.0000000000000002E-5</v>
      </c>
      <c r="F31" s="25"/>
    </row>
    <row r="32" spans="2:22" ht="15" hidden="1" x14ac:dyDescent="0.25">
      <c r="B32" s="32" t="s">
        <v>411</v>
      </c>
      <c r="C32" t="s">
        <v>565</v>
      </c>
      <c r="E32" s="377">
        <f>IF(E7="circular",area_c, area_r)</f>
        <v>1.7671458676442585E-4</v>
      </c>
      <c r="F32" s="25" t="s">
        <v>663</v>
      </c>
    </row>
    <row r="33" spans="2:6" ht="15" hidden="1" x14ac:dyDescent="0.25">
      <c r="B33" s="378" t="s">
        <v>390</v>
      </c>
      <c r="C33" t="s">
        <v>664</v>
      </c>
      <c r="E33" s="370">
        <f ca="1">E*h^3/(12*(1-E18^2))</f>
        <v>9.2592592592592577</v>
      </c>
      <c r="F33" s="25" t="s">
        <v>665</v>
      </c>
    </row>
    <row r="34" spans="2:6" ht="18" hidden="1" x14ac:dyDescent="0.35">
      <c r="B34" s="378" t="s">
        <v>666</v>
      </c>
      <c r="E34" s="370">
        <f>IF(boa&lt;2.45, (0.4326922 - 0.1810158*(1/boa) - 0.1137154*(1/boa)^2 + 0.6522332*(1/boa)^3)^-1, 2.604)*0.001</f>
        <v>2.5298228162695946E-3</v>
      </c>
      <c r="F34" s="312" t="s">
        <v>554</v>
      </c>
    </row>
    <row r="35" spans="2:6" ht="18" hidden="1" x14ac:dyDescent="0.35">
      <c r="B35" s="378" t="s">
        <v>667</v>
      </c>
      <c r="E35" s="370">
        <f>IF(boa&lt;2.45, (125.64683 + 93.593567/boa - 232.6954*(1/boa)^2 + 192.54653*(1/boa)^3)^-1, 0.00724)</f>
        <v>7.228667636612905E-3</v>
      </c>
      <c r="F35" s="312" t="s">
        <v>554</v>
      </c>
    </row>
    <row r="36" spans="2:6" ht="15" hidden="1" x14ac:dyDescent="0.25">
      <c r="B36" s="378" t="s">
        <v>553</v>
      </c>
      <c r="E36" s="370">
        <f>E17*1000000000</f>
        <v>200000000000</v>
      </c>
      <c r="F36" s="25" t="s">
        <v>566</v>
      </c>
    </row>
    <row r="37" spans="2:6" ht="15" hidden="1" x14ac:dyDescent="0.25">
      <c r="B37" s="378" t="s">
        <v>83</v>
      </c>
      <c r="C37" t="s">
        <v>668</v>
      </c>
      <c r="E37" s="370">
        <f>E22*IF(F22="N",1, 4.448)</f>
        <v>1</v>
      </c>
      <c r="F37" s="25"/>
    </row>
    <row r="38" spans="2:6" ht="15" hidden="1" x14ac:dyDescent="0.25">
      <c r="B38" s="378" t="s">
        <v>669</v>
      </c>
      <c r="C38" t="s">
        <v>670</v>
      </c>
      <c r="E38" s="370">
        <f>F*IF(F22="N",1, 4.448)/area</f>
        <v>5658.8424210451676</v>
      </c>
      <c r="F38" s="25" t="s">
        <v>566</v>
      </c>
    </row>
    <row r="39" spans="2:6" hidden="1" x14ac:dyDescent="0.15">
      <c r="B39" s="379" t="s">
        <v>671</v>
      </c>
      <c r="C39" t="s">
        <v>672</v>
      </c>
      <c r="E39" s="380">
        <f ca="1">q*ac^4/(64*D)*1000000</f>
        <v>3.0214571227602009E-2</v>
      </c>
      <c r="F39" t="s">
        <v>114</v>
      </c>
    </row>
    <row r="40" spans="2:6" hidden="1" x14ac:dyDescent="0.15">
      <c r="B40" s="379" t="s">
        <v>673</v>
      </c>
      <c r="C40" t="s">
        <v>674</v>
      </c>
      <c r="E40" s="380">
        <f ca="1">4*E39</f>
        <v>0.12085828491040804</v>
      </c>
    </row>
    <row r="41" spans="2:6" hidden="1" x14ac:dyDescent="0.15">
      <c r="B41" s="379" t="s">
        <v>675</v>
      </c>
      <c r="C41" t="s">
        <v>676</v>
      </c>
      <c r="E41" s="380">
        <f ca="1">alphau*q*area_r*ar^2/D*1000000</f>
        <v>1.9326422705086364E-3</v>
      </c>
      <c r="F41" t="s">
        <v>114</v>
      </c>
    </row>
    <row r="42" spans="2:6" hidden="1" x14ac:dyDescent="0.15">
      <c r="B42" s="379" t="s">
        <v>677</v>
      </c>
      <c r="C42" t="s">
        <v>678</v>
      </c>
      <c r="E42" s="380">
        <f ca="1">alphap*q*area_r*ar^2/D*1000000</f>
        <v>5.5222952944096928E-3</v>
      </c>
    </row>
    <row r="43" spans="2:6" hidden="1" x14ac:dyDescent="0.15">
      <c r="B43" s="379" t="s">
        <v>679</v>
      </c>
      <c r="E43" s="380">
        <f ca="1">IF(force="Uniform", wpkcu, wpkcp)</f>
        <v>0.12085828491040804</v>
      </c>
      <c r="F43" t="s">
        <v>114</v>
      </c>
    </row>
    <row r="44" spans="2:6" hidden="1" x14ac:dyDescent="0.15">
      <c r="B44" s="379" t="s">
        <v>680</v>
      </c>
      <c r="E44" s="380">
        <f ca="1">IF(E21="Uniform", wpkru, wpkrp)</f>
        <v>5.5222952944096928E-3</v>
      </c>
    </row>
    <row r="45" spans="2:6" x14ac:dyDescent="0.15">
      <c r="B45" s="379" t="s">
        <v>681</v>
      </c>
      <c r="C45" t="s">
        <v>682</v>
      </c>
      <c r="E45" s="381">
        <f ca="1">IF(shape="Circular", E43, E44)</f>
        <v>0.12085828491040804</v>
      </c>
      <c r="F45" t="s">
        <v>114</v>
      </c>
    </row>
    <row r="46" spans="2:6" ht="15" hidden="1" x14ac:dyDescent="0.25">
      <c r="B46" s="379" t="s">
        <v>567</v>
      </c>
      <c r="C46" t="s">
        <v>683</v>
      </c>
      <c r="E46" s="370">
        <f ca="1">E47*area</f>
        <v>2.1357421875000001E-5</v>
      </c>
      <c r="F46" t="s">
        <v>684</v>
      </c>
    </row>
    <row r="47" spans="2:6" ht="15" x14ac:dyDescent="0.25">
      <c r="B47" s="379" t="s">
        <v>568</v>
      </c>
      <c r="C47" t="s">
        <v>685</v>
      </c>
      <c r="E47" s="376">
        <f ca="1">E45/F</f>
        <v>0.12085828491040804</v>
      </c>
      <c r="F47" t="s">
        <v>686</v>
      </c>
    </row>
    <row r="63" spans="3:6" hidden="1" x14ac:dyDescent="0.15">
      <c r="C63" s="9" t="s">
        <v>543</v>
      </c>
      <c r="D63" s="9" t="s">
        <v>544</v>
      </c>
      <c r="E63" s="9" t="s">
        <v>545</v>
      </c>
    </row>
    <row r="64" spans="3:6" hidden="1" x14ac:dyDescent="0.15">
      <c r="C64" t="s">
        <v>650</v>
      </c>
      <c r="D64">
        <v>197</v>
      </c>
      <c r="E64">
        <v>0.27</v>
      </c>
      <c r="F64" s="7" t="s">
        <v>687</v>
      </c>
    </row>
    <row r="65" spans="3:6" hidden="1" x14ac:dyDescent="0.15">
      <c r="C65" t="s">
        <v>688</v>
      </c>
      <c r="D65">
        <v>200</v>
      </c>
      <c r="E65">
        <v>0.28000000000000003</v>
      </c>
      <c r="F65" t="s">
        <v>689</v>
      </c>
    </row>
    <row r="66" spans="3:6" hidden="1" x14ac:dyDescent="0.15">
      <c r="C66" t="s">
        <v>547</v>
      </c>
      <c r="D66">
        <v>2.2000000000000002</v>
      </c>
      <c r="E66">
        <v>0.35</v>
      </c>
      <c r="F66" t="s">
        <v>690</v>
      </c>
    </row>
    <row r="67" spans="3:6" hidden="1" x14ac:dyDescent="0.15">
      <c r="C67" t="s">
        <v>691</v>
      </c>
      <c r="D67">
        <v>69</v>
      </c>
      <c r="E67">
        <v>0.33</v>
      </c>
      <c r="F67" t="s">
        <v>692</v>
      </c>
    </row>
    <row r="68" spans="3:6" hidden="1" x14ac:dyDescent="0.15">
      <c r="C68" t="s">
        <v>693</v>
      </c>
      <c r="D68">
        <v>2.2000000000000002</v>
      </c>
      <c r="E68">
        <v>0.37</v>
      </c>
      <c r="F68" t="s">
        <v>694</v>
      </c>
    </row>
    <row r="69" spans="3:6" hidden="1" x14ac:dyDescent="0.15">
      <c r="C69" t="s">
        <v>582</v>
      </c>
      <c r="D69">
        <v>1</v>
      </c>
      <c r="E69">
        <v>1</v>
      </c>
    </row>
    <row r="70" spans="3:6" hidden="1" x14ac:dyDescent="0.15"/>
    <row r="71" spans="3:6" hidden="1" x14ac:dyDescent="0.15">
      <c r="C71" s="9" t="s">
        <v>555</v>
      </c>
    </row>
    <row r="72" spans="3:6" hidden="1" x14ac:dyDescent="0.15">
      <c r="C72" t="s">
        <v>695</v>
      </c>
    </row>
    <row r="73" spans="3:6" hidden="1" x14ac:dyDescent="0.15">
      <c r="C73" t="s">
        <v>645</v>
      </c>
    </row>
    <row r="74" spans="3:6" hidden="1" x14ac:dyDescent="0.15"/>
    <row r="75" spans="3:6" hidden="1" x14ac:dyDescent="0.15"/>
    <row r="76" spans="3:6" hidden="1" x14ac:dyDescent="0.15"/>
    <row r="77" spans="3:6" hidden="1" x14ac:dyDescent="0.15">
      <c r="C77" s="9" t="s">
        <v>561</v>
      </c>
    </row>
    <row r="78" spans="3:6" hidden="1" x14ac:dyDescent="0.15">
      <c r="C78" t="s">
        <v>696</v>
      </c>
    </row>
    <row r="79" spans="3:6" hidden="1" x14ac:dyDescent="0.15">
      <c r="C79" t="s">
        <v>659</v>
      </c>
    </row>
    <row r="80" spans="3:6" hidden="1" x14ac:dyDescent="0.15"/>
    <row r="81" spans="2:8" hidden="1" x14ac:dyDescent="0.15">
      <c r="C81" s="9" t="s">
        <v>697</v>
      </c>
    </row>
    <row r="82" spans="2:8" hidden="1" x14ac:dyDescent="0.15">
      <c r="C82" t="s">
        <v>34</v>
      </c>
    </row>
    <row r="83" spans="2:8" hidden="1" x14ac:dyDescent="0.15">
      <c r="C83" t="s">
        <v>698</v>
      </c>
    </row>
    <row r="84" spans="2:8" hidden="1" x14ac:dyDescent="0.15"/>
    <row r="85" spans="2:8" hidden="1" x14ac:dyDescent="0.15">
      <c r="B85" s="9"/>
      <c r="C85" s="9" t="s">
        <v>699</v>
      </c>
    </row>
    <row r="86" spans="2:8" hidden="1" x14ac:dyDescent="0.15">
      <c r="C86">
        <v>1E-3</v>
      </c>
    </row>
    <row r="87" spans="2:8" hidden="1" x14ac:dyDescent="0.15">
      <c r="C87">
        <v>10000</v>
      </c>
    </row>
    <row r="88" spans="2:8" hidden="1" x14ac:dyDescent="0.15"/>
    <row r="89" spans="2:8" hidden="1" x14ac:dyDescent="0.15"/>
    <row r="91" spans="2:8" hidden="1" x14ac:dyDescent="0.15">
      <c r="C91" s="9" t="s">
        <v>700</v>
      </c>
    </row>
    <row r="92" spans="2:8" hidden="1" x14ac:dyDescent="0.15">
      <c r="C92" s="9" t="s">
        <v>701</v>
      </c>
      <c r="D92">
        <v>0.9</v>
      </c>
    </row>
    <row r="93" spans="2:8" hidden="1" x14ac:dyDescent="0.15">
      <c r="C93" s="9" t="s">
        <v>577</v>
      </c>
      <c r="D93" s="9" t="s">
        <v>562</v>
      </c>
      <c r="E93" s="9" t="s">
        <v>563</v>
      </c>
      <c r="F93" s="9" t="s">
        <v>578</v>
      </c>
      <c r="G93" s="9" t="s">
        <v>579</v>
      </c>
      <c r="H93" s="9" t="str">
        <f>E22&amp;F22&amp; " " &amp;force&amp;" Force Deflection"</f>
        <v>1N Concentrated Force Deflection</v>
      </c>
    </row>
    <row r="94" spans="2:8" hidden="1" x14ac:dyDescent="0.15">
      <c r="C94" s="382">
        <v>0.999</v>
      </c>
      <c r="D94" s="382">
        <f>(1-(C94^2)*(1+2*LN(1/C94)))</f>
        <v>1.9993331662471192E-6</v>
      </c>
      <c r="E94" s="382">
        <f>((1-(C94^2))^2)</f>
        <v>3.9960009999998922E-6</v>
      </c>
      <c r="F94">
        <f>IF(E7="Circular",E8/2,MIN(E9:E10)/2)</f>
        <v>7.5</v>
      </c>
      <c r="G94">
        <f t="shared" ref="G94:G124" si="0">-F94*C94</f>
        <v>-7.4924999999999997</v>
      </c>
      <c r="H94">
        <f t="shared" ref="H94:H125" ca="1" si="1">IF(E21="Uniform",-D94*E$45,-E94*E$45)</f>
        <v>-4.8294982736026236E-7</v>
      </c>
    </row>
    <row r="95" spans="2:8" hidden="1" x14ac:dyDescent="0.15">
      <c r="C95" s="382">
        <f>C94*D$92</f>
        <v>0.89910000000000001</v>
      </c>
      <c r="D95" s="382">
        <f t="shared" ref="D95:D124" si="2">(1-(C95^2)*(1+2*LN(1/C95)))</f>
        <v>1.9658781480882515E-2</v>
      </c>
      <c r="E95" s="382">
        <f t="shared" ref="E95:E124" si="3">((1-(C95^2))^2)</f>
        <v>3.6717913976256074E-2</v>
      </c>
      <c r="F95">
        <f>F94</f>
        <v>7.5</v>
      </c>
      <c r="G95">
        <f t="shared" si="0"/>
        <v>-6.7432499999999997</v>
      </c>
      <c r="H95">
        <f t="shared" ca="1" si="1"/>
        <v>-4.4376641086582101E-3</v>
      </c>
    </row>
    <row r="96" spans="2:8" hidden="1" x14ac:dyDescent="0.15">
      <c r="C96" s="382">
        <f t="shared" ref="C96:C124" si="4">C95*D$92</f>
        <v>0.80919000000000008</v>
      </c>
      <c r="D96" s="382">
        <f t="shared" si="2"/>
        <v>6.7945914236538729E-2</v>
      </c>
      <c r="E96" s="382">
        <f t="shared" si="3"/>
        <v>0.11917101004182153</v>
      </c>
      <c r="F96">
        <f t="shared" ref="F96:F155" si="5">F95</f>
        <v>7.5</v>
      </c>
      <c r="G96">
        <f t="shared" si="0"/>
        <v>-6.0689250000000001</v>
      </c>
      <c r="H96">
        <f t="shared" ca="1" si="1"/>
        <v>-1.4402803884695564E-2</v>
      </c>
    </row>
    <row r="97" spans="3:8" hidden="1" x14ac:dyDescent="0.15">
      <c r="C97" s="382">
        <f t="shared" si="4"/>
        <v>0.72827100000000011</v>
      </c>
      <c r="D97" s="382">
        <f t="shared" si="2"/>
        <v>0.13327425453358566</v>
      </c>
      <c r="E97" s="382">
        <f t="shared" si="3"/>
        <v>0.22054421290085896</v>
      </c>
      <c r="F97">
        <f t="shared" si="5"/>
        <v>7.5</v>
      </c>
      <c r="G97">
        <f t="shared" si="0"/>
        <v>-5.4620325000000012</v>
      </c>
      <c r="H97">
        <f t="shared" ca="1" si="1"/>
        <v>-2.6654595318113702E-2</v>
      </c>
    </row>
    <row r="98" spans="3:8" hidden="1" x14ac:dyDescent="0.15">
      <c r="C98" s="382">
        <f t="shared" si="4"/>
        <v>0.65544390000000008</v>
      </c>
      <c r="D98" s="382">
        <f t="shared" si="2"/>
        <v>0.20742497801381599</v>
      </c>
      <c r="E98" s="382">
        <f t="shared" si="3"/>
        <v>0.32534850978631369</v>
      </c>
      <c r="F98">
        <f t="shared" si="5"/>
        <v>7.5</v>
      </c>
      <c r="G98">
        <f t="shared" si="0"/>
        <v>-4.9158292500000007</v>
      </c>
      <c r="H98">
        <f t="shared" ca="1" si="1"/>
        <v>-3.9321062890930979E-2</v>
      </c>
    </row>
    <row r="99" spans="3:8" hidden="1" x14ac:dyDescent="0.15">
      <c r="C99" s="382">
        <f t="shared" si="4"/>
        <v>0.58989951000000007</v>
      </c>
      <c r="D99" s="382">
        <f t="shared" si="2"/>
        <v>0.2846872259828962</v>
      </c>
      <c r="E99" s="382">
        <f t="shared" si="3"/>
        <v>0.42512821314946925</v>
      </c>
      <c r="F99">
        <f t="shared" si="5"/>
        <v>7.5</v>
      </c>
      <c r="G99">
        <f t="shared" si="0"/>
        <v>-4.4242463250000004</v>
      </c>
      <c r="H99">
        <f t="shared" ca="1" si="1"/>
        <v>-5.1380266708271234E-2</v>
      </c>
    </row>
    <row r="100" spans="3:8" hidden="1" x14ac:dyDescent="0.15">
      <c r="C100" s="382">
        <f t="shared" si="4"/>
        <v>0.53090955900000003</v>
      </c>
      <c r="D100" s="382">
        <f t="shared" si="2"/>
        <v>0.36120177801742726</v>
      </c>
      <c r="E100" s="382">
        <f t="shared" si="3"/>
        <v>0.51571793590908843</v>
      </c>
      <c r="F100">
        <f t="shared" si="5"/>
        <v>7.5</v>
      </c>
      <c r="G100">
        <f t="shared" si="0"/>
        <v>-3.9818216925000001</v>
      </c>
      <c r="H100">
        <f t="shared" ca="1" si="1"/>
        <v>-6.2328785231508164E-2</v>
      </c>
    </row>
    <row r="101" spans="3:8" hidden="1" x14ac:dyDescent="0.15">
      <c r="C101" s="382">
        <f t="shared" si="4"/>
        <v>0.47781860310000002</v>
      </c>
      <c r="D101" s="382">
        <f t="shared" si="2"/>
        <v>0.434463591420854</v>
      </c>
      <c r="E101" s="382">
        <f t="shared" si="3"/>
        <v>0.59550450311194758</v>
      </c>
      <c r="F101">
        <f t="shared" si="5"/>
        <v>7.5</v>
      </c>
      <c r="G101">
        <f t="shared" si="0"/>
        <v>-3.58363952325</v>
      </c>
      <c r="H101">
        <f t="shared" ca="1" si="1"/>
        <v>-7.1971652902534725E-2</v>
      </c>
    </row>
    <row r="102" spans="3:8" hidden="1" x14ac:dyDescent="0.15">
      <c r="C102" s="382">
        <f t="shared" si="4"/>
        <v>0.43003674279000004</v>
      </c>
      <c r="D102" s="382">
        <f t="shared" si="2"/>
        <v>0.50294653154454938</v>
      </c>
      <c r="E102" s="382">
        <f t="shared" si="3"/>
        <v>0.66433649643496429</v>
      </c>
      <c r="F102">
        <f t="shared" si="5"/>
        <v>7.5</v>
      </c>
      <c r="G102">
        <f t="shared" si="0"/>
        <v>-3.2252755709250005</v>
      </c>
      <c r="H102">
        <f t="shared" ca="1" si="1"/>
        <v>-8.029056956251919E-2</v>
      </c>
    </row>
    <row r="103" spans="3:8" hidden="1" x14ac:dyDescent="0.15">
      <c r="C103" s="382">
        <f t="shared" si="4"/>
        <v>0.38703306851100006</v>
      </c>
      <c r="D103" s="382">
        <f t="shared" si="2"/>
        <v>0.56582181877094773</v>
      </c>
      <c r="E103" s="382">
        <f t="shared" si="3"/>
        <v>0.72284922878498459</v>
      </c>
      <c r="F103">
        <f t="shared" si="5"/>
        <v>7.5</v>
      </c>
      <c r="G103">
        <f t="shared" si="0"/>
        <v>-2.9027480138325004</v>
      </c>
      <c r="H103">
        <f t="shared" ca="1" si="1"/>
        <v>-8.7362318039764394E-2</v>
      </c>
    </row>
    <row r="104" spans="3:8" hidden="1" x14ac:dyDescent="0.15">
      <c r="C104" s="382">
        <f t="shared" si="4"/>
        <v>0.34832976165990004</v>
      </c>
      <c r="D104" s="382">
        <f t="shared" si="2"/>
        <v>0.62274812706255633</v>
      </c>
      <c r="E104" s="382">
        <f t="shared" si="3"/>
        <v>0.7720546023197723</v>
      </c>
      <c r="F104">
        <f t="shared" si="5"/>
        <v>7.5</v>
      </c>
      <c r="G104">
        <f t="shared" si="0"/>
        <v>-2.6124732124492502</v>
      </c>
      <c r="H104">
        <f t="shared" ca="1" si="1"/>
        <v>-9.3309195093554814E-2</v>
      </c>
    </row>
    <row r="105" spans="3:8" hidden="1" x14ac:dyDescent="0.15">
      <c r="C105" s="382">
        <f t="shared" si="4"/>
        <v>0.31349678549391002</v>
      </c>
      <c r="D105" s="382">
        <f t="shared" si="2"/>
        <v>0.67371627054572258</v>
      </c>
      <c r="E105" s="382">
        <f t="shared" si="3"/>
        <v>0.81309853546629696</v>
      </c>
      <c r="F105">
        <f t="shared" si="5"/>
        <v>7.5</v>
      </c>
      <c r="G105">
        <f t="shared" si="0"/>
        <v>-2.3512258912043253</v>
      </c>
      <c r="H105">
        <f t="shared" ca="1" si="1"/>
        <v>-9.8269694459621235E-2</v>
      </c>
    </row>
    <row r="106" spans="3:8" hidden="1" x14ac:dyDescent="0.15">
      <c r="C106" s="382">
        <f t="shared" si="4"/>
        <v>0.28214710694451905</v>
      </c>
      <c r="D106" s="382">
        <f t="shared" si="2"/>
        <v>0.71893531211832729</v>
      </c>
      <c r="E106" s="382">
        <f t="shared" si="3"/>
        <v>0.84712329293571598</v>
      </c>
      <c r="F106">
        <f t="shared" si="5"/>
        <v>7.5</v>
      </c>
      <c r="G106">
        <f t="shared" si="0"/>
        <v>-2.1161033020838929</v>
      </c>
      <c r="H106">
        <f t="shared" ca="1" si="1"/>
        <v>-0.10238186829186781</v>
      </c>
    </row>
    <row r="107" spans="3:8" hidden="1" x14ac:dyDescent="0.15">
      <c r="C107" s="382">
        <f t="shared" si="4"/>
        <v>0.25393239625006714</v>
      </c>
      <c r="D107" s="382">
        <f t="shared" si="2"/>
        <v>0.75874996052664168</v>
      </c>
      <c r="E107" s="382">
        <f t="shared" si="3"/>
        <v>0.87519456098630877</v>
      </c>
      <c r="F107">
        <f t="shared" si="5"/>
        <v>7.5</v>
      </c>
      <c r="G107">
        <f t="shared" si="0"/>
        <v>-1.9044929718755035</v>
      </c>
      <c r="H107">
        <f t="shared" ca="1" si="1"/>
        <v>-0.10577451360372278</v>
      </c>
    </row>
    <row r="108" spans="3:8" hidden="1" x14ac:dyDescent="0.15">
      <c r="C108" s="382">
        <f t="shared" si="4"/>
        <v>0.22853915662506044</v>
      </c>
      <c r="D108" s="382">
        <f t="shared" si="2"/>
        <v>0.79358147777232491</v>
      </c>
      <c r="E108" s="382">
        <f t="shared" si="3"/>
        <v>0.89826769594097744</v>
      </c>
      <c r="F108">
        <f t="shared" si="5"/>
        <v>7.5</v>
      </c>
      <c r="G108">
        <f t="shared" si="0"/>
        <v>-1.7140436746879533</v>
      </c>
      <c r="H108">
        <f t="shared" ca="1" si="1"/>
        <v>-0.10856309312185043</v>
      </c>
    </row>
    <row r="109" spans="3:8" hidden="1" x14ac:dyDescent="0.15">
      <c r="C109" s="382">
        <f t="shared" si="4"/>
        <v>0.20568524096255439</v>
      </c>
      <c r="D109" s="382">
        <f t="shared" si="2"/>
        <v>0.82388614488963685</v>
      </c>
      <c r="E109" s="382">
        <f t="shared" si="3"/>
        <v>0.91717699633394223</v>
      </c>
      <c r="F109">
        <f t="shared" si="5"/>
        <v>7.5</v>
      </c>
      <c r="G109">
        <f t="shared" si="0"/>
        <v>-1.542639307219158</v>
      </c>
      <c r="H109">
        <f t="shared" ca="1" si="1"/>
        <v>-0.11084843873619986</v>
      </c>
    </row>
    <row r="110" spans="3:8" hidden="1" x14ac:dyDescent="0.15">
      <c r="C110" s="382">
        <f t="shared" si="4"/>
        <v>0.18511671686629896</v>
      </c>
      <c r="D110" s="382">
        <f t="shared" si="2"/>
        <v>0.85012674715478931</v>
      </c>
      <c r="E110" s="382">
        <f t="shared" si="3"/>
        <v>0.93263791172662358</v>
      </c>
      <c r="F110">
        <f t="shared" si="5"/>
        <v>7.5</v>
      </c>
      <c r="G110">
        <f t="shared" si="0"/>
        <v>-1.3883753764972422</v>
      </c>
      <c r="H110">
        <f t="shared" ca="1" si="1"/>
        <v>-0.11271701845370426</v>
      </c>
    </row>
    <row r="111" spans="3:8" hidden="1" x14ac:dyDescent="0.15">
      <c r="C111" s="382">
        <f t="shared" si="4"/>
        <v>0.16660504517966906</v>
      </c>
      <c r="D111" s="382">
        <f t="shared" si="2"/>
        <v>0.87275363072866785</v>
      </c>
      <c r="E111" s="382">
        <f t="shared" si="3"/>
        <v>0.94525598227369634</v>
      </c>
      <c r="F111">
        <f t="shared" si="5"/>
        <v>7.5</v>
      </c>
      <c r="G111">
        <f t="shared" si="0"/>
        <v>-1.249537838847518</v>
      </c>
      <c r="H111">
        <f t="shared" ca="1" si="1"/>
        <v>-0.114242016818902</v>
      </c>
    </row>
    <row r="112" spans="3:8" hidden="1" x14ac:dyDescent="0.15">
      <c r="C112" s="382">
        <f t="shared" si="4"/>
        <v>0.14994454066170215</v>
      </c>
      <c r="D112" s="382">
        <f t="shared" si="2"/>
        <v>0.89219272297218477</v>
      </c>
      <c r="E112" s="382">
        <f t="shared" si="3"/>
        <v>0.95553877116555752</v>
      </c>
      <c r="F112">
        <f t="shared" si="5"/>
        <v>7.5</v>
      </c>
      <c r="G112">
        <f t="shared" si="0"/>
        <v>-1.1245840549627661</v>
      </c>
      <c r="H112">
        <f t="shared" ca="1" si="1"/>
        <v>-0.11548477704846814</v>
      </c>
    </row>
    <row r="113" spans="2:8" hidden="1" x14ac:dyDescent="0.15">
      <c r="C113" s="382">
        <f t="shared" si="4"/>
        <v>0.13495008659553195</v>
      </c>
      <c r="D113" s="382">
        <f t="shared" si="2"/>
        <v>0.90883855409386027</v>
      </c>
      <c r="E113" s="382">
        <f t="shared" si="3"/>
        <v>0.96390860793030853</v>
      </c>
      <c r="F113">
        <f t="shared" si="5"/>
        <v>7.5</v>
      </c>
      <c r="G113">
        <f t="shared" si="0"/>
        <v>-1.0121256494664896</v>
      </c>
      <c r="H113">
        <f t="shared" ca="1" si="1"/>
        <v>-0.11649634116483602</v>
      </c>
    </row>
    <row r="114" spans="2:8" hidden="1" x14ac:dyDescent="0.15">
      <c r="C114" s="382">
        <f t="shared" si="4"/>
        <v>0.12145507793597876</v>
      </c>
      <c r="D114" s="382">
        <f t="shared" si="2"/>
        <v>0.92305081209000328</v>
      </c>
      <c r="E114" s="382">
        <f t="shared" si="3"/>
        <v>0.97071492999963038</v>
      </c>
      <c r="F114">
        <f t="shared" si="5"/>
        <v>7.5</v>
      </c>
      <c r="G114">
        <f t="shared" si="0"/>
        <v>-0.91091308451984077</v>
      </c>
      <c r="H114">
        <f t="shared" ca="1" si="1"/>
        <v>-0.11731894157668213</v>
      </c>
    </row>
    <row r="115" spans="2:8" hidden="1" x14ac:dyDescent="0.15">
      <c r="C115" s="382">
        <f t="shared" si="4"/>
        <v>0.10930957014238089</v>
      </c>
      <c r="D115" s="382">
        <f t="shared" si="2"/>
        <v>0.93515334024482355</v>
      </c>
      <c r="E115" s="382">
        <f t="shared" si="3"/>
        <v>0.97624560436536689</v>
      </c>
      <c r="F115">
        <f t="shared" si="5"/>
        <v>7.5</v>
      </c>
      <c r="G115">
        <f t="shared" si="0"/>
        <v>-0.81982177606785667</v>
      </c>
      <c r="H115">
        <f t="shared" ca="1" si="1"/>
        <v>-0.11798736939492299</v>
      </c>
    </row>
    <row r="116" spans="2:8" hidden="1" x14ac:dyDescent="0.15">
      <c r="C116" s="382">
        <f t="shared" si="4"/>
        <v>9.8378613128142806E-2</v>
      </c>
      <c r="D116" s="382">
        <f t="shared" si="2"/>
        <v>0.94543477338436299</v>
      </c>
      <c r="E116" s="382">
        <f t="shared" si="3"/>
        <v>0.9807369674461307</v>
      </c>
      <c r="F116">
        <f t="shared" si="5"/>
        <v>7.5</v>
      </c>
      <c r="G116">
        <f t="shared" si="0"/>
        <v>-0.73783959846107106</v>
      </c>
      <c r="H116">
        <f t="shared" ca="1" si="1"/>
        <v>-0.11853018783377403</v>
      </c>
    </row>
    <row r="117" spans="2:8" hidden="1" x14ac:dyDescent="0.15">
      <c r="C117" s="382">
        <f t="shared" si="4"/>
        <v>8.8540751815328528E-2</v>
      </c>
      <c r="D117" s="382">
        <f t="shared" si="2"/>
        <v>0.95415022634803925</v>
      </c>
      <c r="E117" s="382">
        <f t="shared" si="3"/>
        <v>0.98438252774323753</v>
      </c>
      <c r="F117">
        <f t="shared" si="5"/>
        <v>7.5</v>
      </c>
      <c r="G117">
        <f t="shared" si="0"/>
        <v>-0.66405563861496397</v>
      </c>
      <c r="H117">
        <f t="shared" ca="1" si="1"/>
        <v>-0.11897078399881984</v>
      </c>
    </row>
    <row r="118" spans="2:8" hidden="1" x14ac:dyDescent="0.15">
      <c r="C118" s="382">
        <f t="shared" si="4"/>
        <v>7.9686676633795681E-2</v>
      </c>
      <c r="D118" s="382">
        <f t="shared" si="2"/>
        <v>0.96152361186634316</v>
      </c>
      <c r="E118" s="382">
        <f t="shared" si="3"/>
        <v>0.98734038920782108</v>
      </c>
      <c r="F118">
        <f t="shared" si="5"/>
        <v>7.5</v>
      </c>
      <c r="G118">
        <f t="shared" si="0"/>
        <v>-0.59765007475346765</v>
      </c>
      <c r="H118">
        <f t="shared" ca="1" si="1"/>
        <v>-0.11932826606243201</v>
      </c>
    </row>
    <row r="119" spans="2:8" hidden="1" x14ac:dyDescent="0.15">
      <c r="C119" s="382">
        <f t="shared" si="4"/>
        <v>7.1718008970416108E-2</v>
      </c>
      <c r="D119" s="382">
        <f t="shared" si="2"/>
        <v>0.96775028771652727</v>
      </c>
      <c r="E119" s="382">
        <f t="shared" si="3"/>
        <v>0.98973950969119273</v>
      </c>
      <c r="F119">
        <f t="shared" si="5"/>
        <v>7.5</v>
      </c>
      <c r="G119">
        <f t="shared" si="0"/>
        <v>-0.5378850672781208</v>
      </c>
      <c r="H119">
        <f t="shared" ca="1" si="1"/>
        <v>-0.11961821964934573</v>
      </c>
    </row>
    <row r="120" spans="2:8" hidden="1" x14ac:dyDescent="0.15">
      <c r="C120" s="382">
        <f t="shared" si="4"/>
        <v>6.4546208073374495E-2</v>
      </c>
      <c r="D120" s="382">
        <f t="shared" si="2"/>
        <v>0.97299982435526644</v>
      </c>
      <c r="E120" s="382">
        <f t="shared" si="3"/>
        <v>0.99168493137726421</v>
      </c>
      <c r="F120">
        <f t="shared" si="5"/>
        <v>7.5</v>
      </c>
      <c r="G120">
        <f t="shared" si="0"/>
        <v>-0.4840965605503087</v>
      </c>
      <c r="H120">
        <f t="shared" ca="1" si="1"/>
        <v>-0.11985333997775184</v>
      </c>
    </row>
    <row r="121" spans="2:8" hidden="1" x14ac:dyDescent="0.15">
      <c r="C121" s="382">
        <f t="shared" si="4"/>
        <v>5.8091587266037047E-2</v>
      </c>
      <c r="D121" s="382">
        <f t="shared" si="2"/>
        <v>0.97741875168471815</v>
      </c>
      <c r="E121" s="382">
        <f t="shared" si="3"/>
        <v>0.99326212312240969</v>
      </c>
      <c r="F121">
        <f t="shared" si="5"/>
        <v>7.5</v>
      </c>
      <c r="G121">
        <f t="shared" si="0"/>
        <v>-0.43568690449527786</v>
      </c>
      <c r="H121">
        <f t="shared" ca="1" si="1"/>
        <v>-0.12004395666704498</v>
      </c>
    </row>
    <row r="122" spans="2:8" hidden="1" x14ac:dyDescent="0.15">
      <c r="C122" s="382">
        <f t="shared" si="4"/>
        <v>5.2282428539433344E-2</v>
      </c>
      <c r="D122" s="382">
        <f t="shared" si="2"/>
        <v>0.98113319296975299</v>
      </c>
      <c r="E122" s="382">
        <f t="shared" si="3"/>
        <v>0.99454056709370031</v>
      </c>
      <c r="F122">
        <f t="shared" si="5"/>
        <v>7.5</v>
      </c>
      <c r="G122">
        <f t="shared" si="0"/>
        <v>-0.39211821404575009</v>
      </c>
      <c r="H122">
        <f t="shared" ca="1" si="1"/>
        <v>-0.12019846721276921</v>
      </c>
    </row>
    <row r="123" spans="2:8" hidden="1" x14ac:dyDescent="0.15">
      <c r="C123" s="382">
        <f t="shared" si="4"/>
        <v>4.705418568549001E-2</v>
      </c>
      <c r="D123" s="382">
        <f t="shared" si="2"/>
        <v>0.98425132963065631</v>
      </c>
      <c r="E123" s="382">
        <f t="shared" si="3"/>
        <v>0.99557670944177734</v>
      </c>
      <c r="F123">
        <f t="shared" si="5"/>
        <v>7.5</v>
      </c>
      <c r="G123">
        <f t="shared" si="0"/>
        <v>-0.35290639264117507</v>
      </c>
      <c r="H123">
        <f t="shared" ca="1" si="1"/>
        <v>-0.12032369359988085</v>
      </c>
    </row>
    <row r="124" spans="2:8" hidden="1" x14ac:dyDescent="0.15">
      <c r="C124" s="382">
        <f t="shared" si="4"/>
        <v>4.2348767116941008E-2</v>
      </c>
      <c r="D124" s="382">
        <f t="shared" si="2"/>
        <v>0.98686566609420834</v>
      </c>
      <c r="E124" s="382">
        <f t="shared" si="3"/>
        <v>0.99641638019574663</v>
      </c>
      <c r="F124">
        <f t="shared" si="5"/>
        <v>7.5</v>
      </c>
      <c r="G124">
        <f t="shared" si="0"/>
        <v>-0.31761575337705755</v>
      </c>
      <c r="H124">
        <f t="shared" ca="1" si="1"/>
        <v>-0.12042517476709501</v>
      </c>
    </row>
    <row r="125" spans="2:8" hidden="1" x14ac:dyDescent="0.15">
      <c r="B125" t="s">
        <v>702</v>
      </c>
      <c r="C125" s="382">
        <f>C124</f>
        <v>4.2348767116941008E-2</v>
      </c>
      <c r="D125" s="382">
        <f>(1-(C125^2)*(1+2*LN(1/C125)))</f>
        <v>0.98686566609420834</v>
      </c>
      <c r="E125" s="382">
        <f>((1-(C125^2))^2)</f>
        <v>0.99641638019574663</v>
      </c>
      <c r="F125">
        <f t="shared" si="5"/>
        <v>7.5</v>
      </c>
      <c r="G125">
        <f>F125*C125</f>
        <v>0.31761575337705755</v>
      </c>
      <c r="H125">
        <f t="shared" ca="1" si="1"/>
        <v>-0.12042517476709501</v>
      </c>
    </row>
    <row r="126" spans="2:8" hidden="1" x14ac:dyDescent="0.15">
      <c r="C126" s="382">
        <f>C125/D$92</f>
        <v>4.705418568549001E-2</v>
      </c>
      <c r="D126" s="382">
        <f t="shared" ref="D126:D155" si="6">(1-(C126^2)*(1+2*LN(1/C126)))</f>
        <v>0.98425132963065631</v>
      </c>
      <c r="E126" s="382">
        <f t="shared" ref="E126:E155" si="7">((1-(C126^2))^2)</f>
        <v>0.99557670944177734</v>
      </c>
      <c r="F126">
        <f t="shared" si="5"/>
        <v>7.5</v>
      </c>
      <c r="G126">
        <f t="shared" ref="G126:G155" si="8">F126*C126</f>
        <v>0.35290639264117507</v>
      </c>
      <c r="H126">
        <f t="shared" ref="H126:H155" ca="1" si="9">IF(E53="Uniform",-D126*E$45,-E126*E$45)</f>
        <v>-0.12032369359988085</v>
      </c>
    </row>
    <row r="127" spans="2:8" hidden="1" x14ac:dyDescent="0.15">
      <c r="C127" s="382">
        <f t="shared" ref="C127:C155" si="10">C126/D$92</f>
        <v>5.2282428539433344E-2</v>
      </c>
      <c r="D127" s="382">
        <f t="shared" si="6"/>
        <v>0.98113319296975299</v>
      </c>
      <c r="E127" s="382">
        <f t="shared" si="7"/>
        <v>0.99454056709370031</v>
      </c>
      <c r="F127">
        <f t="shared" si="5"/>
        <v>7.5</v>
      </c>
      <c r="G127">
        <f t="shared" si="8"/>
        <v>0.39211821404575009</v>
      </c>
      <c r="H127">
        <f t="shared" ca="1" si="9"/>
        <v>-0.12019846721276921</v>
      </c>
    </row>
    <row r="128" spans="2:8" hidden="1" x14ac:dyDescent="0.15">
      <c r="C128" s="382">
        <f t="shared" si="10"/>
        <v>5.8091587266037047E-2</v>
      </c>
      <c r="D128" s="382">
        <f t="shared" si="6"/>
        <v>0.97741875168471815</v>
      </c>
      <c r="E128" s="382">
        <f t="shared" si="7"/>
        <v>0.99326212312240969</v>
      </c>
      <c r="F128">
        <f t="shared" si="5"/>
        <v>7.5</v>
      </c>
      <c r="G128">
        <f t="shared" si="8"/>
        <v>0.43568690449527786</v>
      </c>
      <c r="H128">
        <f t="shared" ca="1" si="9"/>
        <v>-0.12004395666704498</v>
      </c>
    </row>
    <row r="129" spans="3:8" hidden="1" x14ac:dyDescent="0.15">
      <c r="C129" s="382">
        <f t="shared" si="10"/>
        <v>6.4546208073374495E-2</v>
      </c>
      <c r="D129" s="382">
        <f t="shared" si="6"/>
        <v>0.97299982435526644</v>
      </c>
      <c r="E129" s="382">
        <f t="shared" si="7"/>
        <v>0.99168493137726421</v>
      </c>
      <c r="F129">
        <f t="shared" si="5"/>
        <v>7.5</v>
      </c>
      <c r="G129">
        <f t="shared" si="8"/>
        <v>0.4840965605503087</v>
      </c>
      <c r="H129">
        <f t="shared" ca="1" si="9"/>
        <v>-0.11985333997775184</v>
      </c>
    </row>
    <row r="130" spans="3:8" hidden="1" x14ac:dyDescent="0.15">
      <c r="C130" s="382">
        <f t="shared" si="10"/>
        <v>7.1718008970416108E-2</v>
      </c>
      <c r="D130" s="382">
        <f t="shared" si="6"/>
        <v>0.96775028771652727</v>
      </c>
      <c r="E130" s="382">
        <f t="shared" si="7"/>
        <v>0.98973950969119273</v>
      </c>
      <c r="F130">
        <f t="shared" si="5"/>
        <v>7.5</v>
      </c>
      <c r="G130">
        <f t="shared" si="8"/>
        <v>0.5378850672781208</v>
      </c>
      <c r="H130">
        <f t="shared" ca="1" si="9"/>
        <v>-0.11961821964934573</v>
      </c>
    </row>
    <row r="131" spans="3:8" hidden="1" x14ac:dyDescent="0.15">
      <c r="C131" s="382">
        <f t="shared" si="10"/>
        <v>7.9686676633795681E-2</v>
      </c>
      <c r="D131" s="382">
        <f t="shared" si="6"/>
        <v>0.96152361186634316</v>
      </c>
      <c r="E131" s="382">
        <f t="shared" si="7"/>
        <v>0.98734038920782108</v>
      </c>
      <c r="F131">
        <f t="shared" si="5"/>
        <v>7.5</v>
      </c>
      <c r="G131">
        <f t="shared" si="8"/>
        <v>0.59765007475346765</v>
      </c>
      <c r="H131">
        <f t="shared" ca="1" si="9"/>
        <v>-0.11932826606243201</v>
      </c>
    </row>
    <row r="132" spans="3:8" hidden="1" x14ac:dyDescent="0.15">
      <c r="C132" s="382">
        <f t="shared" si="10"/>
        <v>8.8540751815328528E-2</v>
      </c>
      <c r="D132" s="382">
        <f t="shared" si="6"/>
        <v>0.95415022634803925</v>
      </c>
      <c r="E132" s="382">
        <f t="shared" si="7"/>
        <v>0.98438252774323753</v>
      </c>
      <c r="F132">
        <f t="shared" si="5"/>
        <v>7.5</v>
      </c>
      <c r="G132">
        <f t="shared" si="8"/>
        <v>0.66405563861496397</v>
      </c>
      <c r="H132">
        <f t="shared" ca="1" si="9"/>
        <v>-0.11897078399881984</v>
      </c>
    </row>
    <row r="133" spans="3:8" hidden="1" x14ac:dyDescent="0.15">
      <c r="C133" s="382">
        <f t="shared" si="10"/>
        <v>9.8378613128142806E-2</v>
      </c>
      <c r="D133" s="382">
        <f t="shared" si="6"/>
        <v>0.94543477338436299</v>
      </c>
      <c r="E133" s="382">
        <f t="shared" si="7"/>
        <v>0.9807369674461307</v>
      </c>
      <c r="F133">
        <f t="shared" si="5"/>
        <v>7.5</v>
      </c>
      <c r="G133">
        <f t="shared" si="8"/>
        <v>0.73783959846107106</v>
      </c>
      <c r="H133">
        <f t="shared" ca="1" si="9"/>
        <v>-0.11853018783377403</v>
      </c>
    </row>
    <row r="134" spans="3:8" hidden="1" x14ac:dyDescent="0.15">
      <c r="C134" s="382">
        <f t="shared" si="10"/>
        <v>0.10930957014238089</v>
      </c>
      <c r="D134" s="382">
        <f t="shared" si="6"/>
        <v>0.93515334024482355</v>
      </c>
      <c r="E134" s="382">
        <f t="shared" si="7"/>
        <v>0.97624560436536689</v>
      </c>
      <c r="F134">
        <f t="shared" si="5"/>
        <v>7.5</v>
      </c>
      <c r="G134">
        <f t="shared" si="8"/>
        <v>0.81982177606785667</v>
      </c>
      <c r="H134">
        <f t="shared" ca="1" si="9"/>
        <v>-0.11798736939492299</v>
      </c>
    </row>
    <row r="135" spans="3:8" hidden="1" x14ac:dyDescent="0.15">
      <c r="C135" s="382">
        <f t="shared" si="10"/>
        <v>0.12145507793597876</v>
      </c>
      <c r="D135" s="382">
        <f t="shared" si="6"/>
        <v>0.92305081209000328</v>
      </c>
      <c r="E135" s="382">
        <f t="shared" si="7"/>
        <v>0.97071492999963038</v>
      </c>
      <c r="F135">
        <f t="shared" si="5"/>
        <v>7.5</v>
      </c>
      <c r="G135">
        <f t="shared" si="8"/>
        <v>0.91091308451984077</v>
      </c>
      <c r="H135">
        <f t="shared" ca="1" si="9"/>
        <v>-0.11731894157668213</v>
      </c>
    </row>
    <row r="136" spans="3:8" hidden="1" x14ac:dyDescent="0.15">
      <c r="C136" s="382">
        <f t="shared" si="10"/>
        <v>0.13495008659553195</v>
      </c>
      <c r="D136" s="382">
        <f t="shared" si="6"/>
        <v>0.90883855409386027</v>
      </c>
      <c r="E136" s="382">
        <f t="shared" si="7"/>
        <v>0.96390860793030853</v>
      </c>
      <c r="F136">
        <f t="shared" si="5"/>
        <v>7.5</v>
      </c>
      <c r="G136">
        <f t="shared" si="8"/>
        <v>1.0121256494664896</v>
      </c>
      <c r="H136">
        <f t="shared" ca="1" si="9"/>
        <v>-0.11649634116483602</v>
      </c>
    </row>
    <row r="137" spans="3:8" hidden="1" x14ac:dyDescent="0.15">
      <c r="C137" s="382">
        <f t="shared" si="10"/>
        <v>0.14994454066170218</v>
      </c>
      <c r="D137" s="382">
        <f t="shared" si="6"/>
        <v>0.89219272297218477</v>
      </c>
      <c r="E137" s="382">
        <f t="shared" si="7"/>
        <v>0.95553877116555752</v>
      </c>
      <c r="F137">
        <f t="shared" si="5"/>
        <v>7.5</v>
      </c>
      <c r="G137">
        <f t="shared" si="8"/>
        <v>1.1245840549627664</v>
      </c>
      <c r="H137">
        <f t="shared" ca="1" si="9"/>
        <v>-0.11548477704846814</v>
      </c>
    </row>
    <row r="138" spans="3:8" hidden="1" x14ac:dyDescent="0.15">
      <c r="C138" s="382">
        <f t="shared" si="10"/>
        <v>0.16660504517966909</v>
      </c>
      <c r="D138" s="382">
        <f t="shared" si="6"/>
        <v>0.87275363072866785</v>
      </c>
      <c r="E138" s="382">
        <f t="shared" si="7"/>
        <v>0.94525598227369634</v>
      </c>
      <c r="F138">
        <f t="shared" si="5"/>
        <v>7.5</v>
      </c>
      <c r="G138">
        <f t="shared" si="8"/>
        <v>1.2495378388475182</v>
      </c>
      <c r="H138">
        <f t="shared" ca="1" si="9"/>
        <v>-0.114242016818902</v>
      </c>
    </row>
    <row r="139" spans="3:8" hidden="1" x14ac:dyDescent="0.15">
      <c r="C139" s="382">
        <f t="shared" si="10"/>
        <v>0.18511671686629899</v>
      </c>
      <c r="D139" s="382">
        <f t="shared" si="6"/>
        <v>0.85012674715478931</v>
      </c>
      <c r="E139" s="382">
        <f t="shared" si="7"/>
        <v>0.93263791172662358</v>
      </c>
      <c r="F139">
        <f t="shared" si="5"/>
        <v>7.5</v>
      </c>
      <c r="G139">
        <f t="shared" si="8"/>
        <v>1.3883753764972424</v>
      </c>
      <c r="H139">
        <f t="shared" ca="1" si="9"/>
        <v>-0.11271701845370426</v>
      </c>
    </row>
    <row r="140" spans="3:8" hidden="1" x14ac:dyDescent="0.15">
      <c r="C140" s="382">
        <f t="shared" si="10"/>
        <v>0.20568524096255442</v>
      </c>
      <c r="D140" s="382">
        <f t="shared" si="6"/>
        <v>0.82388614488963685</v>
      </c>
      <c r="E140" s="382">
        <f t="shared" si="7"/>
        <v>0.91717699633394223</v>
      </c>
      <c r="F140">
        <f t="shared" si="5"/>
        <v>7.5</v>
      </c>
      <c r="G140">
        <f t="shared" si="8"/>
        <v>1.5426393072191582</v>
      </c>
      <c r="H140">
        <f t="shared" ca="1" si="9"/>
        <v>-0.11084843873619986</v>
      </c>
    </row>
    <row r="141" spans="3:8" hidden="1" x14ac:dyDescent="0.15">
      <c r="C141" s="382">
        <f t="shared" si="10"/>
        <v>0.22853915662506047</v>
      </c>
      <c r="D141" s="382">
        <f t="shared" si="6"/>
        <v>0.79358147777232491</v>
      </c>
      <c r="E141" s="382">
        <f t="shared" si="7"/>
        <v>0.89826769594097744</v>
      </c>
      <c r="F141">
        <f t="shared" si="5"/>
        <v>7.5</v>
      </c>
      <c r="G141">
        <f t="shared" si="8"/>
        <v>1.7140436746879535</v>
      </c>
      <c r="H141">
        <f t="shared" ca="1" si="9"/>
        <v>-0.10856309312185043</v>
      </c>
    </row>
    <row r="142" spans="3:8" hidden="1" x14ac:dyDescent="0.15">
      <c r="C142" s="382">
        <f t="shared" si="10"/>
        <v>0.25393239625006719</v>
      </c>
      <c r="D142" s="382">
        <f t="shared" si="6"/>
        <v>0.75874996052664168</v>
      </c>
      <c r="E142" s="382">
        <f t="shared" si="7"/>
        <v>0.87519456098630877</v>
      </c>
      <c r="F142">
        <f t="shared" si="5"/>
        <v>7.5</v>
      </c>
      <c r="G142">
        <f t="shared" si="8"/>
        <v>1.9044929718755039</v>
      </c>
      <c r="H142">
        <f t="shared" ca="1" si="9"/>
        <v>-0.10577451360372278</v>
      </c>
    </row>
    <row r="143" spans="3:8" hidden="1" x14ac:dyDescent="0.15">
      <c r="C143" s="382">
        <f t="shared" si="10"/>
        <v>0.28214710694451911</v>
      </c>
      <c r="D143" s="382">
        <f t="shared" si="6"/>
        <v>0.71893531211832729</v>
      </c>
      <c r="E143" s="382">
        <f t="shared" si="7"/>
        <v>0.84712329293571598</v>
      </c>
      <c r="F143">
        <f t="shared" si="5"/>
        <v>7.5</v>
      </c>
      <c r="G143">
        <f t="shared" si="8"/>
        <v>2.1161033020838933</v>
      </c>
      <c r="H143">
        <f t="shared" ca="1" si="9"/>
        <v>-0.10238186829186781</v>
      </c>
    </row>
    <row r="144" spans="3:8" hidden="1" x14ac:dyDescent="0.15">
      <c r="C144" s="382">
        <f t="shared" si="10"/>
        <v>0.31349678549391014</v>
      </c>
      <c r="D144" s="382">
        <f t="shared" si="6"/>
        <v>0.67371627054572247</v>
      </c>
      <c r="E144" s="382">
        <f t="shared" si="7"/>
        <v>0.81309853546629696</v>
      </c>
      <c r="F144">
        <f t="shared" si="5"/>
        <v>7.5</v>
      </c>
      <c r="G144">
        <f t="shared" si="8"/>
        <v>2.3512258912043258</v>
      </c>
      <c r="H144">
        <f t="shared" ca="1" si="9"/>
        <v>-9.8269694459621235E-2</v>
      </c>
    </row>
    <row r="145" spans="3:8" hidden="1" x14ac:dyDescent="0.15">
      <c r="C145" s="382">
        <f t="shared" si="10"/>
        <v>0.34832976165990015</v>
      </c>
      <c r="D145" s="382">
        <f t="shared" si="6"/>
        <v>0.62274812706255622</v>
      </c>
      <c r="E145" s="382">
        <f t="shared" si="7"/>
        <v>0.77205460231977208</v>
      </c>
      <c r="F145">
        <f t="shared" si="5"/>
        <v>7.5</v>
      </c>
      <c r="G145">
        <f t="shared" si="8"/>
        <v>2.6124732124492511</v>
      </c>
      <c r="H145">
        <f t="shared" ca="1" si="9"/>
        <v>-9.3309195093554786E-2</v>
      </c>
    </row>
    <row r="146" spans="3:8" hidden="1" x14ac:dyDescent="0.15">
      <c r="C146" s="382">
        <f t="shared" si="10"/>
        <v>0.38703306851100017</v>
      </c>
      <c r="D146" s="382">
        <f t="shared" si="6"/>
        <v>0.56582181877094739</v>
      </c>
      <c r="E146" s="382">
        <f t="shared" si="7"/>
        <v>0.72284922878498459</v>
      </c>
      <c r="F146">
        <f t="shared" si="5"/>
        <v>7.5</v>
      </c>
      <c r="G146">
        <f t="shared" si="8"/>
        <v>2.9027480138325013</v>
      </c>
      <c r="H146">
        <f t="shared" ca="1" si="9"/>
        <v>-8.7362318039764394E-2</v>
      </c>
    </row>
    <row r="147" spans="3:8" hidden="1" x14ac:dyDescent="0.15">
      <c r="C147" s="382">
        <f t="shared" si="10"/>
        <v>0.43003674279000015</v>
      </c>
      <c r="D147" s="382">
        <f t="shared" si="6"/>
        <v>0.50294653154454916</v>
      </c>
      <c r="E147" s="382">
        <f t="shared" si="7"/>
        <v>0.66433649643496417</v>
      </c>
      <c r="F147">
        <f t="shared" si="5"/>
        <v>7.5</v>
      </c>
      <c r="G147">
        <f t="shared" si="8"/>
        <v>3.2252755709250009</v>
      </c>
      <c r="H147">
        <f t="shared" ca="1" si="9"/>
        <v>-8.0290569562519176E-2</v>
      </c>
    </row>
    <row r="148" spans="3:8" hidden="1" x14ac:dyDescent="0.15">
      <c r="C148" s="382">
        <f t="shared" si="10"/>
        <v>0.47781860310000013</v>
      </c>
      <c r="D148" s="382">
        <f t="shared" si="6"/>
        <v>0.43446359142085378</v>
      </c>
      <c r="E148" s="382">
        <f t="shared" si="7"/>
        <v>0.59550450311194725</v>
      </c>
      <c r="F148">
        <f t="shared" si="5"/>
        <v>7.5</v>
      </c>
      <c r="G148">
        <f t="shared" si="8"/>
        <v>3.5836395232500009</v>
      </c>
      <c r="H148">
        <f t="shared" ca="1" si="9"/>
        <v>-7.1971652902534697E-2</v>
      </c>
    </row>
    <row r="149" spans="3:8" hidden="1" x14ac:dyDescent="0.15">
      <c r="C149" s="382">
        <f t="shared" si="10"/>
        <v>0.53090955900000014</v>
      </c>
      <c r="D149" s="382">
        <f t="shared" si="6"/>
        <v>0.36120177801742703</v>
      </c>
      <c r="E149" s="382">
        <f t="shared" si="7"/>
        <v>0.51571793590908832</v>
      </c>
      <c r="F149">
        <f t="shared" si="5"/>
        <v>7.5</v>
      </c>
      <c r="G149">
        <f t="shared" si="8"/>
        <v>3.981821692500001</v>
      </c>
      <c r="H149">
        <f t="shared" ca="1" si="9"/>
        <v>-6.2328785231508151E-2</v>
      </c>
    </row>
    <row r="150" spans="3:8" hidden="1" x14ac:dyDescent="0.15">
      <c r="C150" s="382">
        <f t="shared" si="10"/>
        <v>0.58989951000000018</v>
      </c>
      <c r="D150" s="382">
        <f t="shared" si="6"/>
        <v>0.2846872259828962</v>
      </c>
      <c r="E150" s="382">
        <f t="shared" si="7"/>
        <v>0.42512821314946897</v>
      </c>
      <c r="F150">
        <f t="shared" si="5"/>
        <v>7.5</v>
      </c>
      <c r="G150">
        <f t="shared" si="8"/>
        <v>4.4242463250000013</v>
      </c>
      <c r="H150">
        <f t="shared" ca="1" si="9"/>
        <v>-5.1380266708271199E-2</v>
      </c>
    </row>
    <row r="151" spans="3:8" hidden="1" x14ac:dyDescent="0.15">
      <c r="C151" s="382">
        <f t="shared" si="10"/>
        <v>0.65544390000000019</v>
      </c>
      <c r="D151" s="382">
        <f t="shared" si="6"/>
        <v>0.20742497801381587</v>
      </c>
      <c r="E151" s="382">
        <f t="shared" si="7"/>
        <v>0.32534850978631369</v>
      </c>
      <c r="F151">
        <f t="shared" si="5"/>
        <v>7.5</v>
      </c>
      <c r="G151">
        <f t="shared" si="8"/>
        <v>4.9158292500000016</v>
      </c>
      <c r="H151">
        <f t="shared" ca="1" si="9"/>
        <v>-3.9321062890930979E-2</v>
      </c>
    </row>
    <row r="152" spans="3:8" hidden="1" x14ac:dyDescent="0.15">
      <c r="C152" s="382">
        <f t="shared" si="10"/>
        <v>0.72827100000000022</v>
      </c>
      <c r="D152" s="382">
        <f t="shared" si="6"/>
        <v>0.13327425453358566</v>
      </c>
      <c r="E152" s="382">
        <f t="shared" si="7"/>
        <v>0.22054421290085885</v>
      </c>
      <c r="F152">
        <f t="shared" si="5"/>
        <v>7.5</v>
      </c>
      <c r="G152">
        <f t="shared" si="8"/>
        <v>5.4620325000000021</v>
      </c>
      <c r="H152">
        <f t="shared" ca="1" si="9"/>
        <v>-2.6654595318113688E-2</v>
      </c>
    </row>
    <row r="153" spans="3:8" hidden="1" x14ac:dyDescent="0.15">
      <c r="C153" s="382">
        <f t="shared" si="10"/>
        <v>0.80919000000000019</v>
      </c>
      <c r="D153" s="382">
        <f t="shared" si="6"/>
        <v>6.7945914236538618E-2</v>
      </c>
      <c r="E153" s="382">
        <f t="shared" si="7"/>
        <v>0.11917101004182146</v>
      </c>
      <c r="F153">
        <f t="shared" si="5"/>
        <v>7.5</v>
      </c>
      <c r="G153">
        <f t="shared" si="8"/>
        <v>6.068925000000001</v>
      </c>
      <c r="H153">
        <f t="shared" ca="1" si="9"/>
        <v>-1.4402803884695555E-2</v>
      </c>
    </row>
    <row r="154" spans="3:8" hidden="1" x14ac:dyDescent="0.15">
      <c r="C154" s="382">
        <f t="shared" si="10"/>
        <v>0.89910000000000023</v>
      </c>
      <c r="D154" s="382">
        <f t="shared" si="6"/>
        <v>1.9658781480882292E-2</v>
      </c>
      <c r="E154" s="382">
        <f t="shared" si="7"/>
        <v>3.6717913976255949E-2</v>
      </c>
      <c r="F154">
        <f t="shared" si="5"/>
        <v>7.5</v>
      </c>
      <c r="G154">
        <f t="shared" si="8"/>
        <v>6.7432500000000015</v>
      </c>
      <c r="H154">
        <f t="shared" ca="1" si="9"/>
        <v>-4.4376641086581944E-3</v>
      </c>
    </row>
    <row r="155" spans="3:8" hidden="1" x14ac:dyDescent="0.15">
      <c r="C155" s="382">
        <f t="shared" si="10"/>
        <v>0.99900000000000022</v>
      </c>
      <c r="D155" s="382">
        <f t="shared" si="6"/>
        <v>1.9993331662471192E-6</v>
      </c>
      <c r="E155" s="382">
        <f t="shared" si="7"/>
        <v>3.9960009999981168E-6</v>
      </c>
      <c r="F155">
        <f t="shared" si="5"/>
        <v>7.5</v>
      </c>
      <c r="G155">
        <f t="shared" si="8"/>
        <v>7.4925000000000015</v>
      </c>
      <c r="H155">
        <f t="shared" ca="1" si="9"/>
        <v>-4.8294982736004785E-7</v>
      </c>
    </row>
  </sheetData>
  <sheetProtection sheet="1" objects="1" scenarios="1"/>
  <mergeCells count="2">
    <mergeCell ref="U5:X5"/>
    <mergeCell ref="F9:F10"/>
  </mergeCells>
  <phoneticPr fontId="121"/>
  <conditionalFormatting sqref="E8:F8">
    <cfRule type="expression" dxfId="2" priority="3">
      <formula>$E$7&lt;&gt;"circular"</formula>
    </cfRule>
  </conditionalFormatting>
  <conditionalFormatting sqref="E9:F9 E10">
    <cfRule type="expression" dxfId="1" priority="2">
      <formula>$E$7&lt;&gt;"rectangular"</formula>
    </cfRule>
  </conditionalFormatting>
  <conditionalFormatting sqref="E15:E16">
    <cfRule type="expression" dxfId="0" priority="1">
      <formula>$E$12&lt;&gt;"Other"</formula>
    </cfRule>
  </conditionalFormatting>
  <dataValidations count="11">
    <dataValidation type="decimal" allowBlank="1" showInputMessage="1" showErrorMessage="1" sqref="E10">
      <formula1>C86</formula1>
      <formula2>C87</formula2>
    </dataValidation>
    <dataValidation type="list" allowBlank="1" showInputMessage="1" showErrorMessage="1" sqref="F8:F11">
      <formula1>$C$82:$C$83</formula1>
    </dataValidation>
    <dataValidation type="decimal" errorStyle="warning" allowBlank="1" showInputMessage="1" showErrorMessage="1" error="This is an Extreme value. Please check." sqref="E16:E18">
      <formula1>C86</formula1>
      <formula2>C87</formula2>
    </dataValidation>
    <dataValidation type="decimal" errorStyle="warning" allowBlank="1" showInputMessage="1" showErrorMessage="1" error="This is an Extreme value. Please check." sqref="E15">
      <formula1>C86</formula1>
      <formula2>C87</formula2>
    </dataValidation>
    <dataValidation type="decimal" allowBlank="1" showInputMessage="1" showErrorMessage="1" sqref="E8:E9 E11">
      <formula1>C83</formula1>
      <formula2>C84</formula2>
    </dataValidation>
    <dataValidation type="list" allowBlank="1" showInputMessage="1" showErrorMessage="1" sqref="E21">
      <formula1>$C$78:$C$79</formula1>
    </dataValidation>
    <dataValidation type="list" allowBlank="1" showInputMessage="1" showErrorMessage="1" sqref="E12">
      <formula1>$C$64:$C$69</formula1>
    </dataValidation>
    <dataValidation type="list" allowBlank="1" showInputMessage="1" showErrorMessage="1" sqref="C7">
      <formula1>button_shapes</formula1>
    </dataValidation>
    <dataValidation type="list" allowBlank="1" showInputMessage="1" showErrorMessage="1" sqref="E7">
      <formula1>$C$72:$C$73</formula1>
    </dataValidation>
    <dataValidation type="decimal" errorStyle="warning" allowBlank="1" showInputMessage="1" showErrorMessage="1" error="This entry is outside of normal expected ranges." sqref="E22">
      <formula1>C86</formula1>
      <formula2>C87</formula2>
    </dataValidation>
    <dataValidation type="list" allowBlank="1" showInputMessage="1" showErrorMessage="1" sqref="F22">
      <formula1>"N,lbf"</formula1>
    </dataValidation>
  </dataValidations>
  <hyperlinks>
    <hyperlink ref="E2" location="Contents!A1" display="Return to Main Page"/>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4" tint="0.59999389629810485"/>
  </sheetPr>
  <dimension ref="B2:L53"/>
  <sheetViews>
    <sheetView showGridLines="0" showRowColHeaders="0" zoomScaleNormal="100" workbookViewId="0">
      <selection activeCell="D11" sqref="D11"/>
    </sheetView>
  </sheetViews>
  <sheetFormatPr defaultRowHeight="13.5" x14ac:dyDescent="0.15"/>
  <cols>
    <col min="2" max="2" width="5.5" customWidth="1"/>
    <col min="3" max="3" width="23.25" customWidth="1"/>
    <col min="4" max="4" width="17.5" customWidth="1"/>
    <col min="5" max="5" width="7.5" customWidth="1"/>
    <col min="7" max="7" width="20.75" bestFit="1" customWidth="1"/>
    <col min="8" max="8" width="10" bestFit="1" customWidth="1"/>
    <col min="10" max="10" width="38.5" customWidth="1"/>
  </cols>
  <sheetData>
    <row r="2" spans="2:12" ht="17.25" x14ac:dyDescent="0.2">
      <c r="B2" s="4" t="s">
        <v>328</v>
      </c>
      <c r="E2" s="20" t="s">
        <v>199</v>
      </c>
      <c r="K2" s="14"/>
      <c r="L2" s="14"/>
    </row>
    <row r="3" spans="2:12" x14ac:dyDescent="0.15">
      <c r="B3" s="29"/>
      <c r="C3" s="30" t="s">
        <v>170</v>
      </c>
      <c r="D3" s="29"/>
      <c r="E3" s="29"/>
      <c r="F3" s="13"/>
      <c r="G3" s="29"/>
      <c r="H3" s="29"/>
      <c r="I3" s="29"/>
      <c r="J3" s="29"/>
      <c r="K3" s="14"/>
      <c r="L3" s="14"/>
    </row>
    <row r="4" spans="2:12" x14ac:dyDescent="0.15">
      <c r="B4" s="29"/>
      <c r="C4" s="30" t="s">
        <v>173</v>
      </c>
      <c r="D4" s="29"/>
      <c r="E4" s="29"/>
      <c r="F4" s="13"/>
      <c r="G4" s="29"/>
      <c r="H4" s="29"/>
      <c r="I4" s="29"/>
      <c r="J4" s="29"/>
      <c r="K4" s="14"/>
      <c r="L4" s="14"/>
    </row>
    <row r="5" spans="2:12" x14ac:dyDescent="0.15">
      <c r="B5" s="29"/>
      <c r="C5" s="30" t="s">
        <v>174</v>
      </c>
      <c r="D5" s="29"/>
      <c r="E5" s="29"/>
      <c r="F5" s="13"/>
      <c r="G5" s="29"/>
      <c r="H5" s="29"/>
      <c r="I5" s="29"/>
      <c r="J5" s="29"/>
      <c r="K5" s="14"/>
      <c r="L5" s="14"/>
    </row>
    <row r="6" spans="2:12" x14ac:dyDescent="0.15">
      <c r="B6" s="29"/>
      <c r="C6" s="30" t="s">
        <v>175</v>
      </c>
      <c r="D6" s="29"/>
      <c r="E6" s="29"/>
      <c r="F6" s="13"/>
      <c r="G6" s="29"/>
      <c r="H6" s="29"/>
      <c r="I6" s="29"/>
      <c r="J6" s="29"/>
      <c r="K6" s="14"/>
      <c r="L6" s="14"/>
    </row>
    <row r="7" spans="2:12" x14ac:dyDescent="0.15">
      <c r="B7" s="29"/>
      <c r="C7" s="30" t="s">
        <v>176</v>
      </c>
      <c r="D7" s="29"/>
      <c r="E7" s="29"/>
      <c r="F7" s="13"/>
      <c r="G7" s="29"/>
      <c r="H7" s="29"/>
      <c r="I7" s="29"/>
      <c r="J7" s="29"/>
      <c r="K7" s="14"/>
      <c r="L7" s="14"/>
    </row>
    <row r="8" spans="2:12" x14ac:dyDescent="0.15">
      <c r="B8" s="29"/>
      <c r="C8" s="390" t="s">
        <v>375</v>
      </c>
      <c r="D8" s="29"/>
      <c r="E8" s="29"/>
      <c r="F8" s="13"/>
      <c r="G8" s="29"/>
      <c r="H8" s="29"/>
      <c r="I8" s="29"/>
      <c r="J8" s="29"/>
      <c r="K8" s="14"/>
      <c r="L8" s="14"/>
    </row>
    <row r="9" spans="2:12" x14ac:dyDescent="0.15">
      <c r="B9" s="29"/>
      <c r="C9" s="36" t="s">
        <v>181</v>
      </c>
      <c r="D9" s="29"/>
      <c r="E9" s="29"/>
      <c r="F9" s="13"/>
      <c r="G9" s="29"/>
      <c r="H9" s="29"/>
      <c r="I9" s="29"/>
      <c r="J9" s="29"/>
      <c r="K9" s="14"/>
      <c r="L9" s="14"/>
    </row>
    <row r="10" spans="2:12" x14ac:dyDescent="0.15">
      <c r="B10" s="29"/>
      <c r="C10" s="36"/>
      <c r="D10" s="29"/>
      <c r="E10" s="29"/>
      <c r="F10" s="13"/>
      <c r="G10" s="29"/>
      <c r="H10" s="29"/>
      <c r="I10" s="29"/>
      <c r="J10" s="29"/>
      <c r="K10" s="14"/>
      <c r="L10" s="14"/>
    </row>
    <row r="11" spans="2:12" ht="15.75" customHeight="1" x14ac:dyDescent="0.15">
      <c r="B11" s="29"/>
      <c r="C11" s="29" t="s">
        <v>224</v>
      </c>
      <c r="D11" s="391" t="s">
        <v>225</v>
      </c>
      <c r="E11" s="29"/>
      <c r="F11" s="13"/>
      <c r="G11" s="29"/>
      <c r="H11" s="29"/>
      <c r="I11" s="29"/>
      <c r="J11" s="29"/>
      <c r="K11" s="14"/>
      <c r="L11" s="14"/>
    </row>
    <row r="12" spans="2:12" ht="15.75" customHeight="1" x14ac:dyDescent="0.15">
      <c r="B12" s="29"/>
      <c r="C12" s="29"/>
      <c r="D12" s="29"/>
      <c r="E12" s="29"/>
      <c r="F12" s="13"/>
      <c r="G12" s="29"/>
      <c r="H12" s="29"/>
      <c r="I12" s="29"/>
      <c r="J12" s="29"/>
      <c r="K12" s="14"/>
      <c r="L12" s="14"/>
    </row>
    <row r="13" spans="2:12" ht="18" customHeight="1" x14ac:dyDescent="0.15">
      <c r="B13" s="39" t="s">
        <v>85</v>
      </c>
      <c r="C13" s="39"/>
      <c r="D13" s="39"/>
      <c r="E13" s="39"/>
      <c r="G13" s="29"/>
      <c r="H13" s="29"/>
      <c r="I13" s="29"/>
      <c r="J13" s="29"/>
      <c r="K13" s="14"/>
      <c r="L13" s="14"/>
    </row>
    <row r="14" spans="2:12" x14ac:dyDescent="0.15">
      <c r="B14" s="13"/>
      <c r="C14" s="13"/>
      <c r="D14" s="13"/>
      <c r="E14" s="13"/>
    </row>
    <row r="15" spans="2:12" x14ac:dyDescent="0.15">
      <c r="B15" s="31" t="s">
        <v>171</v>
      </c>
      <c r="C15" s="13"/>
      <c r="D15" s="13"/>
      <c r="E15" s="13"/>
    </row>
    <row r="16" spans="2:12" x14ac:dyDescent="0.15">
      <c r="B16" s="32" t="s">
        <v>89</v>
      </c>
      <c r="C16" s="13" t="s">
        <v>90</v>
      </c>
      <c r="D16" s="279">
        <v>6</v>
      </c>
      <c r="E16" s="45" t="s">
        <v>34</v>
      </c>
    </row>
    <row r="17" spans="2:7" ht="15" hidden="1" customHeight="1" x14ac:dyDescent="0.15">
      <c r="B17" s="32"/>
      <c r="C17" s="13"/>
      <c r="D17" s="280">
        <f>IF(E16="mm",D16,IF(E16="inch",D16*25.4))</f>
        <v>6</v>
      </c>
      <c r="E17" s="281" t="s">
        <v>34</v>
      </c>
    </row>
    <row r="18" spans="2:7" x14ac:dyDescent="0.15">
      <c r="B18" s="32" t="s">
        <v>32</v>
      </c>
      <c r="C18" s="13" t="s">
        <v>91</v>
      </c>
      <c r="D18" s="279">
        <v>35</v>
      </c>
      <c r="E18" s="184"/>
    </row>
    <row r="19" spans="2:7" x14ac:dyDescent="0.15">
      <c r="B19" s="32" t="s">
        <v>74</v>
      </c>
      <c r="C19" s="13" t="s">
        <v>92</v>
      </c>
      <c r="D19" s="279">
        <v>8</v>
      </c>
      <c r="E19" s="45" t="s">
        <v>34</v>
      </c>
    </row>
    <row r="20" spans="2:7" ht="18.75" hidden="1" customHeight="1" x14ac:dyDescent="0.15">
      <c r="B20" s="32"/>
      <c r="C20" s="13"/>
      <c r="D20" s="81">
        <f>IF(E19="mm",D19,IF(E16="inch",D19*25.4))</f>
        <v>8</v>
      </c>
      <c r="E20" s="59" t="s">
        <v>34</v>
      </c>
    </row>
    <row r="21" spans="2:7" ht="15" x14ac:dyDescent="0.25">
      <c r="B21" s="32" t="s">
        <v>69</v>
      </c>
      <c r="C21" s="13" t="s">
        <v>172</v>
      </c>
      <c r="D21" s="40">
        <f>((D16/1000)^2*D18^2)/((D19/1000)+0.45*(D16/1000))</f>
        <v>4.121495327102803</v>
      </c>
      <c r="E21" s="13" t="s">
        <v>160</v>
      </c>
    </row>
    <row r="22" spans="2:7" x14ac:dyDescent="0.15">
      <c r="B22" s="13"/>
      <c r="C22" s="13"/>
      <c r="D22" s="13"/>
      <c r="E22" s="13"/>
    </row>
    <row r="23" spans="2:7" x14ac:dyDescent="0.15">
      <c r="B23" s="31" t="s">
        <v>177</v>
      </c>
      <c r="C23" s="13"/>
      <c r="D23" s="13"/>
      <c r="E23" s="13"/>
    </row>
    <row r="24" spans="2:7" x14ac:dyDescent="0.15">
      <c r="B24" s="32" t="s">
        <v>89</v>
      </c>
      <c r="C24" s="13" t="s">
        <v>90</v>
      </c>
      <c r="D24" s="279">
        <v>6</v>
      </c>
      <c r="E24" s="45" t="s">
        <v>34</v>
      </c>
    </row>
    <row r="25" spans="2:7" ht="13.5" hidden="1" customHeight="1" x14ac:dyDescent="0.15">
      <c r="B25" s="32"/>
      <c r="C25" s="13"/>
      <c r="D25" s="282">
        <f>IF(E24="mm",D24,IF(E24="inch",D24*25.4))</f>
        <v>6</v>
      </c>
      <c r="E25" s="283" t="s">
        <v>34</v>
      </c>
    </row>
    <row r="26" spans="2:7" x14ac:dyDescent="0.15">
      <c r="B26" s="32" t="s">
        <v>32</v>
      </c>
      <c r="C26" s="13" t="s">
        <v>91</v>
      </c>
      <c r="D26" s="279">
        <v>35</v>
      </c>
      <c r="E26" s="184"/>
    </row>
    <row r="27" spans="2:7" x14ac:dyDescent="0.15">
      <c r="B27" s="32" t="s">
        <v>74</v>
      </c>
      <c r="C27" s="13" t="s">
        <v>92</v>
      </c>
      <c r="D27" s="279">
        <v>11</v>
      </c>
      <c r="E27" s="45" t="s">
        <v>34</v>
      </c>
    </row>
    <row r="28" spans="2:7" ht="15.75" hidden="1" customHeight="1" x14ac:dyDescent="0.15">
      <c r="B28" s="32"/>
      <c r="C28" s="13"/>
      <c r="D28" s="82">
        <f>IF(E27="mm",D27,IF(E24="inch",D27*25.4))</f>
        <v>11</v>
      </c>
      <c r="E28" s="33" t="s">
        <v>34</v>
      </c>
    </row>
    <row r="29" spans="2:7" ht="15" x14ac:dyDescent="0.25">
      <c r="B29" s="32" t="s">
        <v>69</v>
      </c>
      <c r="C29" s="13" t="s">
        <v>172</v>
      </c>
      <c r="D29" s="40">
        <f>((D24/1000)^2*D26^2)/((D27/1000)+0.45*(D24/1000))</f>
        <v>3.218978102189781</v>
      </c>
      <c r="E29" s="13" t="s">
        <v>160</v>
      </c>
    </row>
    <row r="30" spans="2:7" x14ac:dyDescent="0.15">
      <c r="B30" s="32"/>
      <c r="C30" s="13"/>
      <c r="D30" s="34"/>
      <c r="E30" s="13"/>
      <c r="F30" s="13"/>
      <c r="G30" s="13"/>
    </row>
    <row r="31" spans="2:7" x14ac:dyDescent="0.15">
      <c r="C31" s="13"/>
      <c r="D31" s="13"/>
      <c r="E31" s="13"/>
      <c r="F31" s="13"/>
      <c r="G31" s="13"/>
    </row>
    <row r="32" spans="2:7" x14ac:dyDescent="0.15">
      <c r="C32" s="13" t="s">
        <v>159</v>
      </c>
      <c r="D32" s="279">
        <v>900</v>
      </c>
      <c r="E32" s="13" t="s">
        <v>27</v>
      </c>
      <c r="F32" s="13"/>
      <c r="G32" s="13"/>
    </row>
    <row r="33" spans="2:9" ht="15" x14ac:dyDescent="0.25">
      <c r="C33" s="13" t="s">
        <v>178</v>
      </c>
      <c r="D33" s="50">
        <f>MIN(D21,D29)+D35</f>
        <v>3.218978102189781</v>
      </c>
      <c r="E33" s="13" t="s">
        <v>160</v>
      </c>
      <c r="F33" s="13" t="s">
        <v>180</v>
      </c>
      <c r="G33" s="13"/>
    </row>
    <row r="34" spans="2:9" ht="15" x14ac:dyDescent="0.25">
      <c r="C34" s="13" t="s">
        <v>179</v>
      </c>
      <c r="D34" s="50">
        <f>MAX(D21,D29)+D35</f>
        <v>4.121495327102803</v>
      </c>
      <c r="E34" s="13" t="s">
        <v>160</v>
      </c>
      <c r="F34" s="13" t="s">
        <v>180</v>
      </c>
      <c r="G34" s="13"/>
    </row>
    <row r="35" spans="2:9" ht="15" x14ac:dyDescent="0.25">
      <c r="C35" s="13" t="s">
        <v>86</v>
      </c>
      <c r="D35" s="284">
        <v>0</v>
      </c>
      <c r="E35" s="13" t="s">
        <v>160</v>
      </c>
      <c r="F35" s="31" t="s">
        <v>162</v>
      </c>
      <c r="G35" s="13"/>
    </row>
    <row r="36" spans="2:9" x14ac:dyDescent="0.15">
      <c r="C36" s="13" t="s">
        <v>87</v>
      </c>
      <c r="D36" s="40">
        <f>1/(2*PI()*SQRT((D33+D35)*0.000001*(D32+D35)*0.000000000001))/1000000</f>
        <v>2.9569219812671341</v>
      </c>
      <c r="E36" s="13" t="s">
        <v>0</v>
      </c>
      <c r="F36" s="13" t="str">
        <f>TEXT(H36*1000,0)&amp;"kHz &lt;= fSENSOR &lt;="&amp;TEXT(I36,0)&amp;"MHz"</f>
        <v>10kHz &lt;= fSENSOR &lt;=10MHz</v>
      </c>
      <c r="G36" s="13"/>
      <c r="H36" s="43">
        <f>IF(D11="LDC1000/LDC1041",0.005,0.01)</f>
        <v>0.01</v>
      </c>
      <c r="I36" s="44">
        <f>IF(D11="LDC1000/LDC1041",5,10)</f>
        <v>10</v>
      </c>
    </row>
    <row r="37" spans="2:9" x14ac:dyDescent="0.15">
      <c r="C37" s="13" t="s">
        <v>88</v>
      </c>
      <c r="D37" s="40">
        <f>1/(2*PI()*SQRT((D34+D35)*0.000001*(D32+D35)*0.000000000001))/1000000</f>
        <v>2.6131929089181876</v>
      </c>
      <c r="E37" s="13" t="s">
        <v>0</v>
      </c>
      <c r="F37" s="13" t="str">
        <f>TEXT(H36*1000,0)&amp;"kHz &lt;= fSENSOR &lt;="&amp;TEXT(I36,0)&amp;"MHz"</f>
        <v>10kHz &lt;= fSENSOR &lt;=10MHz</v>
      </c>
      <c r="G37" s="13"/>
    </row>
    <row r="38" spans="2:9" x14ac:dyDescent="0.15">
      <c r="C38" s="13" t="s">
        <v>161</v>
      </c>
      <c r="D38" s="41">
        <f>(D37-D36)*1000</f>
        <v>-343.72907234894654</v>
      </c>
      <c r="E38" s="25" t="s">
        <v>72</v>
      </c>
      <c r="F38" s="13"/>
      <c r="G38" s="13"/>
    </row>
    <row r="39" spans="2:9" x14ac:dyDescent="0.15">
      <c r="C39" s="13"/>
      <c r="D39" s="13"/>
      <c r="E39" s="13"/>
      <c r="F39" s="13"/>
      <c r="G39" s="13"/>
    </row>
    <row r="40" spans="2:9" x14ac:dyDescent="0.15">
      <c r="B40" s="13"/>
      <c r="C40" s="13"/>
      <c r="D40" s="13"/>
      <c r="E40" s="13"/>
      <c r="F40" s="13"/>
      <c r="G40" s="13"/>
    </row>
    <row r="41" spans="2:9" x14ac:dyDescent="0.15">
      <c r="B41" s="13"/>
      <c r="C41" s="31" t="s">
        <v>182</v>
      </c>
      <c r="D41" s="13"/>
      <c r="E41" s="13"/>
      <c r="F41" s="13"/>
      <c r="G41" s="13"/>
    </row>
    <row r="42" spans="2:9" x14ac:dyDescent="0.15">
      <c r="B42" s="13"/>
      <c r="C42" s="13" t="s">
        <v>219</v>
      </c>
      <c r="D42" s="279">
        <v>6144</v>
      </c>
      <c r="E42" s="13"/>
      <c r="F42" t="s">
        <v>166</v>
      </c>
      <c r="G42" s="13"/>
    </row>
    <row r="43" spans="2:9" x14ac:dyDescent="0.15">
      <c r="B43" s="13"/>
      <c r="C43" s="13" t="s">
        <v>19</v>
      </c>
      <c r="D43" s="284">
        <v>8</v>
      </c>
      <c r="E43" s="13" t="s">
        <v>0</v>
      </c>
      <c r="F43" s="13"/>
      <c r="G43" s="13"/>
    </row>
    <row r="44" spans="2:9" ht="14.25" x14ac:dyDescent="0.15">
      <c r="B44" s="13"/>
      <c r="C44" s="13" t="s">
        <v>93</v>
      </c>
      <c r="D44" s="42">
        <f>ABS(FLOOR(0.333333*(D42*((D43/D36)-(D43/D37))),1))</f>
        <v>729</v>
      </c>
      <c r="E44" s="13"/>
      <c r="F44" s="13"/>
      <c r="G44" s="13"/>
    </row>
    <row r="45" spans="2:9" x14ac:dyDescent="0.15">
      <c r="B45" s="13"/>
      <c r="C45" s="25" t="s">
        <v>223</v>
      </c>
      <c r="D45" s="27">
        <f>1000*MIN(D36,D37)*3/D42</f>
        <v>1.2759731000577088</v>
      </c>
      <c r="E45" s="13" t="s">
        <v>202</v>
      </c>
      <c r="F45" s="13"/>
      <c r="G45" s="13"/>
    </row>
    <row r="46" spans="2:9" x14ac:dyDescent="0.15">
      <c r="B46" s="13"/>
      <c r="C46" s="25"/>
      <c r="D46" s="13"/>
      <c r="E46" s="13"/>
      <c r="F46" s="13"/>
      <c r="G46" s="13"/>
    </row>
    <row r="47" spans="2:9" x14ac:dyDescent="0.15">
      <c r="C47" s="58" t="s">
        <v>254</v>
      </c>
    </row>
    <row r="48" spans="2:9" x14ac:dyDescent="0.15">
      <c r="C48" s="25" t="s">
        <v>19</v>
      </c>
      <c r="D48" s="152">
        <v>40</v>
      </c>
      <c r="E48" t="s">
        <v>0</v>
      </c>
    </row>
    <row r="49" spans="3:5" x14ac:dyDescent="0.15">
      <c r="C49" s="25" t="s">
        <v>611</v>
      </c>
      <c r="D49" s="45">
        <v>65535</v>
      </c>
      <c r="E49" t="s">
        <v>226</v>
      </c>
    </row>
    <row r="50" spans="3:5" x14ac:dyDescent="0.15">
      <c r="C50" s="25" t="s">
        <v>610</v>
      </c>
      <c r="D50" s="122" t="str">
        <f>"0x"&amp;DEC2HEX(CEILING(D49,1),4)</f>
        <v>0xFFFF</v>
      </c>
      <c r="E50" t="s">
        <v>346</v>
      </c>
    </row>
    <row r="51" spans="3:5" x14ac:dyDescent="0.15">
      <c r="C51" s="25" t="s">
        <v>227</v>
      </c>
      <c r="D51" s="350">
        <f>ROUND(4*D49*16*ABS(D38*1000)/D48/1000000,0)</f>
        <v>36042</v>
      </c>
    </row>
    <row r="52" spans="3:5" ht="15" x14ac:dyDescent="0.25">
      <c r="C52" s="25" t="s">
        <v>221</v>
      </c>
      <c r="D52" s="35">
        <f>D49*16/D48</f>
        <v>26214</v>
      </c>
      <c r="E52" s="19" t="s">
        <v>222</v>
      </c>
    </row>
    <row r="53" spans="3:5" x14ac:dyDescent="0.15">
      <c r="C53" s="25" t="s">
        <v>201</v>
      </c>
      <c r="D53" s="27">
        <f>D48*1000/D49/16</f>
        <v>3.8147554741741058E-2</v>
      </c>
      <c r="E53" t="s">
        <v>202</v>
      </c>
    </row>
  </sheetData>
  <sheetProtection sheet="1" objects="1" scenarios="1"/>
  <phoneticPr fontId="121"/>
  <dataValidations count="11">
    <dataValidation type="list" allowBlank="1" showInputMessage="1" showErrorMessage="1" sqref="E16 E19 E24 E27">
      <formula1>"mm,inch"</formula1>
    </dataValidation>
    <dataValidation type="decimal" operator="greaterThan" allowBlank="1" showInputMessage="1" showErrorMessage="1" sqref="D16 D24">
      <formula1>0</formula1>
    </dataValidation>
    <dataValidation type="decimal" operator="greaterThan" allowBlank="1" showInputMessage="1" showErrorMessage="1" sqref="D18 D26">
      <formula1>0.1</formula1>
    </dataValidation>
    <dataValidation type="decimal" operator="greaterThan" allowBlank="1" showInputMessage="1" showErrorMessage="1" sqref="D19 D27">
      <formula1>0.001</formula1>
    </dataValidation>
    <dataValidation type="decimal" operator="greaterThanOrEqual" allowBlank="1" showInputMessage="1" showErrorMessage="1" sqref="D35">
      <formula1>0</formula1>
    </dataValidation>
    <dataValidation type="list" allowBlank="1" showInputMessage="1" showErrorMessage="1" sqref="D42">
      <formula1>"192,384,768,1536,3072,6144"</formula1>
    </dataValidation>
    <dataValidation type="whole" errorStyle="warning" operator="lessThanOrEqual" allowBlank="1" showInputMessage="1" showErrorMessage="1" errorTitle="Reference frequency too High" error="The LDC1000/LDC1041 has a maximum TBCLK (Fref) frequency of 8MHz." sqref="D43">
      <formula1>8</formula1>
    </dataValidation>
    <dataValidation type="list" allowBlank="1" showInputMessage="1" showErrorMessage="1" sqref="D11">
      <formula1>"LDC1000/LDC1041,LDC131x/LDC161x"</formula1>
    </dataValidation>
    <dataValidation type="decimal" errorStyle="warning" allowBlank="1" showInputMessage="1" showErrorMessage="1" errorTitle="Possible Invalid Reference Freq" error="The Reference Frequency must be greater than the Sensor frequency and also must not exceed the 40MHz maximum." sqref="D48">
      <formula1>MAX(D36:D37)</formula1>
      <formula2>40</formula2>
    </dataValidation>
    <dataValidation type="decimal" errorStyle="warning" allowBlank="1" showInputMessage="1" showErrorMessage="1" errorTitle="Invalid Reference Count" error="The LDC131x/161x minimum reference count is 48 and the maximum reference count is 1048560." sqref="D49">
      <formula1>3</formula1>
      <formula2>65535</formula2>
    </dataValidation>
    <dataValidation errorStyle="warning" allowBlank="1" showInputMessage="1" showErrorMessage="1" errorTitle="Invalid Reference Count" error="The LDC131x/161x minimum reference count is 48 and the maximum reference count is 1048560." sqref="D51 D50"/>
  </dataValidations>
  <hyperlinks>
    <hyperlink ref="E2" location="Contents!A1" display="Return to Main page"/>
    <hyperlink ref="C8" r:id="rId1"/>
  </hyperlinks>
  <pageMargins left="0.7" right="0.7" top="0.75" bottom="0.75" header="0.3" footer="0.3"/>
  <pageSetup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2" id="{09A5B8E8-8070-4521-9B4D-72CF95A7886F}">
            <x14:iconSet custom="1">
              <x14:cfvo type="percent">
                <xm:f>0</xm:f>
              </x14:cfvo>
              <x14:cfvo type="num">
                <xm:f>0</xm:f>
              </x14:cfvo>
              <x14:cfvo type="num">
                <xm:f>$H$36</xm:f>
              </x14:cfvo>
              <x14:cfIcon iconSet="3TrafficLights1" iconId="0"/>
              <x14:cfIcon iconSet="3TrafficLights1" iconId="2"/>
              <x14:cfIcon iconSet="3TrafficLights1" iconId="0"/>
            </x14:iconSet>
          </x14:cfRule>
          <xm:sqref>D36</xm:sqref>
        </x14:conditionalFormatting>
        <x14:conditionalFormatting xmlns:xm="http://schemas.microsoft.com/office/excel/2006/main">
          <x14:cfRule type="iconSet" priority="1" id="{6DA65A5A-2F21-47FE-819C-A6BF9D3283AA}">
            <x14:iconSet custom="1">
              <x14:cfvo type="percent">
                <xm:f>0</xm:f>
              </x14:cfvo>
              <x14:cfvo type="num">
                <xm:f>$H$36</xm:f>
              </x14:cfvo>
              <x14:cfvo type="num">
                <xm:f>$I$36</xm:f>
              </x14:cfvo>
              <x14:cfIcon iconSet="3TrafficLights1" iconId="0"/>
              <x14:cfIcon iconSet="3TrafficLights1" iconId="2"/>
              <x14:cfIcon iconSet="3TrafficLights1" iconId="0"/>
            </x14:iconSet>
          </x14:cfRule>
          <xm:sqref>D36:D37</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B050"/>
  </sheetPr>
  <dimension ref="A4:W248"/>
  <sheetViews>
    <sheetView showGridLines="0" showRowColHeaders="0" zoomScaleNormal="100" workbookViewId="0">
      <selection activeCell="D25" sqref="D25"/>
    </sheetView>
  </sheetViews>
  <sheetFormatPr defaultColWidth="9.125" defaultRowHeight="13.5" x14ac:dyDescent="0.15"/>
  <cols>
    <col min="1" max="1" width="9.125" style="2"/>
    <col min="2" max="2" width="5.125" style="2" customWidth="1"/>
    <col min="3" max="3" width="23" style="2" customWidth="1"/>
    <col min="4" max="4" width="9.5" style="2" bestFit="1" customWidth="1"/>
    <col min="5" max="7" width="9.125" style="2"/>
    <col min="8" max="8" width="27.125" style="2" customWidth="1"/>
    <col min="9" max="16384" width="9.125" style="2"/>
  </cols>
  <sheetData>
    <row r="4" spans="2:23" ht="17.25" x14ac:dyDescent="0.2">
      <c r="B4" s="154" t="s">
        <v>94</v>
      </c>
      <c r="E4" s="2" t="s">
        <v>1644</v>
      </c>
    </row>
    <row r="5" spans="2:23" ht="37.5" customHeight="1" x14ac:dyDescent="0.15">
      <c r="B5" s="809" t="s">
        <v>605</v>
      </c>
      <c r="C5" s="810"/>
      <c r="D5" s="810"/>
      <c r="E5" s="810"/>
      <c r="F5" s="810"/>
      <c r="G5" s="810"/>
    </row>
    <row r="6" spans="2:23" ht="17.100000000000001" customHeight="1" x14ac:dyDescent="0.15">
      <c r="B6" s="386"/>
      <c r="C6" s="389" t="s">
        <v>710</v>
      </c>
      <c r="D6" s="388" t="s">
        <v>709</v>
      </c>
      <c r="E6" s="387"/>
      <c r="F6" s="805"/>
      <c r="G6" s="805"/>
      <c r="H6" s="330"/>
      <c r="I6" s="330"/>
      <c r="J6" s="330"/>
      <c r="K6" s="330"/>
      <c r="L6" s="330"/>
      <c r="M6" s="330"/>
      <c r="N6" s="330"/>
      <c r="O6" s="330"/>
      <c r="P6" s="330"/>
      <c r="Q6" s="330"/>
      <c r="R6" s="330"/>
      <c r="S6" s="330"/>
      <c r="T6" s="330"/>
      <c r="U6" s="330"/>
      <c r="V6" s="330"/>
      <c r="W6" s="330"/>
    </row>
    <row r="7" spans="2:23" ht="32.1" customHeight="1" x14ac:dyDescent="0.15">
      <c r="B7" s="394"/>
      <c r="C7" s="396"/>
      <c r="D7" s="388"/>
      <c r="E7" s="395"/>
      <c r="F7" s="805"/>
      <c r="G7" s="805"/>
      <c r="H7" s="330"/>
      <c r="I7" s="330"/>
      <c r="J7" s="330"/>
      <c r="K7" s="330"/>
      <c r="L7" s="330"/>
      <c r="M7" s="330"/>
      <c r="N7" s="330"/>
      <c r="O7" s="330"/>
      <c r="P7" s="330"/>
      <c r="Q7" s="330"/>
      <c r="R7" s="330"/>
      <c r="S7" s="330"/>
      <c r="T7" s="330"/>
      <c r="U7" s="330"/>
      <c r="V7" s="330"/>
      <c r="W7" s="330"/>
    </row>
    <row r="8" spans="2:23" ht="12.95" customHeight="1" x14ac:dyDescent="0.15">
      <c r="B8" s="386"/>
      <c r="C8" s="387"/>
      <c r="D8" s="387"/>
      <c r="E8" s="387"/>
      <c r="F8" s="805"/>
      <c r="G8" s="805"/>
      <c r="H8" s="330"/>
      <c r="I8" s="330"/>
      <c r="J8" s="330"/>
      <c r="K8" s="330"/>
      <c r="L8" s="330"/>
      <c r="M8" s="330"/>
      <c r="N8" s="330"/>
      <c r="O8" s="330"/>
      <c r="P8" s="330"/>
      <c r="Q8" s="330"/>
      <c r="R8" s="330"/>
      <c r="S8" s="330"/>
      <c r="T8" s="330"/>
      <c r="U8" s="330"/>
      <c r="V8" s="330"/>
      <c r="W8" s="330"/>
    </row>
    <row r="9" spans="2:23" ht="12.95" customHeight="1" x14ac:dyDescent="0.15">
      <c r="B9" s="801"/>
      <c r="C9" s="802"/>
      <c r="D9" s="802"/>
      <c r="E9" s="802"/>
      <c r="F9" s="805"/>
      <c r="G9" s="805"/>
      <c r="H9" s="330"/>
      <c r="I9" s="330"/>
      <c r="J9" s="330"/>
      <c r="K9" s="330"/>
      <c r="L9" s="330"/>
      <c r="M9" s="330"/>
      <c r="N9" s="330"/>
      <c r="O9" s="330"/>
      <c r="P9" s="330"/>
      <c r="Q9" s="330"/>
      <c r="R9" s="330"/>
      <c r="S9" s="330"/>
      <c r="T9" s="330"/>
      <c r="U9" s="330"/>
      <c r="V9" s="330"/>
      <c r="W9" s="330"/>
    </row>
    <row r="10" spans="2:23" x14ac:dyDescent="0.15">
      <c r="B10" s="2" t="s">
        <v>272</v>
      </c>
      <c r="F10" s="330"/>
      <c r="G10" s="330"/>
      <c r="H10" s="330"/>
      <c r="I10" s="330"/>
      <c r="J10" s="330"/>
      <c r="K10" s="330"/>
      <c r="L10" s="330"/>
      <c r="M10" s="330"/>
      <c r="N10" s="330"/>
      <c r="O10" s="330"/>
      <c r="P10" s="330"/>
      <c r="Q10" s="330"/>
      <c r="R10" s="330"/>
      <c r="S10" s="330"/>
      <c r="T10" s="330"/>
      <c r="U10" s="330"/>
      <c r="V10" s="330"/>
      <c r="W10" s="330"/>
    </row>
    <row r="11" spans="2:23" ht="8.25" customHeight="1" x14ac:dyDescent="0.15">
      <c r="F11" s="330"/>
      <c r="G11" s="330"/>
      <c r="H11" s="330"/>
      <c r="I11" s="330"/>
      <c r="J11" s="330"/>
      <c r="K11" s="330"/>
      <c r="L11" s="330"/>
      <c r="M11" s="330"/>
      <c r="N11" s="330"/>
      <c r="O11" s="330"/>
      <c r="P11" s="330"/>
      <c r="Q11" s="330"/>
      <c r="R11" s="330"/>
      <c r="S11" s="330"/>
      <c r="T11" s="330"/>
      <c r="U11" s="330"/>
      <c r="V11" s="330"/>
      <c r="W11" s="330"/>
    </row>
    <row r="12" spans="2:23" x14ac:dyDescent="0.15">
      <c r="C12" s="155" t="s">
        <v>706</v>
      </c>
      <c r="E12" s="794" t="s">
        <v>1649</v>
      </c>
      <c r="F12" s="330"/>
      <c r="G12" s="330"/>
      <c r="H12" s="330"/>
      <c r="I12" s="330"/>
      <c r="J12" s="330"/>
      <c r="K12" s="330"/>
      <c r="L12" s="330"/>
      <c r="M12" s="330"/>
      <c r="N12" s="330"/>
      <c r="O12" s="330"/>
      <c r="P12" s="330"/>
      <c r="Q12" s="330"/>
      <c r="R12" s="330"/>
      <c r="S12" s="330"/>
      <c r="T12" s="330"/>
      <c r="U12" s="330"/>
      <c r="V12" s="330"/>
      <c r="W12" s="330"/>
    </row>
    <row r="13" spans="2:23" x14ac:dyDescent="0.15">
      <c r="C13" s="155" t="s">
        <v>157</v>
      </c>
      <c r="F13" s="330"/>
      <c r="G13" s="330"/>
      <c r="H13" s="330"/>
      <c r="I13" s="330"/>
      <c r="J13" s="330"/>
      <c r="K13" s="330"/>
      <c r="L13" s="330"/>
      <c r="M13" s="330"/>
      <c r="N13" s="330"/>
      <c r="O13" s="330"/>
      <c r="P13" s="330"/>
      <c r="Q13" s="330"/>
      <c r="R13" s="330"/>
      <c r="S13" s="330"/>
      <c r="T13" s="330"/>
      <c r="U13" s="330"/>
      <c r="V13" s="330"/>
      <c r="W13" s="330"/>
    </row>
    <row r="14" spans="2:23" x14ac:dyDescent="0.15">
      <c r="C14" s="155" t="s">
        <v>968</v>
      </c>
      <c r="E14" s="794" t="s">
        <v>1591</v>
      </c>
      <c r="F14" s="330"/>
      <c r="G14" s="330"/>
      <c r="H14" s="330"/>
      <c r="I14" s="330"/>
      <c r="J14" s="330"/>
      <c r="K14" s="330"/>
      <c r="L14" s="330"/>
      <c r="M14" s="330"/>
      <c r="N14" s="330"/>
      <c r="O14" s="330"/>
      <c r="P14" s="330"/>
      <c r="Q14" s="330"/>
      <c r="R14" s="330"/>
      <c r="S14" s="330"/>
      <c r="T14" s="330"/>
      <c r="U14" s="330"/>
      <c r="V14" s="330"/>
      <c r="W14" s="330"/>
    </row>
    <row r="15" spans="2:23" x14ac:dyDescent="0.15">
      <c r="C15" s="155" t="s">
        <v>381</v>
      </c>
      <c r="E15" s="794" t="s">
        <v>1591</v>
      </c>
      <c r="F15" s="330"/>
      <c r="G15" s="330"/>
      <c r="H15" s="330"/>
      <c r="I15" s="330"/>
      <c r="J15" s="330"/>
      <c r="K15" s="330"/>
      <c r="L15" s="330"/>
      <c r="M15" s="330"/>
      <c r="N15" s="330"/>
      <c r="O15" s="330"/>
      <c r="P15" s="330"/>
      <c r="Q15" s="330"/>
      <c r="R15" s="330"/>
      <c r="S15" s="330"/>
      <c r="T15" s="330"/>
      <c r="U15" s="330"/>
      <c r="V15" s="330"/>
      <c r="W15" s="330"/>
    </row>
    <row r="16" spans="2:23" x14ac:dyDescent="0.15">
      <c r="C16" s="155" t="s">
        <v>427</v>
      </c>
      <c r="D16" s="162"/>
      <c r="F16" s="330"/>
      <c r="G16" s="330"/>
      <c r="H16" s="330"/>
      <c r="I16" s="330"/>
      <c r="J16" s="330"/>
      <c r="K16" s="330"/>
      <c r="L16" s="330"/>
      <c r="M16" s="330"/>
      <c r="N16" s="330"/>
      <c r="O16" s="330"/>
      <c r="P16" s="330"/>
      <c r="Q16" s="330"/>
      <c r="R16" s="330"/>
      <c r="S16" s="330"/>
      <c r="T16" s="330"/>
      <c r="U16" s="330"/>
      <c r="V16" s="330"/>
      <c r="W16" s="330"/>
    </row>
    <row r="17" spans="3:23" ht="14.25" x14ac:dyDescent="0.15">
      <c r="C17" s="155" t="s">
        <v>812</v>
      </c>
      <c r="E17" s="359" t="e">
        <f ca="1">IF(TODAY()&lt;DATEVALUE("4/30/2017"),"Updated!","")</f>
        <v>#VALUE!</v>
      </c>
      <c r="F17" s="330"/>
      <c r="G17" s="330"/>
      <c r="H17" s="330"/>
      <c r="I17" s="330"/>
      <c r="J17" s="330"/>
      <c r="K17" s="330"/>
      <c r="L17" s="330"/>
      <c r="M17" s="330"/>
      <c r="N17" s="330"/>
      <c r="O17" s="330"/>
      <c r="P17" s="330"/>
      <c r="Q17" s="330"/>
      <c r="R17" s="330"/>
      <c r="S17" s="330"/>
      <c r="T17" s="330"/>
      <c r="U17" s="330"/>
      <c r="V17" s="330"/>
      <c r="W17" s="330"/>
    </row>
    <row r="18" spans="3:23" ht="14.25" x14ac:dyDescent="0.15">
      <c r="C18" s="155" t="s">
        <v>1073</v>
      </c>
      <c r="E18" s="359"/>
      <c r="F18" s="330"/>
      <c r="G18" s="330"/>
      <c r="H18" s="330"/>
      <c r="I18" s="330"/>
      <c r="J18" s="330"/>
      <c r="K18" s="330"/>
      <c r="L18" s="330"/>
      <c r="M18" s="330"/>
      <c r="N18" s="330"/>
      <c r="O18" s="330"/>
      <c r="P18" s="330"/>
      <c r="Q18" s="330"/>
      <c r="R18" s="330"/>
      <c r="S18" s="330"/>
      <c r="T18" s="330"/>
      <c r="U18" s="330"/>
      <c r="V18" s="330"/>
      <c r="W18" s="330"/>
    </row>
    <row r="19" spans="3:23" x14ac:dyDescent="0.15">
      <c r="C19" s="155" t="s">
        <v>1403</v>
      </c>
      <c r="E19" s="709" t="s">
        <v>1405</v>
      </c>
      <c r="F19" s="330"/>
      <c r="G19" s="330"/>
      <c r="H19" s="330"/>
      <c r="I19" s="330"/>
      <c r="J19" s="330"/>
      <c r="K19" s="330"/>
      <c r="L19" s="330"/>
      <c r="M19" s="330"/>
      <c r="N19" s="330"/>
      <c r="O19" s="330"/>
      <c r="P19" s="330"/>
      <c r="Q19" s="330"/>
      <c r="R19" s="330"/>
      <c r="S19" s="330"/>
      <c r="T19" s="330"/>
      <c r="U19" s="330"/>
      <c r="V19" s="330"/>
      <c r="W19" s="330"/>
    </row>
    <row r="20" spans="3:23" x14ac:dyDescent="0.15">
      <c r="C20" s="155" t="s">
        <v>329</v>
      </c>
      <c r="F20" s="330"/>
      <c r="G20" s="330"/>
      <c r="H20" s="330"/>
      <c r="I20" s="330"/>
      <c r="J20" s="330"/>
      <c r="K20" s="330"/>
      <c r="L20" s="330"/>
      <c r="M20" s="330"/>
      <c r="N20" s="330"/>
      <c r="O20" s="330"/>
      <c r="P20" s="330"/>
      <c r="Q20" s="330"/>
      <c r="R20" s="330"/>
      <c r="S20" s="330"/>
      <c r="T20" s="330"/>
      <c r="U20" s="330"/>
      <c r="V20" s="330"/>
      <c r="W20" s="330"/>
    </row>
    <row r="21" spans="3:23" x14ac:dyDescent="0.15">
      <c r="C21" s="155" t="s">
        <v>625</v>
      </c>
      <c r="E21" s="794" t="s">
        <v>1649</v>
      </c>
      <c r="F21" s="330"/>
      <c r="G21" s="330"/>
      <c r="H21" s="806"/>
      <c r="I21" s="330"/>
      <c r="J21" s="330"/>
      <c r="K21" s="330"/>
      <c r="L21" s="330"/>
      <c r="M21" s="330"/>
      <c r="N21" s="330"/>
      <c r="O21" s="330"/>
      <c r="P21" s="330"/>
      <c r="Q21" s="330"/>
      <c r="R21" s="330"/>
      <c r="S21" s="330"/>
      <c r="T21" s="330"/>
      <c r="U21" s="330"/>
      <c r="V21" s="330"/>
      <c r="W21" s="330"/>
    </row>
    <row r="22" spans="3:23" ht="14.25" x14ac:dyDescent="0.15">
      <c r="C22" s="155" t="s">
        <v>703</v>
      </c>
      <c r="D22" s="162"/>
      <c r="E22" s="359" t="e">
        <f ca="1">IF(TODAY()&lt;DATEVALUE("4/30/2017"),"NEW!","")</f>
        <v>#VALUE!</v>
      </c>
      <c r="F22" s="330"/>
      <c r="G22" s="330"/>
      <c r="H22" s="330"/>
      <c r="I22" s="330"/>
      <c r="J22" s="330"/>
      <c r="K22" s="330"/>
      <c r="L22" s="330"/>
      <c r="M22" s="330"/>
      <c r="N22" s="330"/>
      <c r="O22" s="330"/>
      <c r="P22" s="330"/>
      <c r="Q22" s="330"/>
      <c r="R22" s="330"/>
      <c r="S22" s="330"/>
      <c r="T22" s="330"/>
      <c r="U22" s="330"/>
      <c r="V22" s="330"/>
      <c r="W22" s="330"/>
    </row>
    <row r="23" spans="3:23" x14ac:dyDescent="0.15">
      <c r="F23" s="330"/>
      <c r="G23" s="330"/>
      <c r="H23" s="330"/>
      <c r="I23" s="330"/>
      <c r="J23" s="330"/>
      <c r="K23" s="330"/>
      <c r="L23" s="330"/>
      <c r="M23" s="330"/>
      <c r="N23" s="330"/>
      <c r="O23" s="330"/>
      <c r="P23" s="330"/>
      <c r="Q23" s="330"/>
      <c r="R23" s="330"/>
      <c r="S23" s="330"/>
      <c r="T23" s="330"/>
      <c r="U23" s="330"/>
      <c r="V23" s="330"/>
      <c r="W23" s="330"/>
    </row>
    <row r="24" spans="3:23" ht="14.25" x14ac:dyDescent="0.15">
      <c r="C24" s="251" t="s">
        <v>273</v>
      </c>
      <c r="D24" s="218"/>
      <c r="E24" s="218"/>
      <c r="F24" s="330"/>
      <c r="G24" s="330"/>
      <c r="H24" s="330"/>
      <c r="I24" s="330"/>
      <c r="J24" s="330"/>
      <c r="K24" s="330"/>
      <c r="L24" s="330"/>
      <c r="M24" s="330"/>
      <c r="N24" s="330"/>
      <c r="O24" s="330"/>
      <c r="P24" s="330"/>
      <c r="Q24" s="330"/>
      <c r="R24" s="330"/>
      <c r="S24" s="330"/>
      <c r="T24" s="330"/>
      <c r="U24" s="330"/>
      <c r="V24" s="330"/>
      <c r="W24" s="330"/>
    </row>
    <row r="25" spans="3:23" ht="14.25" x14ac:dyDescent="0.2">
      <c r="C25" s="171" t="str">
        <f>IF(C27="L","fsensor","L")</f>
        <v>L</v>
      </c>
      <c r="D25" s="46">
        <v>55</v>
      </c>
      <c r="E25" s="252" t="str">
        <f>IF(C25="fsensor","MHz","µH")</f>
        <v>µH</v>
      </c>
      <c r="F25" s="330"/>
      <c r="G25" s="330"/>
      <c r="H25" s="330"/>
      <c r="I25" s="330"/>
      <c r="J25" s="330"/>
      <c r="K25" s="330"/>
      <c r="L25" s="330"/>
      <c r="M25" s="330"/>
      <c r="N25" s="330"/>
      <c r="O25" s="330"/>
      <c r="P25" s="330"/>
      <c r="Q25" s="330"/>
      <c r="R25" s="330"/>
      <c r="S25" s="330"/>
      <c r="T25" s="330"/>
      <c r="U25" s="330"/>
      <c r="V25" s="330"/>
      <c r="W25" s="330"/>
    </row>
    <row r="26" spans="3:23" x14ac:dyDescent="0.15">
      <c r="C26" s="171" t="str">
        <f>IF(C27="C","fsensor","C")</f>
        <v>C</v>
      </c>
      <c r="D26" s="46">
        <v>100</v>
      </c>
      <c r="E26" s="253" t="str">
        <f>IF(C26="fsensor","MHz","pF")</f>
        <v>pF</v>
      </c>
      <c r="F26" s="330"/>
      <c r="G26" s="330"/>
      <c r="H26" s="330"/>
      <c r="I26" s="330"/>
      <c r="J26" s="330"/>
      <c r="K26" s="330"/>
      <c r="L26" s="330"/>
      <c r="M26" s="330"/>
      <c r="N26" s="330"/>
      <c r="O26" s="330"/>
      <c r="P26" s="330"/>
      <c r="Q26" s="330"/>
      <c r="R26" s="330"/>
      <c r="S26" s="330"/>
      <c r="T26" s="330"/>
      <c r="U26" s="330"/>
      <c r="V26" s="330"/>
      <c r="W26" s="330"/>
    </row>
    <row r="27" spans="3:23" x14ac:dyDescent="0.15">
      <c r="C27" s="45" t="s">
        <v>228</v>
      </c>
      <c r="D27" s="254">
        <f>IF(C27="fsensor",0.000001/(2*PI()*SQRT(D25*0.000001*D26*0.000000000001)),IF(C27="C",1000000000000/((D25*0.000001)*(2*PI()*D26*1000000)^2),1000000/((D26*0.000000000001)*(2*PI()*D25*1000000)^2)))</f>
        <v>2.1460448148580196</v>
      </c>
      <c r="E27" s="171" t="str">
        <f>IF(C27="fsensor","MHz",IF(C27="L","µH","pF"))</f>
        <v>MHz</v>
      </c>
      <c r="F27" s="330"/>
      <c r="G27" s="330"/>
      <c r="H27" s="330"/>
      <c r="I27" s="330"/>
      <c r="J27" s="330"/>
      <c r="K27" s="330"/>
      <c r="L27" s="330"/>
      <c r="M27" s="330"/>
      <c r="N27" s="330"/>
      <c r="O27" s="330"/>
      <c r="P27" s="330"/>
      <c r="Q27" s="330"/>
      <c r="R27" s="330"/>
      <c r="S27" s="330"/>
      <c r="T27" s="330"/>
      <c r="U27" s="330"/>
      <c r="V27" s="330"/>
      <c r="W27" s="330"/>
    </row>
    <row r="28" spans="3:23" x14ac:dyDescent="0.15">
      <c r="C28" s="255"/>
      <c r="F28" s="330"/>
      <c r="G28" s="330"/>
      <c r="H28" s="330"/>
      <c r="I28" s="330"/>
      <c r="J28" s="330"/>
      <c r="K28" s="330"/>
      <c r="L28" s="330"/>
      <c r="M28" s="330"/>
      <c r="N28" s="330"/>
      <c r="O28" s="330"/>
      <c r="P28" s="330"/>
      <c r="Q28" s="330"/>
      <c r="R28" s="330"/>
      <c r="S28" s="330"/>
      <c r="T28" s="330"/>
      <c r="U28" s="330"/>
      <c r="V28" s="330"/>
      <c r="W28" s="330"/>
    </row>
    <row r="29" spans="3:23" ht="14.25" x14ac:dyDescent="0.15">
      <c r="C29" s="251" t="s">
        <v>277</v>
      </c>
      <c r="F29" s="330"/>
      <c r="G29" s="330"/>
      <c r="H29" s="330"/>
      <c r="I29" s="330"/>
      <c r="J29" s="330"/>
      <c r="K29" s="330"/>
      <c r="L29" s="330"/>
      <c r="M29" s="330"/>
      <c r="N29" s="330"/>
      <c r="O29" s="330"/>
      <c r="P29" s="330"/>
      <c r="Q29" s="330"/>
      <c r="R29" s="330"/>
      <c r="S29" s="330"/>
      <c r="T29" s="330"/>
      <c r="U29" s="330"/>
      <c r="V29" s="330"/>
      <c r="W29" s="330"/>
    </row>
    <row r="30" spans="3:23" ht="15" x14ac:dyDescent="0.25">
      <c r="C30" s="256" t="s">
        <v>69</v>
      </c>
      <c r="D30" s="152">
        <v>55</v>
      </c>
      <c r="E30" s="257" t="s">
        <v>96</v>
      </c>
      <c r="F30" s="330"/>
      <c r="G30" s="330"/>
      <c r="H30" s="330"/>
      <c r="I30" s="330"/>
      <c r="J30" s="330"/>
      <c r="K30" s="330"/>
      <c r="L30" s="330"/>
      <c r="M30" s="330"/>
      <c r="N30" s="330"/>
      <c r="O30" s="330"/>
      <c r="P30" s="330"/>
      <c r="Q30" s="330"/>
      <c r="R30" s="330"/>
      <c r="S30" s="330"/>
      <c r="T30" s="330"/>
      <c r="U30" s="330"/>
      <c r="V30" s="330"/>
      <c r="W30" s="330"/>
    </row>
    <row r="31" spans="3:23" x14ac:dyDescent="0.15">
      <c r="C31" s="256" t="s">
        <v>26</v>
      </c>
      <c r="D31" s="152">
        <v>100</v>
      </c>
      <c r="E31" s="171" t="s">
        <v>27</v>
      </c>
      <c r="F31" s="330"/>
      <c r="G31" s="330"/>
      <c r="H31" s="330"/>
      <c r="I31" s="330"/>
      <c r="J31" s="330"/>
      <c r="K31" s="330"/>
      <c r="L31" s="330"/>
      <c r="M31" s="330"/>
      <c r="N31" s="330"/>
      <c r="O31" s="330"/>
      <c r="P31" s="330"/>
      <c r="Q31" s="330"/>
      <c r="R31" s="330"/>
      <c r="S31" s="330"/>
      <c r="T31" s="330"/>
      <c r="U31" s="330"/>
      <c r="V31" s="330"/>
      <c r="W31" s="330"/>
    </row>
    <row r="32" spans="3:23" ht="15" x14ac:dyDescent="0.25">
      <c r="C32" s="256" t="str">
        <f>IF(C33="Rp","Rs","Rp")</f>
        <v>Rs</v>
      </c>
      <c r="D32" s="152">
        <v>18</v>
      </c>
      <c r="E32" s="257" t="str">
        <f>IF(C33="Rp","Ω","kΩ")</f>
        <v>Ω</v>
      </c>
      <c r="F32" s="330"/>
      <c r="G32" s="330"/>
      <c r="H32" s="330"/>
      <c r="I32" s="330"/>
      <c r="J32" s="330"/>
      <c r="K32" s="330"/>
      <c r="L32" s="330"/>
      <c r="M32" s="330"/>
      <c r="N32" s="330"/>
      <c r="O32" s="330"/>
      <c r="P32" s="330"/>
      <c r="Q32" s="330"/>
      <c r="R32" s="330"/>
      <c r="S32" s="330"/>
      <c r="T32" s="330"/>
      <c r="U32" s="330"/>
      <c r="V32" s="330"/>
      <c r="W32" s="330"/>
    </row>
    <row r="33" spans="1:23" x14ac:dyDescent="0.15">
      <c r="C33" s="250" t="s">
        <v>81</v>
      </c>
      <c r="D33" s="258">
        <f>1000/D32*D30/D31</f>
        <v>30.555555555555557</v>
      </c>
      <c r="E33" s="171" t="str">
        <f>IF(C33="Rp","kΩ","Ω")</f>
        <v>kΩ</v>
      </c>
      <c r="F33" s="330"/>
      <c r="G33" s="330"/>
      <c r="H33" s="330"/>
      <c r="I33" s="330"/>
      <c r="J33" s="330"/>
      <c r="K33" s="330"/>
      <c r="L33" s="330"/>
      <c r="M33" s="330"/>
      <c r="N33" s="330"/>
      <c r="O33" s="330"/>
      <c r="P33" s="330"/>
      <c r="Q33" s="330"/>
      <c r="R33" s="330"/>
      <c r="S33" s="330"/>
      <c r="T33" s="330"/>
      <c r="U33" s="330"/>
      <c r="V33" s="330"/>
      <c r="W33" s="330"/>
    </row>
    <row r="34" spans="1:23" x14ac:dyDescent="0.15">
      <c r="C34" s="256" t="s">
        <v>228</v>
      </c>
      <c r="D34" s="170">
        <f>(0.000001/(2*PI()*SQRT(D30*0.000001*D31*0.000000000001)))</f>
        <v>2.1460448148580196</v>
      </c>
      <c r="E34" s="171" t="s">
        <v>0</v>
      </c>
      <c r="F34" s="330"/>
      <c r="G34" s="330"/>
      <c r="H34" s="330"/>
      <c r="I34" s="330"/>
      <c r="J34" s="330"/>
      <c r="K34" s="330"/>
      <c r="L34" s="330"/>
      <c r="M34" s="330"/>
      <c r="N34" s="330"/>
      <c r="O34" s="330"/>
      <c r="P34" s="330"/>
      <c r="Q34" s="330"/>
      <c r="R34" s="330"/>
      <c r="S34" s="330"/>
      <c r="T34" s="330"/>
      <c r="U34" s="330"/>
      <c r="V34" s="330"/>
      <c r="W34" s="330"/>
    </row>
    <row r="35" spans="1:23" x14ac:dyDescent="0.15">
      <c r="C35" s="256" t="s">
        <v>83</v>
      </c>
      <c r="D35" s="172">
        <f>IF(C33="Rs",(1000/D33)*SQRT(D30/D31),(1000/D32)*SQRT(D30/D31))</f>
        <v>41.201102706087021</v>
      </c>
      <c r="E35" s="259"/>
      <c r="F35" s="330"/>
      <c r="G35" s="330"/>
      <c r="H35" s="330"/>
      <c r="I35" s="330"/>
      <c r="J35" s="330"/>
      <c r="K35" s="330"/>
      <c r="L35" s="330"/>
      <c r="M35" s="330"/>
      <c r="N35" s="330"/>
      <c r="O35" s="330"/>
      <c r="P35" s="330"/>
      <c r="Q35" s="330"/>
      <c r="R35" s="330"/>
      <c r="S35" s="330"/>
      <c r="T35" s="330"/>
      <c r="U35" s="330"/>
      <c r="V35" s="330"/>
      <c r="W35" s="330"/>
    </row>
    <row r="36" spans="1:23" x14ac:dyDescent="0.15">
      <c r="D36" s="330"/>
      <c r="E36" s="330"/>
      <c r="F36" s="330"/>
      <c r="G36" s="330"/>
      <c r="H36" s="330"/>
      <c r="I36" s="330"/>
      <c r="J36" s="330"/>
      <c r="K36" s="330"/>
      <c r="L36" s="330"/>
      <c r="M36" s="330"/>
      <c r="N36" s="330"/>
      <c r="O36" s="330"/>
      <c r="P36" s="330"/>
      <c r="Q36" s="330"/>
      <c r="R36" s="330"/>
      <c r="S36" s="330"/>
      <c r="T36" s="330"/>
      <c r="U36" s="330"/>
      <c r="V36" s="330"/>
      <c r="W36" s="330"/>
    </row>
    <row r="37" spans="1:23" ht="14.25" x14ac:dyDescent="0.15">
      <c r="B37" s="1"/>
      <c r="C37" s="260" t="s">
        <v>271</v>
      </c>
      <c r="D37" s="330"/>
      <c r="E37" s="330"/>
      <c r="F37" s="330"/>
      <c r="G37" s="330"/>
      <c r="H37" s="330"/>
      <c r="I37" s="330"/>
      <c r="J37" s="330"/>
      <c r="K37" s="330"/>
      <c r="L37" s="330"/>
      <c r="M37" s="330"/>
      <c r="N37" s="330"/>
      <c r="O37" s="330"/>
      <c r="P37" s="330"/>
      <c r="Q37" s="330"/>
      <c r="R37" s="330"/>
      <c r="S37" s="330"/>
      <c r="T37" s="330"/>
      <c r="U37" s="330"/>
      <c r="V37" s="330"/>
      <c r="W37" s="330"/>
    </row>
    <row r="38" spans="1:23" ht="27" x14ac:dyDescent="0.15">
      <c r="C38" s="261" t="s">
        <v>290</v>
      </c>
      <c r="D38" s="330"/>
      <c r="E38" s="330"/>
      <c r="F38" s="330"/>
      <c r="G38" s="330"/>
      <c r="H38" s="330"/>
      <c r="I38" s="330"/>
      <c r="J38" s="330"/>
      <c r="K38" s="330"/>
      <c r="L38" s="330"/>
      <c r="M38" s="330"/>
      <c r="N38" s="330"/>
      <c r="O38" s="330"/>
      <c r="P38" s="330"/>
      <c r="Q38" s="330"/>
      <c r="R38" s="330"/>
      <c r="S38" s="330"/>
      <c r="T38" s="330"/>
      <c r="U38" s="330"/>
      <c r="V38" s="330"/>
      <c r="W38" s="330"/>
    </row>
    <row r="39" spans="1:23" ht="40.5" x14ac:dyDescent="0.15">
      <c r="C39" s="262" t="s">
        <v>291</v>
      </c>
      <c r="D39" s="330"/>
      <c r="E39" s="330"/>
      <c r="F39" s="330"/>
      <c r="G39" s="330"/>
      <c r="H39" s="330"/>
      <c r="I39" s="330"/>
      <c r="J39" s="330"/>
      <c r="K39" s="330"/>
      <c r="L39" s="330"/>
      <c r="M39" s="330"/>
      <c r="N39" s="330"/>
      <c r="O39" s="330"/>
      <c r="P39" s="330"/>
      <c r="Q39" s="330"/>
      <c r="R39" s="330"/>
      <c r="S39" s="330"/>
      <c r="T39" s="330"/>
      <c r="U39" s="330"/>
      <c r="V39" s="330"/>
      <c r="W39" s="330"/>
    </row>
    <row r="40" spans="1:23" ht="27" x14ac:dyDescent="0.15">
      <c r="C40" s="263" t="s">
        <v>292</v>
      </c>
      <c r="D40" s="330"/>
      <c r="E40" s="330"/>
      <c r="F40" s="330"/>
      <c r="G40" s="330"/>
      <c r="H40" s="330"/>
      <c r="I40" s="330"/>
      <c r="J40" s="330"/>
      <c r="K40" s="330"/>
      <c r="L40" s="330"/>
      <c r="M40" s="330"/>
      <c r="N40" s="330"/>
      <c r="O40" s="330"/>
      <c r="P40" s="330"/>
      <c r="Q40" s="330"/>
      <c r="R40" s="330"/>
      <c r="S40" s="330"/>
      <c r="T40" s="330"/>
      <c r="U40" s="330"/>
      <c r="V40" s="330"/>
      <c r="W40" s="330"/>
    </row>
    <row r="41" spans="1:23" x14ac:dyDescent="0.15">
      <c r="A41" s="330"/>
      <c r="B41" s="330"/>
      <c r="C41" s="330"/>
      <c r="D41" s="330"/>
      <c r="E41" s="330"/>
      <c r="F41" s="330"/>
      <c r="G41" s="330"/>
      <c r="H41" s="330"/>
      <c r="I41" s="330"/>
      <c r="J41" s="330"/>
      <c r="K41" s="330"/>
      <c r="L41" s="330"/>
      <c r="M41" s="330"/>
      <c r="N41" s="330"/>
      <c r="O41" s="330"/>
      <c r="P41" s="330"/>
      <c r="Q41" s="330"/>
      <c r="R41" s="330"/>
      <c r="S41" s="330"/>
      <c r="T41" s="330"/>
      <c r="U41" s="330"/>
      <c r="V41" s="330"/>
      <c r="W41" s="330"/>
    </row>
    <row r="42" spans="1:23" x14ac:dyDescent="0.15">
      <c r="A42" s="330"/>
      <c r="B42" s="330"/>
      <c r="C42" s="330"/>
      <c r="D42" s="330"/>
      <c r="E42" s="330"/>
      <c r="F42" s="330"/>
      <c r="G42" s="330"/>
      <c r="H42" s="330"/>
      <c r="I42" s="330"/>
      <c r="J42" s="330"/>
      <c r="K42" s="330"/>
      <c r="L42" s="330"/>
      <c r="M42" s="330"/>
      <c r="N42" s="330"/>
      <c r="O42" s="330"/>
      <c r="P42" s="330"/>
      <c r="Q42" s="330"/>
      <c r="R42" s="330"/>
      <c r="S42" s="330"/>
      <c r="T42" s="330"/>
      <c r="U42" s="330"/>
      <c r="V42" s="330"/>
      <c r="W42" s="330"/>
    </row>
    <row r="43" spans="1:23" x14ac:dyDescent="0.15">
      <c r="A43" s="330"/>
      <c r="B43" s="330"/>
      <c r="C43" s="330"/>
      <c r="D43" s="330"/>
      <c r="E43" s="330"/>
      <c r="F43" s="330"/>
      <c r="G43" s="330"/>
      <c r="H43" s="807"/>
      <c r="I43" s="330"/>
      <c r="J43" s="330"/>
      <c r="K43" s="330"/>
      <c r="L43" s="330"/>
      <c r="M43" s="330"/>
      <c r="N43" s="330"/>
      <c r="O43" s="330"/>
      <c r="P43" s="330"/>
      <c r="Q43" s="330"/>
      <c r="R43" s="330"/>
      <c r="S43" s="330"/>
      <c r="T43" s="330"/>
      <c r="U43" s="330"/>
      <c r="V43" s="330"/>
      <c r="W43" s="330"/>
    </row>
    <row r="44" spans="1:23" x14ac:dyDescent="0.15">
      <c r="A44" s="330"/>
      <c r="B44" s="330"/>
      <c r="C44" s="330"/>
      <c r="D44" s="330"/>
      <c r="E44" s="330"/>
      <c r="F44" s="330"/>
      <c r="G44" s="330"/>
      <c r="H44" s="807"/>
      <c r="I44" s="330"/>
      <c r="J44" s="330"/>
      <c r="K44" s="330"/>
      <c r="L44" s="330"/>
      <c r="M44" s="330"/>
      <c r="N44" s="330"/>
      <c r="O44" s="330"/>
      <c r="P44" s="330"/>
      <c r="Q44" s="330"/>
      <c r="R44" s="330"/>
      <c r="S44" s="330"/>
      <c r="T44" s="330"/>
      <c r="U44" s="330"/>
      <c r="V44" s="330"/>
      <c r="W44" s="330"/>
    </row>
    <row r="45" spans="1:23" x14ac:dyDescent="0.15">
      <c r="A45" s="330"/>
      <c r="B45" s="330"/>
      <c r="C45" s="330"/>
      <c r="D45" s="330"/>
      <c r="E45" s="330"/>
      <c r="F45" s="330"/>
      <c r="G45" s="330"/>
      <c r="H45" s="807"/>
      <c r="I45" s="330"/>
      <c r="J45" s="330"/>
      <c r="K45" s="330"/>
      <c r="L45" s="330"/>
      <c r="M45" s="330"/>
      <c r="N45" s="330"/>
      <c r="O45" s="330"/>
      <c r="P45" s="330"/>
      <c r="Q45" s="330"/>
      <c r="R45" s="330"/>
      <c r="S45" s="330"/>
      <c r="T45" s="330"/>
      <c r="U45" s="330"/>
      <c r="V45" s="330"/>
      <c r="W45" s="330"/>
    </row>
    <row r="46" spans="1:23" x14ac:dyDescent="0.15">
      <c r="A46" s="330"/>
      <c r="B46" s="330"/>
      <c r="C46" s="330"/>
      <c r="D46" s="330"/>
      <c r="E46" s="330"/>
      <c r="F46" s="330"/>
      <c r="G46" s="330"/>
      <c r="H46" s="779"/>
      <c r="I46" s="330"/>
      <c r="J46" s="330"/>
      <c r="K46" s="330"/>
      <c r="L46" s="330"/>
      <c r="M46" s="330"/>
      <c r="N46" s="330"/>
      <c r="O46" s="330"/>
      <c r="P46" s="330"/>
      <c r="Q46" s="330"/>
      <c r="R46" s="330"/>
      <c r="S46" s="330"/>
      <c r="T46" s="330"/>
      <c r="U46" s="330"/>
      <c r="V46" s="330"/>
      <c r="W46" s="330"/>
    </row>
    <row r="47" spans="1:23" x14ac:dyDescent="0.15">
      <c r="A47" s="330"/>
      <c r="B47" s="330"/>
      <c r="C47" s="330"/>
      <c r="D47" s="330"/>
      <c r="E47" s="330"/>
      <c r="F47" s="330"/>
      <c r="G47" s="330"/>
      <c r="H47" s="330"/>
      <c r="I47" s="330"/>
      <c r="J47" s="330"/>
      <c r="K47" s="330"/>
      <c r="L47" s="330"/>
      <c r="M47" s="330"/>
      <c r="N47" s="330"/>
      <c r="O47" s="330"/>
      <c r="P47" s="330"/>
      <c r="Q47" s="330"/>
      <c r="R47" s="330"/>
      <c r="S47" s="330"/>
      <c r="T47" s="330"/>
      <c r="U47" s="330"/>
      <c r="V47" s="330"/>
      <c r="W47" s="330"/>
    </row>
    <row r="48" spans="1:23" x14ac:dyDescent="0.15">
      <c r="A48" s="330"/>
      <c r="B48" s="330"/>
      <c r="C48" s="330"/>
      <c r="D48" s="330"/>
      <c r="E48" s="330"/>
      <c r="F48" s="330"/>
      <c r="G48" s="330"/>
      <c r="H48" s="330"/>
      <c r="I48" s="330"/>
      <c r="J48" s="330"/>
      <c r="K48" s="330"/>
      <c r="L48" s="330"/>
      <c r="M48" s="330"/>
      <c r="N48" s="330"/>
      <c r="O48" s="330"/>
      <c r="P48" s="330"/>
      <c r="Q48" s="330"/>
      <c r="R48" s="330"/>
      <c r="S48" s="330"/>
      <c r="T48" s="330"/>
      <c r="U48" s="330"/>
      <c r="V48" s="330"/>
      <c r="W48" s="330"/>
    </row>
    <row r="49" spans="1:23" x14ac:dyDescent="0.15">
      <c r="A49" s="330"/>
      <c r="B49" s="330"/>
      <c r="C49" s="330"/>
      <c r="D49" s="330"/>
      <c r="E49" s="330"/>
      <c r="F49" s="330"/>
      <c r="G49" s="330"/>
      <c r="H49" s="330"/>
      <c r="I49" s="330"/>
      <c r="J49" s="330"/>
      <c r="K49" s="330"/>
      <c r="L49" s="330"/>
      <c r="M49" s="330"/>
      <c r="N49" s="330"/>
      <c r="O49" s="330"/>
      <c r="P49" s="330"/>
      <c r="Q49" s="330"/>
      <c r="R49" s="330"/>
      <c r="S49" s="330"/>
      <c r="T49" s="330"/>
      <c r="U49" s="330"/>
      <c r="V49" s="330"/>
      <c r="W49" s="330"/>
    </row>
    <row r="50" spans="1:23" x14ac:dyDescent="0.15">
      <c r="A50" s="330"/>
      <c r="B50" s="330"/>
      <c r="C50" s="330"/>
      <c r="D50" s="330"/>
      <c r="E50" s="330"/>
      <c r="F50" s="330"/>
      <c r="G50" s="330"/>
      <c r="H50" s="330"/>
      <c r="I50" s="330"/>
      <c r="J50" s="330"/>
      <c r="K50" s="330"/>
      <c r="L50" s="330"/>
      <c r="M50" s="330"/>
      <c r="N50" s="330"/>
      <c r="O50" s="330"/>
      <c r="P50" s="330"/>
      <c r="Q50" s="330"/>
      <c r="R50" s="330"/>
      <c r="S50" s="330"/>
      <c r="T50" s="330"/>
      <c r="U50" s="330"/>
      <c r="V50" s="330"/>
      <c r="W50" s="330"/>
    </row>
    <row r="51" spans="1:23" x14ac:dyDescent="0.15">
      <c r="A51" s="330"/>
      <c r="B51" s="330"/>
      <c r="C51" s="330"/>
      <c r="D51" s="330"/>
      <c r="E51" s="330"/>
      <c r="F51" s="330"/>
      <c r="G51" s="330"/>
      <c r="H51" s="330"/>
      <c r="I51" s="330"/>
      <c r="J51" s="330"/>
      <c r="K51" s="330"/>
      <c r="L51" s="330"/>
      <c r="M51" s="330"/>
      <c r="N51" s="330"/>
      <c r="O51" s="330"/>
      <c r="P51" s="330"/>
      <c r="Q51" s="330"/>
      <c r="R51" s="330"/>
      <c r="S51" s="330"/>
      <c r="T51" s="330"/>
      <c r="U51" s="330"/>
      <c r="V51" s="330"/>
      <c r="W51" s="330"/>
    </row>
    <row r="52" spans="1:23" x14ac:dyDescent="0.15">
      <c r="A52" s="330"/>
      <c r="B52" s="330"/>
      <c r="C52" s="330"/>
      <c r="D52" s="330"/>
      <c r="E52" s="330"/>
      <c r="F52" s="330"/>
      <c r="G52" s="330"/>
      <c r="H52" s="330"/>
      <c r="I52" s="330"/>
      <c r="J52" s="330"/>
      <c r="K52" s="330"/>
      <c r="L52" s="330"/>
      <c r="M52" s="330"/>
      <c r="N52" s="330"/>
      <c r="O52" s="330"/>
      <c r="P52" s="330"/>
      <c r="Q52" s="330"/>
      <c r="R52" s="330"/>
      <c r="S52" s="330"/>
      <c r="T52" s="330"/>
      <c r="U52" s="330"/>
      <c r="V52" s="330"/>
      <c r="W52" s="330"/>
    </row>
    <row r="53" spans="1:23" x14ac:dyDescent="0.15">
      <c r="A53" s="330"/>
      <c r="B53" s="330"/>
      <c r="C53" s="330"/>
      <c r="D53" s="330"/>
      <c r="E53" s="330"/>
      <c r="F53" s="330"/>
      <c r="G53" s="330"/>
      <c r="H53" s="330"/>
      <c r="I53" s="330"/>
      <c r="J53" s="330"/>
      <c r="K53" s="330"/>
      <c r="L53" s="330"/>
      <c r="M53" s="330"/>
      <c r="N53" s="330"/>
      <c r="O53" s="330"/>
      <c r="P53" s="330"/>
      <c r="Q53" s="330"/>
      <c r="R53" s="330"/>
      <c r="S53" s="330"/>
      <c r="T53" s="330"/>
      <c r="U53" s="330"/>
      <c r="V53" s="330"/>
      <c r="W53" s="330"/>
    </row>
    <row r="54" spans="1:23" x14ac:dyDescent="0.15">
      <c r="A54" s="330"/>
      <c r="B54" s="330"/>
      <c r="C54" s="330"/>
      <c r="D54" s="330"/>
      <c r="E54" s="330"/>
      <c r="F54" s="330"/>
      <c r="G54" s="330"/>
      <c r="H54" s="330"/>
      <c r="I54" s="330"/>
      <c r="J54" s="330"/>
      <c r="K54" s="330"/>
      <c r="L54" s="330"/>
      <c r="M54" s="330"/>
      <c r="N54" s="330"/>
      <c r="O54" s="330"/>
      <c r="P54" s="330"/>
      <c r="Q54" s="330"/>
      <c r="R54" s="330"/>
      <c r="S54" s="330"/>
      <c r="T54" s="330"/>
      <c r="U54" s="330"/>
      <c r="V54" s="330"/>
      <c r="W54" s="330"/>
    </row>
    <row r="55" spans="1:23" x14ac:dyDescent="0.15">
      <c r="A55" s="330"/>
      <c r="B55" s="330"/>
      <c r="C55" s="330"/>
      <c r="D55" s="330"/>
      <c r="E55" s="330"/>
      <c r="F55" s="330"/>
      <c r="G55" s="330"/>
      <c r="H55" s="330"/>
      <c r="I55" s="330"/>
      <c r="J55" s="330"/>
      <c r="K55" s="330"/>
      <c r="L55" s="330"/>
      <c r="M55" s="330"/>
      <c r="N55" s="330"/>
      <c r="O55" s="330"/>
      <c r="P55" s="330"/>
      <c r="Q55" s="330"/>
      <c r="R55" s="330"/>
      <c r="S55" s="330"/>
      <c r="T55" s="330"/>
      <c r="U55" s="330"/>
      <c r="V55" s="330"/>
      <c r="W55" s="330"/>
    </row>
    <row r="56" spans="1:23" x14ac:dyDescent="0.15">
      <c r="A56" s="330"/>
      <c r="B56" s="330"/>
      <c r="C56" s="330"/>
      <c r="D56" s="330"/>
      <c r="E56" s="330"/>
      <c r="F56" s="330"/>
      <c r="G56" s="330"/>
      <c r="H56" s="330"/>
      <c r="I56" s="330"/>
      <c r="J56" s="330"/>
      <c r="K56" s="330"/>
      <c r="L56" s="330"/>
      <c r="M56" s="330"/>
      <c r="N56" s="330"/>
      <c r="O56" s="330"/>
      <c r="P56" s="330"/>
      <c r="Q56" s="330"/>
      <c r="R56" s="330"/>
      <c r="S56" s="330"/>
      <c r="T56" s="330"/>
      <c r="U56" s="330"/>
      <c r="V56" s="330"/>
      <c r="W56" s="330"/>
    </row>
    <row r="57" spans="1:23" x14ac:dyDescent="0.15">
      <c r="A57" s="330"/>
      <c r="B57" s="330"/>
      <c r="C57" s="330"/>
      <c r="D57" s="330"/>
      <c r="E57" s="330"/>
      <c r="F57" s="330"/>
      <c r="G57" s="330"/>
      <c r="H57" s="330"/>
      <c r="I57" s="330"/>
      <c r="J57" s="330"/>
      <c r="K57" s="330"/>
      <c r="L57" s="330"/>
      <c r="M57" s="330"/>
      <c r="N57" s="330"/>
      <c r="O57" s="330"/>
      <c r="P57" s="330"/>
      <c r="Q57" s="330"/>
      <c r="R57" s="330"/>
      <c r="S57" s="330"/>
      <c r="T57" s="330"/>
      <c r="U57" s="330"/>
      <c r="V57" s="330"/>
      <c r="W57" s="330"/>
    </row>
    <row r="58" spans="1:23" x14ac:dyDescent="0.15">
      <c r="A58" s="330"/>
      <c r="B58" s="330"/>
      <c r="C58" s="330"/>
      <c r="D58" s="330"/>
      <c r="E58" s="330"/>
      <c r="F58" s="330"/>
      <c r="G58" s="330"/>
      <c r="H58" s="330"/>
      <c r="I58" s="330"/>
      <c r="J58" s="330"/>
      <c r="K58" s="330"/>
      <c r="L58" s="330"/>
      <c r="M58" s="330"/>
      <c r="N58" s="330"/>
      <c r="O58" s="330"/>
      <c r="P58" s="330"/>
      <c r="Q58" s="330"/>
      <c r="R58" s="330"/>
      <c r="S58" s="330"/>
      <c r="T58" s="330"/>
      <c r="U58" s="330"/>
      <c r="V58" s="330"/>
      <c r="W58" s="330"/>
    </row>
    <row r="59" spans="1:23" x14ac:dyDescent="0.15">
      <c r="A59" s="330"/>
      <c r="B59" s="330"/>
      <c r="C59" s="330"/>
      <c r="D59" s="330"/>
      <c r="E59" s="330"/>
      <c r="F59" s="330"/>
      <c r="G59" s="330"/>
      <c r="H59" s="330"/>
      <c r="I59" s="330"/>
      <c r="J59" s="330"/>
      <c r="K59" s="330"/>
      <c r="L59" s="330"/>
      <c r="M59" s="330"/>
      <c r="N59" s="330"/>
      <c r="O59" s="330"/>
      <c r="P59" s="330"/>
      <c r="Q59" s="330"/>
      <c r="R59" s="330"/>
      <c r="S59" s="330"/>
      <c r="T59" s="330"/>
      <c r="U59" s="330"/>
      <c r="V59" s="330"/>
      <c r="W59" s="330"/>
    </row>
    <row r="60" spans="1:23" x14ac:dyDescent="0.15">
      <c r="A60" s="330"/>
      <c r="B60" s="330"/>
      <c r="C60" s="330"/>
      <c r="D60" s="330"/>
      <c r="E60" s="330"/>
      <c r="F60" s="330"/>
      <c r="G60" s="330"/>
      <c r="H60" s="330"/>
      <c r="I60" s="330"/>
      <c r="J60" s="330"/>
      <c r="K60" s="330"/>
      <c r="L60" s="330"/>
      <c r="M60" s="330"/>
      <c r="N60" s="330"/>
      <c r="O60" s="330"/>
      <c r="P60" s="330"/>
      <c r="Q60" s="330"/>
      <c r="R60" s="330"/>
      <c r="S60" s="330"/>
      <c r="T60" s="330"/>
      <c r="U60" s="330"/>
      <c r="V60" s="330"/>
      <c r="W60" s="330"/>
    </row>
    <row r="61" spans="1:23" x14ac:dyDescent="0.15">
      <c r="A61" s="330"/>
      <c r="B61" s="330"/>
      <c r="C61" s="330"/>
      <c r="D61" s="330"/>
      <c r="E61" s="330"/>
      <c r="F61" s="330"/>
      <c r="G61" s="330"/>
      <c r="H61" s="330"/>
      <c r="I61" s="330"/>
      <c r="J61" s="330"/>
      <c r="K61" s="330"/>
      <c r="L61" s="330"/>
      <c r="M61" s="330"/>
      <c r="N61" s="330"/>
      <c r="O61" s="330"/>
      <c r="P61" s="330"/>
      <c r="Q61" s="330"/>
      <c r="R61" s="330"/>
      <c r="S61" s="330"/>
      <c r="T61" s="330"/>
      <c r="U61" s="330"/>
      <c r="V61" s="330"/>
      <c r="W61" s="330"/>
    </row>
    <row r="62" spans="1:23" x14ac:dyDescent="0.15">
      <c r="A62" s="330"/>
      <c r="B62" s="330"/>
      <c r="C62" s="330"/>
      <c r="D62" s="330"/>
      <c r="E62" s="330"/>
      <c r="F62" s="330"/>
      <c r="G62" s="330"/>
      <c r="H62" s="330"/>
      <c r="I62" s="330"/>
      <c r="J62" s="330"/>
      <c r="K62" s="330"/>
      <c r="L62" s="330"/>
      <c r="M62" s="330"/>
      <c r="N62" s="330"/>
      <c r="O62" s="330"/>
      <c r="P62" s="330"/>
      <c r="Q62" s="330"/>
      <c r="R62" s="330"/>
      <c r="S62" s="330"/>
      <c r="T62" s="330"/>
      <c r="U62" s="330"/>
      <c r="V62" s="330"/>
      <c r="W62" s="330"/>
    </row>
    <row r="63" spans="1:23" x14ac:dyDescent="0.15">
      <c r="A63" s="330"/>
      <c r="B63" s="330"/>
      <c r="C63" s="330"/>
      <c r="D63" s="330"/>
      <c r="E63" s="330"/>
      <c r="F63" s="330"/>
      <c r="G63" s="330"/>
      <c r="H63" s="330"/>
      <c r="I63" s="330"/>
      <c r="J63" s="330"/>
      <c r="K63" s="330"/>
      <c r="L63" s="330"/>
      <c r="M63" s="330"/>
      <c r="N63" s="330"/>
      <c r="O63" s="330"/>
      <c r="P63" s="330"/>
      <c r="Q63" s="330"/>
      <c r="R63" s="330"/>
      <c r="S63" s="330"/>
      <c r="T63" s="330"/>
      <c r="U63" s="330"/>
      <c r="V63" s="330"/>
      <c r="W63" s="330"/>
    </row>
    <row r="64" spans="1:23" x14ac:dyDescent="0.15">
      <c r="A64" s="330"/>
      <c r="B64" s="330"/>
      <c r="C64" s="330"/>
      <c r="D64" s="330"/>
      <c r="E64" s="330"/>
      <c r="F64" s="330"/>
      <c r="G64" s="330"/>
      <c r="H64" s="330"/>
      <c r="I64" s="330"/>
      <c r="J64" s="330"/>
      <c r="K64" s="330"/>
      <c r="L64" s="330"/>
      <c r="M64" s="330"/>
      <c r="N64" s="330"/>
      <c r="O64" s="330"/>
      <c r="P64" s="330"/>
      <c r="Q64" s="330"/>
      <c r="R64" s="330"/>
      <c r="S64" s="330"/>
      <c r="T64" s="330"/>
      <c r="U64" s="330"/>
      <c r="V64" s="330"/>
      <c r="W64" s="330"/>
    </row>
    <row r="65" spans="1:23" x14ac:dyDescent="0.15">
      <c r="A65" s="330"/>
      <c r="B65" s="330"/>
      <c r="C65" s="330"/>
      <c r="D65" s="330"/>
      <c r="E65" s="330"/>
      <c r="F65" s="330"/>
      <c r="G65" s="330"/>
      <c r="H65" s="330"/>
      <c r="I65" s="330"/>
      <c r="J65" s="330"/>
      <c r="K65" s="330"/>
      <c r="L65" s="330"/>
      <c r="M65" s="330"/>
      <c r="N65" s="330"/>
      <c r="O65" s="330"/>
      <c r="P65" s="330"/>
      <c r="Q65" s="330"/>
      <c r="R65" s="330"/>
      <c r="S65" s="330"/>
      <c r="T65" s="330"/>
      <c r="U65" s="330"/>
      <c r="V65" s="330"/>
      <c r="W65" s="330"/>
    </row>
    <row r="66" spans="1:23" x14ac:dyDescent="0.15">
      <c r="A66" s="330"/>
      <c r="B66" s="330"/>
      <c r="C66" s="330"/>
      <c r="D66" s="330"/>
      <c r="E66" s="330"/>
      <c r="F66" s="330"/>
      <c r="G66" s="330"/>
      <c r="H66" s="330"/>
      <c r="I66" s="330"/>
      <c r="J66" s="330"/>
      <c r="K66" s="330"/>
      <c r="L66" s="330"/>
      <c r="M66" s="330"/>
      <c r="N66" s="330"/>
      <c r="O66" s="330"/>
      <c r="P66" s="330"/>
      <c r="Q66" s="330"/>
      <c r="R66" s="330"/>
      <c r="S66" s="330"/>
      <c r="T66" s="330"/>
      <c r="U66" s="330"/>
      <c r="V66" s="330"/>
      <c r="W66" s="330"/>
    </row>
    <row r="67" spans="1:23" x14ac:dyDescent="0.15">
      <c r="A67" s="330"/>
      <c r="B67" s="330"/>
      <c r="C67" s="330"/>
      <c r="D67" s="330"/>
      <c r="E67" s="330"/>
      <c r="F67" s="330"/>
      <c r="G67" s="330"/>
      <c r="H67" s="330"/>
      <c r="I67" s="330"/>
      <c r="J67" s="330"/>
      <c r="K67" s="330"/>
      <c r="L67" s="330"/>
      <c r="M67" s="330"/>
      <c r="N67" s="330"/>
      <c r="O67" s="330"/>
      <c r="P67" s="330"/>
      <c r="Q67" s="330"/>
      <c r="R67" s="330"/>
      <c r="S67" s="330"/>
      <c r="T67" s="330"/>
      <c r="U67" s="330"/>
      <c r="V67" s="330"/>
      <c r="W67" s="330"/>
    </row>
    <row r="68" spans="1:23" x14ac:dyDescent="0.15">
      <c r="A68" s="330"/>
      <c r="B68" s="330"/>
      <c r="C68" s="330"/>
      <c r="D68" s="330"/>
      <c r="E68" s="330"/>
      <c r="F68" s="330"/>
      <c r="G68" s="330"/>
      <c r="H68" s="330"/>
      <c r="I68" s="330"/>
      <c r="J68" s="330"/>
      <c r="K68" s="330"/>
      <c r="L68" s="330"/>
      <c r="M68" s="330"/>
      <c r="N68" s="330"/>
      <c r="O68" s="330"/>
      <c r="P68" s="330"/>
      <c r="Q68" s="330"/>
      <c r="R68" s="330"/>
      <c r="S68" s="330"/>
      <c r="T68" s="330"/>
      <c r="U68" s="330"/>
      <c r="V68" s="330"/>
      <c r="W68" s="330"/>
    </row>
    <row r="69" spans="1:23" x14ac:dyDescent="0.15">
      <c r="A69" s="330"/>
      <c r="B69" s="330"/>
      <c r="C69" s="330"/>
      <c r="D69" s="330"/>
      <c r="E69" s="330"/>
      <c r="F69" s="330"/>
      <c r="G69" s="330"/>
      <c r="H69" s="330"/>
      <c r="I69" s="330"/>
      <c r="J69" s="330"/>
      <c r="K69" s="330"/>
      <c r="L69" s="330"/>
      <c r="M69" s="330"/>
      <c r="N69" s="330"/>
      <c r="O69" s="330"/>
      <c r="P69" s="330"/>
      <c r="Q69" s="330"/>
      <c r="R69" s="330"/>
      <c r="S69" s="330"/>
      <c r="T69" s="330"/>
      <c r="U69" s="330"/>
      <c r="V69" s="330"/>
      <c r="W69" s="330"/>
    </row>
    <row r="70" spans="1:23" x14ac:dyDescent="0.15">
      <c r="A70" s="330"/>
      <c r="B70" s="330"/>
      <c r="C70" s="330"/>
      <c r="D70" s="330"/>
      <c r="E70" s="330"/>
      <c r="F70" s="330"/>
      <c r="G70" s="330"/>
      <c r="H70" s="330"/>
      <c r="I70" s="330"/>
      <c r="J70" s="330"/>
      <c r="K70" s="330"/>
      <c r="L70" s="330"/>
      <c r="M70" s="330"/>
      <c r="N70" s="330"/>
      <c r="O70" s="330"/>
      <c r="P70" s="330"/>
      <c r="Q70" s="330"/>
      <c r="R70" s="330"/>
      <c r="S70" s="330"/>
      <c r="T70" s="330"/>
      <c r="U70" s="330"/>
      <c r="V70" s="330"/>
      <c r="W70" s="330"/>
    </row>
    <row r="71" spans="1:23" x14ac:dyDescent="0.15">
      <c r="A71" s="330"/>
      <c r="B71" s="330"/>
      <c r="C71" s="330"/>
      <c r="D71" s="330"/>
      <c r="E71" s="330"/>
      <c r="F71" s="330"/>
      <c r="G71" s="330"/>
      <c r="H71" s="330"/>
      <c r="I71" s="330"/>
      <c r="J71" s="330"/>
      <c r="K71" s="330"/>
      <c r="L71" s="330"/>
      <c r="M71" s="330"/>
      <c r="N71" s="330"/>
      <c r="O71" s="330"/>
      <c r="P71" s="330"/>
      <c r="Q71" s="330"/>
      <c r="R71" s="330"/>
      <c r="S71" s="330"/>
      <c r="T71" s="330"/>
      <c r="U71" s="330"/>
      <c r="V71" s="330"/>
      <c r="W71" s="330"/>
    </row>
    <row r="72" spans="1:23" x14ac:dyDescent="0.15">
      <c r="A72" s="330"/>
      <c r="B72" s="330"/>
      <c r="C72" s="330"/>
      <c r="D72" s="330"/>
      <c r="E72" s="330"/>
      <c r="F72" s="330"/>
      <c r="G72" s="330"/>
      <c r="H72" s="330"/>
      <c r="I72" s="330"/>
      <c r="J72" s="330"/>
      <c r="K72" s="330"/>
      <c r="L72" s="330"/>
      <c r="M72" s="330"/>
      <c r="N72" s="330"/>
      <c r="O72" s="330"/>
      <c r="P72" s="330"/>
      <c r="Q72" s="330"/>
      <c r="R72" s="330"/>
      <c r="S72" s="330"/>
      <c r="T72" s="330"/>
      <c r="U72" s="330"/>
      <c r="V72" s="330"/>
      <c r="W72" s="330"/>
    </row>
    <row r="73" spans="1:23" x14ac:dyDescent="0.15">
      <c r="A73" s="330"/>
      <c r="B73" s="330"/>
      <c r="C73" s="330"/>
      <c r="D73" s="330"/>
      <c r="E73" s="330"/>
      <c r="F73" s="330"/>
      <c r="G73" s="330"/>
      <c r="H73" s="330"/>
      <c r="I73" s="330"/>
      <c r="J73" s="330"/>
      <c r="K73" s="330"/>
      <c r="L73" s="330"/>
      <c r="M73" s="330"/>
      <c r="N73" s="330"/>
      <c r="O73" s="330"/>
      <c r="P73" s="330"/>
      <c r="Q73" s="330"/>
      <c r="R73" s="330"/>
      <c r="S73" s="330"/>
      <c r="T73" s="330"/>
      <c r="U73" s="330"/>
      <c r="V73" s="330"/>
      <c r="W73" s="330"/>
    </row>
    <row r="74" spans="1:23" x14ac:dyDescent="0.15">
      <c r="A74" s="330"/>
      <c r="B74" s="330"/>
      <c r="C74" s="330"/>
      <c r="D74" s="330"/>
      <c r="E74" s="330"/>
      <c r="F74" s="330"/>
      <c r="G74" s="330"/>
      <c r="H74" s="330"/>
      <c r="I74" s="330"/>
      <c r="J74" s="330"/>
      <c r="K74" s="330"/>
      <c r="L74" s="330"/>
      <c r="M74" s="330"/>
      <c r="N74" s="330"/>
      <c r="O74" s="330"/>
      <c r="P74" s="330"/>
      <c r="Q74" s="330"/>
      <c r="R74" s="330"/>
      <c r="S74" s="330"/>
      <c r="T74" s="330"/>
      <c r="U74" s="330"/>
      <c r="V74" s="330"/>
      <c r="W74" s="330"/>
    </row>
    <row r="75" spans="1:23" x14ac:dyDescent="0.15">
      <c r="A75" s="330"/>
      <c r="B75" s="330"/>
      <c r="C75" s="330"/>
      <c r="D75" s="330"/>
      <c r="E75" s="330"/>
      <c r="F75" s="330"/>
      <c r="G75" s="330"/>
      <c r="H75" s="330"/>
      <c r="I75" s="330"/>
      <c r="J75" s="330"/>
      <c r="K75" s="330"/>
      <c r="L75" s="330"/>
      <c r="M75" s="330"/>
      <c r="N75" s="330"/>
      <c r="O75" s="330"/>
      <c r="P75" s="330"/>
      <c r="Q75" s="330"/>
      <c r="R75" s="330"/>
      <c r="S75" s="330"/>
      <c r="T75" s="330"/>
      <c r="U75" s="330"/>
      <c r="V75" s="330"/>
      <c r="W75" s="330"/>
    </row>
    <row r="76" spans="1:23" x14ac:dyDescent="0.15">
      <c r="A76" s="330"/>
      <c r="B76" s="330"/>
      <c r="C76" s="330"/>
      <c r="D76" s="330"/>
      <c r="E76" s="330"/>
      <c r="F76" s="330"/>
      <c r="G76" s="330"/>
      <c r="H76" s="330"/>
      <c r="I76" s="330"/>
      <c r="J76" s="330"/>
      <c r="K76" s="330"/>
      <c r="L76" s="330"/>
      <c r="M76" s="330"/>
      <c r="N76" s="330"/>
      <c r="O76" s="330"/>
      <c r="P76" s="330"/>
      <c r="Q76" s="330"/>
      <c r="R76" s="330"/>
      <c r="S76" s="330"/>
      <c r="T76" s="330"/>
      <c r="U76" s="330"/>
      <c r="V76" s="330"/>
      <c r="W76" s="330"/>
    </row>
    <row r="77" spans="1:23" x14ac:dyDescent="0.15">
      <c r="A77" s="330"/>
      <c r="B77" s="330"/>
      <c r="C77" s="330"/>
      <c r="D77" s="330"/>
      <c r="E77" s="330"/>
      <c r="F77" s="330"/>
      <c r="G77" s="330"/>
      <c r="H77" s="330"/>
      <c r="I77" s="330"/>
      <c r="J77" s="330"/>
      <c r="K77" s="330"/>
      <c r="L77" s="330"/>
      <c r="M77" s="330"/>
      <c r="N77" s="330"/>
      <c r="O77" s="330"/>
      <c r="P77" s="330"/>
      <c r="Q77" s="330"/>
      <c r="R77" s="330"/>
      <c r="S77" s="330"/>
      <c r="T77" s="330"/>
      <c r="U77" s="330"/>
      <c r="V77" s="330"/>
      <c r="W77" s="330"/>
    </row>
    <row r="78" spans="1:23" x14ac:dyDescent="0.15">
      <c r="A78" s="330"/>
      <c r="B78" s="330"/>
      <c r="C78" s="330"/>
      <c r="D78" s="330"/>
      <c r="E78" s="330"/>
      <c r="F78" s="330"/>
      <c r="G78" s="330"/>
      <c r="H78" s="330"/>
      <c r="I78" s="330"/>
      <c r="J78" s="330"/>
      <c r="K78" s="330"/>
      <c r="L78" s="330"/>
      <c r="M78" s="330"/>
      <c r="N78" s="330"/>
      <c r="O78" s="330"/>
      <c r="P78" s="330"/>
      <c r="Q78" s="330"/>
      <c r="R78" s="330"/>
      <c r="S78" s="330"/>
      <c r="T78" s="330"/>
      <c r="U78" s="330"/>
      <c r="V78" s="330"/>
      <c r="W78" s="330"/>
    </row>
    <row r="79" spans="1:23" x14ac:dyDescent="0.15">
      <c r="A79" s="330"/>
      <c r="B79" s="330"/>
      <c r="C79" s="330"/>
      <c r="D79" s="330"/>
      <c r="E79" s="330"/>
      <c r="F79" s="330"/>
      <c r="G79" s="330"/>
      <c r="H79" s="330"/>
      <c r="I79" s="330"/>
      <c r="J79" s="330"/>
      <c r="K79" s="330"/>
      <c r="L79" s="330"/>
      <c r="M79" s="330"/>
      <c r="N79" s="330"/>
      <c r="O79" s="330"/>
      <c r="P79" s="330"/>
      <c r="Q79" s="330"/>
      <c r="R79" s="330"/>
      <c r="S79" s="330"/>
      <c r="T79" s="330"/>
      <c r="U79" s="330"/>
      <c r="V79" s="330"/>
      <c r="W79" s="330"/>
    </row>
    <row r="80" spans="1:23" x14ac:dyDescent="0.15">
      <c r="A80" s="330"/>
      <c r="B80" s="330"/>
      <c r="C80" s="330"/>
      <c r="D80" s="330"/>
      <c r="E80" s="330"/>
      <c r="F80" s="330"/>
      <c r="G80" s="330"/>
      <c r="H80" s="330"/>
      <c r="I80" s="330"/>
      <c r="J80" s="330"/>
      <c r="K80" s="330"/>
      <c r="L80" s="330"/>
      <c r="M80" s="330"/>
      <c r="N80" s="330"/>
      <c r="O80" s="330"/>
      <c r="P80" s="330"/>
      <c r="Q80" s="330"/>
      <c r="R80" s="330"/>
      <c r="S80" s="330"/>
      <c r="T80" s="330"/>
      <c r="U80" s="330"/>
      <c r="V80" s="330"/>
      <c r="W80" s="330"/>
    </row>
    <row r="81" spans="1:23" x14ac:dyDescent="0.15">
      <c r="A81" s="330"/>
      <c r="B81" s="330"/>
      <c r="C81" s="330"/>
      <c r="D81" s="330"/>
      <c r="E81" s="330"/>
      <c r="F81" s="330"/>
      <c r="G81" s="330"/>
      <c r="H81" s="330"/>
      <c r="I81" s="330"/>
      <c r="J81" s="330"/>
      <c r="K81" s="330"/>
      <c r="L81" s="330"/>
      <c r="M81" s="330"/>
      <c r="N81" s="330"/>
      <c r="O81" s="330"/>
      <c r="P81" s="330"/>
      <c r="Q81" s="330"/>
      <c r="R81" s="330"/>
      <c r="S81" s="330"/>
      <c r="T81" s="330"/>
      <c r="U81" s="330"/>
      <c r="V81" s="330"/>
      <c r="W81" s="330"/>
    </row>
    <row r="82" spans="1:23" x14ac:dyDescent="0.15">
      <c r="A82" s="330"/>
      <c r="B82" s="330"/>
      <c r="C82" s="330"/>
      <c r="D82" s="330"/>
      <c r="E82" s="330"/>
      <c r="F82" s="330"/>
      <c r="G82" s="330"/>
      <c r="H82" s="330"/>
      <c r="I82" s="330"/>
      <c r="J82" s="330"/>
      <c r="K82" s="330"/>
      <c r="L82" s="330"/>
      <c r="M82" s="330"/>
      <c r="N82" s="330"/>
      <c r="O82" s="330"/>
      <c r="P82" s="330"/>
      <c r="Q82" s="330"/>
      <c r="R82" s="330"/>
      <c r="S82" s="330"/>
      <c r="T82" s="330"/>
      <c r="U82" s="330"/>
      <c r="V82" s="330"/>
      <c r="W82" s="330"/>
    </row>
    <row r="83" spans="1:23" x14ac:dyDescent="0.15">
      <c r="A83" s="330"/>
      <c r="B83" s="330"/>
      <c r="C83" s="330"/>
      <c r="D83" s="330"/>
      <c r="E83" s="330"/>
      <c r="F83" s="330"/>
      <c r="G83" s="330"/>
      <c r="H83" s="330"/>
      <c r="I83" s="330"/>
      <c r="J83" s="330"/>
      <c r="K83" s="330"/>
      <c r="L83" s="330"/>
      <c r="M83" s="330"/>
      <c r="N83" s="330"/>
      <c r="O83" s="330"/>
      <c r="P83" s="330"/>
      <c r="Q83" s="330"/>
      <c r="R83" s="330"/>
      <c r="S83" s="330"/>
      <c r="T83" s="330"/>
      <c r="U83" s="330"/>
      <c r="V83" s="330"/>
      <c r="W83" s="330"/>
    </row>
    <row r="84" spans="1:23" x14ac:dyDescent="0.15">
      <c r="A84" s="330"/>
      <c r="B84" s="330"/>
      <c r="C84" s="330"/>
      <c r="D84" s="330"/>
      <c r="E84" s="330"/>
      <c r="F84" s="330"/>
      <c r="G84" s="330"/>
      <c r="H84" s="330"/>
      <c r="I84" s="330"/>
      <c r="J84" s="330"/>
      <c r="K84" s="330"/>
      <c r="L84" s="330"/>
      <c r="M84" s="330"/>
      <c r="N84" s="330"/>
      <c r="O84" s="330"/>
      <c r="P84" s="330"/>
      <c r="Q84" s="330"/>
      <c r="R84" s="330"/>
      <c r="S84" s="330"/>
      <c r="T84" s="330"/>
      <c r="U84" s="330"/>
      <c r="V84" s="330"/>
      <c r="W84" s="330"/>
    </row>
    <row r="85" spans="1:23" x14ac:dyDescent="0.15">
      <c r="A85" s="330"/>
      <c r="B85" s="330"/>
      <c r="C85" s="330"/>
      <c r="D85" s="330"/>
      <c r="E85" s="330"/>
      <c r="F85" s="330"/>
      <c r="G85" s="330"/>
      <c r="H85" s="330"/>
      <c r="I85" s="330"/>
      <c r="J85" s="330"/>
      <c r="K85" s="330"/>
      <c r="L85" s="330"/>
      <c r="M85" s="330"/>
      <c r="N85" s="330"/>
      <c r="O85" s="330"/>
      <c r="P85" s="330"/>
      <c r="Q85" s="330"/>
      <c r="R85" s="330"/>
      <c r="S85" s="330"/>
      <c r="T85" s="330"/>
      <c r="U85" s="330"/>
      <c r="V85" s="330"/>
      <c r="W85" s="330"/>
    </row>
    <row r="86" spans="1:23" x14ac:dyDescent="0.15">
      <c r="A86" s="330"/>
      <c r="B86" s="330"/>
      <c r="C86" s="330"/>
      <c r="D86" s="330"/>
      <c r="E86" s="330"/>
      <c r="F86" s="330"/>
      <c r="G86" s="330"/>
      <c r="H86" s="330"/>
      <c r="I86" s="330"/>
      <c r="J86" s="330"/>
      <c r="K86" s="330"/>
      <c r="L86" s="330"/>
      <c r="M86" s="330"/>
      <c r="N86" s="330"/>
      <c r="O86" s="330"/>
      <c r="P86" s="330"/>
      <c r="Q86" s="330"/>
      <c r="R86" s="330"/>
      <c r="S86" s="330"/>
      <c r="T86" s="330"/>
      <c r="U86" s="330"/>
      <c r="V86" s="330"/>
      <c r="W86" s="330"/>
    </row>
    <row r="87" spans="1:23" x14ac:dyDescent="0.15">
      <c r="A87" s="330"/>
      <c r="B87" s="330"/>
      <c r="C87" s="330"/>
      <c r="D87" s="330"/>
      <c r="E87" s="330"/>
      <c r="F87" s="330"/>
      <c r="G87" s="330"/>
      <c r="H87" s="330"/>
      <c r="I87" s="330"/>
      <c r="J87" s="330"/>
      <c r="K87" s="330"/>
      <c r="L87" s="330"/>
      <c r="M87" s="330"/>
      <c r="N87" s="330"/>
      <c r="O87" s="330"/>
      <c r="P87" s="330"/>
      <c r="Q87" s="330"/>
      <c r="R87" s="330"/>
      <c r="S87" s="330"/>
      <c r="T87" s="330"/>
      <c r="U87" s="330"/>
      <c r="V87" s="330"/>
      <c r="W87" s="330"/>
    </row>
    <row r="88" spans="1:23" x14ac:dyDescent="0.15">
      <c r="A88" s="330"/>
      <c r="B88" s="330"/>
      <c r="C88" s="330"/>
      <c r="D88" s="330"/>
      <c r="E88" s="330"/>
      <c r="F88" s="330"/>
      <c r="G88" s="330"/>
      <c r="H88" s="330"/>
      <c r="I88" s="330"/>
      <c r="J88" s="330"/>
      <c r="K88" s="330"/>
      <c r="L88" s="330"/>
      <c r="M88" s="330"/>
      <c r="N88" s="330"/>
      <c r="O88" s="330"/>
      <c r="P88" s="330"/>
      <c r="Q88" s="330"/>
      <c r="R88" s="330"/>
      <c r="S88" s="330"/>
      <c r="T88" s="330"/>
      <c r="U88" s="330"/>
      <c r="V88" s="330"/>
      <c r="W88" s="330"/>
    </row>
    <row r="89" spans="1:23" x14ac:dyDescent="0.15">
      <c r="A89" s="330"/>
      <c r="B89" s="330"/>
      <c r="C89" s="330"/>
      <c r="D89" s="330"/>
      <c r="E89" s="330"/>
      <c r="F89" s="330"/>
      <c r="G89" s="330"/>
      <c r="H89" s="330"/>
      <c r="I89" s="330"/>
      <c r="J89" s="330"/>
      <c r="K89" s="330"/>
      <c r="L89" s="330"/>
      <c r="M89" s="330"/>
      <c r="N89" s="330"/>
      <c r="O89" s="330"/>
      <c r="P89" s="330"/>
      <c r="Q89" s="330"/>
      <c r="R89" s="330"/>
      <c r="S89" s="330"/>
      <c r="T89" s="330"/>
      <c r="U89" s="330"/>
      <c r="V89" s="330"/>
      <c r="W89" s="330"/>
    </row>
    <row r="90" spans="1:23" x14ac:dyDescent="0.15">
      <c r="A90" s="330"/>
      <c r="B90" s="330"/>
      <c r="C90" s="330"/>
      <c r="D90" s="330"/>
      <c r="E90" s="330"/>
      <c r="F90" s="330"/>
      <c r="G90" s="330"/>
      <c r="H90" s="330"/>
      <c r="I90" s="330"/>
      <c r="J90" s="330"/>
      <c r="K90" s="330"/>
      <c r="L90" s="330"/>
      <c r="M90" s="330"/>
      <c r="N90" s="330"/>
      <c r="O90" s="330"/>
      <c r="P90" s="330"/>
      <c r="Q90" s="330"/>
      <c r="R90" s="330"/>
      <c r="S90" s="330"/>
      <c r="T90" s="330"/>
      <c r="U90" s="330"/>
      <c r="V90" s="330"/>
      <c r="W90" s="330"/>
    </row>
    <row r="91" spans="1:23" x14ac:dyDescent="0.15">
      <c r="A91" s="330"/>
      <c r="B91" s="330"/>
      <c r="C91" s="330"/>
      <c r="D91" s="330"/>
      <c r="E91" s="330"/>
      <c r="F91" s="330"/>
      <c r="G91" s="330"/>
      <c r="H91" s="330"/>
      <c r="I91" s="330"/>
      <c r="J91" s="330"/>
      <c r="K91" s="330"/>
      <c r="L91" s="330"/>
      <c r="M91" s="330"/>
      <c r="N91" s="330"/>
      <c r="O91" s="330"/>
      <c r="P91" s="330"/>
      <c r="Q91" s="330"/>
      <c r="R91" s="330"/>
      <c r="S91" s="330"/>
      <c r="T91" s="330"/>
      <c r="U91" s="330"/>
      <c r="V91" s="330"/>
      <c r="W91" s="330"/>
    </row>
    <row r="92" spans="1:23" x14ac:dyDescent="0.15">
      <c r="A92" s="330"/>
      <c r="B92" s="330"/>
      <c r="C92" s="330"/>
      <c r="D92" s="330"/>
      <c r="E92" s="330"/>
      <c r="F92" s="330"/>
      <c r="G92" s="330"/>
      <c r="H92" s="330"/>
      <c r="I92" s="330"/>
      <c r="J92" s="330"/>
      <c r="K92" s="330"/>
      <c r="L92" s="330"/>
      <c r="M92" s="330"/>
      <c r="N92" s="330"/>
      <c r="O92" s="330"/>
      <c r="P92" s="330"/>
      <c r="Q92" s="330"/>
      <c r="R92" s="330"/>
      <c r="S92" s="330"/>
      <c r="T92" s="330"/>
      <c r="U92" s="330"/>
      <c r="V92" s="330"/>
      <c r="W92" s="330"/>
    </row>
    <row r="93" spans="1:23" x14ac:dyDescent="0.15">
      <c r="A93" s="330"/>
      <c r="B93" s="330"/>
      <c r="C93" s="330"/>
      <c r="D93" s="330"/>
      <c r="E93" s="330"/>
      <c r="F93" s="330"/>
      <c r="G93" s="330"/>
      <c r="H93" s="330"/>
      <c r="I93" s="330"/>
      <c r="J93" s="330"/>
      <c r="K93" s="330"/>
      <c r="L93" s="330"/>
      <c r="M93" s="330"/>
      <c r="N93" s="330"/>
      <c r="O93" s="330"/>
      <c r="P93" s="330"/>
      <c r="Q93" s="330"/>
      <c r="R93" s="330"/>
      <c r="S93" s="330"/>
      <c r="T93" s="330"/>
      <c r="U93" s="330"/>
      <c r="V93" s="330"/>
      <c r="W93" s="330"/>
    </row>
    <row r="94" spans="1:23" x14ac:dyDescent="0.15">
      <c r="A94" s="330"/>
      <c r="B94" s="330"/>
      <c r="C94" s="330"/>
      <c r="D94" s="330"/>
      <c r="E94" s="330"/>
      <c r="F94" s="330"/>
      <c r="G94" s="330"/>
      <c r="H94" s="330"/>
      <c r="I94" s="330"/>
      <c r="J94" s="330"/>
      <c r="K94" s="330"/>
      <c r="L94" s="330"/>
      <c r="M94" s="330"/>
      <c r="N94" s="330"/>
      <c r="O94" s="330"/>
      <c r="P94" s="330"/>
      <c r="Q94" s="330"/>
      <c r="R94" s="330"/>
      <c r="S94" s="330"/>
      <c r="T94" s="330"/>
      <c r="U94" s="330"/>
      <c r="V94" s="330"/>
      <c r="W94" s="330"/>
    </row>
    <row r="95" spans="1:23" x14ac:dyDescent="0.15">
      <c r="A95" s="330"/>
      <c r="B95" s="330"/>
      <c r="C95" s="330"/>
      <c r="D95" s="330"/>
      <c r="E95" s="330"/>
      <c r="F95" s="330"/>
      <c r="G95" s="330"/>
      <c r="H95" s="330"/>
      <c r="I95" s="330"/>
      <c r="J95" s="330"/>
      <c r="K95" s="330"/>
      <c r="L95" s="330"/>
      <c r="M95" s="330"/>
      <c r="N95" s="330"/>
      <c r="O95" s="330"/>
      <c r="P95" s="330"/>
      <c r="Q95" s="330"/>
      <c r="R95" s="330"/>
      <c r="S95" s="330"/>
      <c r="T95" s="330"/>
      <c r="U95" s="330"/>
      <c r="V95" s="330"/>
      <c r="W95" s="330"/>
    </row>
    <row r="96" spans="1:23" x14ac:dyDescent="0.15">
      <c r="A96" s="330"/>
      <c r="B96" s="330"/>
      <c r="C96" s="330"/>
      <c r="D96" s="330"/>
      <c r="E96" s="330"/>
      <c r="F96" s="330"/>
      <c r="G96" s="330"/>
      <c r="H96" s="330"/>
      <c r="I96" s="330"/>
      <c r="J96" s="330"/>
      <c r="K96" s="330"/>
      <c r="L96" s="330"/>
      <c r="M96" s="330"/>
      <c r="N96" s="330"/>
      <c r="O96" s="330"/>
      <c r="P96" s="330"/>
      <c r="Q96" s="330"/>
      <c r="R96" s="330"/>
      <c r="S96" s="330"/>
      <c r="T96" s="330"/>
      <c r="U96" s="330"/>
      <c r="V96" s="330"/>
      <c r="W96" s="330"/>
    </row>
    <row r="97" spans="1:23" x14ac:dyDescent="0.15">
      <c r="A97" s="330"/>
      <c r="B97" s="330"/>
      <c r="C97" s="330"/>
      <c r="D97" s="330"/>
      <c r="E97" s="330"/>
      <c r="F97" s="330"/>
      <c r="G97" s="330"/>
      <c r="H97" s="330"/>
      <c r="I97" s="330"/>
      <c r="J97" s="330"/>
      <c r="K97" s="330"/>
      <c r="L97" s="330"/>
      <c r="M97" s="330"/>
      <c r="N97" s="330"/>
      <c r="O97" s="330"/>
      <c r="P97" s="330"/>
      <c r="Q97" s="330"/>
      <c r="R97" s="330"/>
      <c r="S97" s="330"/>
      <c r="T97" s="330"/>
      <c r="U97" s="330"/>
      <c r="V97" s="330"/>
      <c r="W97" s="330"/>
    </row>
    <row r="98" spans="1:23" x14ac:dyDescent="0.15">
      <c r="A98" s="330"/>
      <c r="B98" s="330"/>
      <c r="C98" s="330"/>
      <c r="D98" s="330"/>
      <c r="E98" s="330"/>
      <c r="F98" s="330"/>
      <c r="G98" s="330"/>
      <c r="H98" s="330"/>
      <c r="I98" s="330"/>
      <c r="J98" s="330"/>
      <c r="K98" s="330"/>
      <c r="L98" s="330"/>
      <c r="M98" s="330"/>
      <c r="N98" s="330"/>
      <c r="O98" s="330"/>
      <c r="P98" s="330"/>
      <c r="Q98" s="330"/>
      <c r="R98" s="330"/>
      <c r="S98" s="330"/>
      <c r="T98" s="330"/>
      <c r="U98" s="330"/>
      <c r="V98" s="330"/>
      <c r="W98" s="330"/>
    </row>
    <row r="99" spans="1:23" x14ac:dyDescent="0.15">
      <c r="A99" s="330"/>
      <c r="B99" s="330"/>
      <c r="C99" s="330"/>
      <c r="D99" s="330"/>
      <c r="E99" s="330"/>
      <c r="F99" s="330"/>
      <c r="G99" s="330"/>
      <c r="H99" s="330"/>
      <c r="I99" s="330"/>
      <c r="J99" s="330"/>
      <c r="K99" s="330"/>
      <c r="L99" s="330"/>
      <c r="M99" s="330"/>
      <c r="N99" s="330"/>
      <c r="O99" s="330"/>
      <c r="P99" s="330"/>
      <c r="Q99" s="330"/>
      <c r="R99" s="330"/>
      <c r="S99" s="330"/>
      <c r="T99" s="330"/>
      <c r="U99" s="330"/>
      <c r="V99" s="330"/>
      <c r="W99" s="330"/>
    </row>
    <row r="100" spans="1:23" x14ac:dyDescent="0.15">
      <c r="A100" s="330"/>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row>
    <row r="101" spans="1:23" x14ac:dyDescent="0.15">
      <c r="A101" s="2" t="s">
        <v>1412</v>
      </c>
      <c r="F101" s="330"/>
      <c r="G101" s="330"/>
      <c r="H101" s="330"/>
      <c r="I101" s="330"/>
      <c r="J101" s="330"/>
      <c r="K101" s="330"/>
      <c r="L101" s="330"/>
      <c r="M101" s="330"/>
      <c r="N101" s="330"/>
      <c r="O101" s="330"/>
      <c r="P101" s="330"/>
      <c r="Q101" s="330"/>
      <c r="R101" s="330"/>
      <c r="S101" s="330"/>
      <c r="T101" s="330"/>
      <c r="U101" s="330"/>
      <c r="V101" s="330"/>
      <c r="W101" s="330"/>
    </row>
    <row r="102" spans="1:23" x14ac:dyDescent="0.15">
      <c r="F102" s="330"/>
      <c r="G102" s="330"/>
      <c r="H102" s="330"/>
      <c r="I102" s="330"/>
      <c r="J102" s="330"/>
      <c r="K102" s="330"/>
      <c r="L102" s="330"/>
      <c r="M102" s="330"/>
      <c r="N102" s="330"/>
      <c r="O102" s="330"/>
      <c r="P102" s="330"/>
      <c r="Q102" s="330"/>
      <c r="R102" s="330"/>
      <c r="S102" s="330"/>
      <c r="T102" s="330"/>
      <c r="U102" s="330"/>
      <c r="V102" s="330"/>
      <c r="W102" s="330"/>
    </row>
    <row r="103" spans="1:23" x14ac:dyDescent="0.15">
      <c r="F103" s="330"/>
      <c r="G103" s="330"/>
      <c r="H103" s="330"/>
      <c r="I103" s="330"/>
      <c r="J103" s="330"/>
      <c r="K103" s="330"/>
      <c r="L103" s="330"/>
      <c r="M103" s="330"/>
      <c r="N103" s="330"/>
      <c r="O103" s="330"/>
      <c r="P103" s="330"/>
      <c r="Q103" s="330"/>
      <c r="R103" s="330"/>
      <c r="S103" s="330"/>
      <c r="T103" s="330"/>
      <c r="U103" s="330"/>
      <c r="V103" s="330"/>
      <c r="W103" s="330"/>
    </row>
    <row r="104" spans="1:23" x14ac:dyDescent="0.15">
      <c r="F104" s="330"/>
      <c r="G104" s="330"/>
      <c r="H104" s="330"/>
      <c r="I104" s="330"/>
      <c r="J104" s="330"/>
      <c r="K104" s="330"/>
      <c r="L104" s="330"/>
      <c r="M104" s="330"/>
      <c r="N104" s="330"/>
      <c r="O104" s="330"/>
      <c r="P104" s="330"/>
      <c r="Q104" s="330"/>
      <c r="R104" s="330"/>
      <c r="S104" s="330"/>
      <c r="T104" s="330"/>
      <c r="U104" s="330"/>
      <c r="V104" s="330"/>
      <c r="W104" s="330"/>
    </row>
    <row r="105" spans="1:23" x14ac:dyDescent="0.15">
      <c r="F105" s="330"/>
      <c r="G105" s="330"/>
      <c r="H105" s="330"/>
      <c r="I105" s="330"/>
      <c r="J105" s="330"/>
      <c r="K105" s="330"/>
      <c r="L105" s="330"/>
      <c r="M105" s="330"/>
      <c r="N105" s="330"/>
      <c r="O105" s="330"/>
      <c r="P105" s="330"/>
      <c r="Q105" s="330"/>
      <c r="R105" s="330"/>
      <c r="S105" s="330"/>
      <c r="T105" s="330"/>
      <c r="U105" s="330"/>
      <c r="V105" s="330"/>
      <c r="W105" s="330"/>
    </row>
    <row r="106" spans="1:23" x14ac:dyDescent="0.15">
      <c r="F106" s="330"/>
      <c r="G106" s="330"/>
      <c r="H106" s="330"/>
      <c r="I106" s="330"/>
      <c r="J106" s="330"/>
      <c r="K106" s="330"/>
      <c r="L106" s="330"/>
      <c r="M106" s="330"/>
      <c r="N106" s="330"/>
      <c r="O106" s="330"/>
      <c r="P106" s="330"/>
      <c r="Q106" s="330"/>
      <c r="R106" s="330"/>
      <c r="S106" s="330"/>
      <c r="T106" s="330"/>
      <c r="U106" s="330"/>
      <c r="V106" s="330"/>
      <c r="W106" s="330"/>
    </row>
    <row r="107" spans="1:23" x14ac:dyDescent="0.15">
      <c r="F107" s="330"/>
      <c r="G107" s="330"/>
      <c r="H107" s="330"/>
      <c r="I107" s="330"/>
      <c r="J107" s="330"/>
      <c r="K107" s="330"/>
      <c r="L107" s="330"/>
      <c r="M107" s="330"/>
      <c r="N107" s="330"/>
      <c r="O107" s="330"/>
      <c r="P107" s="330"/>
      <c r="Q107" s="330"/>
      <c r="R107" s="330"/>
      <c r="S107" s="330"/>
      <c r="T107" s="330"/>
      <c r="U107" s="330"/>
      <c r="V107" s="330"/>
      <c r="W107" s="330"/>
    </row>
    <row r="108" spans="1:23" x14ac:dyDescent="0.15">
      <c r="F108" s="330"/>
      <c r="G108" s="330"/>
      <c r="H108" s="330"/>
      <c r="I108" s="330"/>
      <c r="J108" s="330"/>
      <c r="K108" s="330"/>
      <c r="L108" s="330"/>
      <c r="M108" s="330"/>
      <c r="N108" s="330"/>
      <c r="O108" s="330"/>
      <c r="P108" s="330"/>
      <c r="Q108" s="330"/>
      <c r="R108" s="330"/>
      <c r="S108" s="330"/>
      <c r="T108" s="330"/>
      <c r="U108" s="330"/>
      <c r="V108" s="330"/>
      <c r="W108" s="330"/>
    </row>
    <row r="109" spans="1:23" x14ac:dyDescent="0.15">
      <c r="F109" s="330"/>
      <c r="G109" s="330"/>
      <c r="H109" s="330"/>
      <c r="I109" s="330"/>
      <c r="J109" s="330"/>
      <c r="K109" s="330"/>
      <c r="L109" s="330"/>
      <c r="M109" s="330"/>
      <c r="N109" s="330"/>
      <c r="O109" s="330"/>
      <c r="P109" s="330"/>
      <c r="Q109" s="330"/>
      <c r="R109" s="330"/>
      <c r="S109" s="330"/>
      <c r="T109" s="330"/>
      <c r="U109" s="330"/>
      <c r="V109" s="330"/>
      <c r="W109" s="330"/>
    </row>
    <row r="110" spans="1:23" x14ac:dyDescent="0.15">
      <c r="F110" s="330"/>
      <c r="G110" s="330"/>
      <c r="H110" s="330"/>
      <c r="I110" s="330"/>
      <c r="J110" s="330"/>
      <c r="K110" s="330"/>
      <c r="L110" s="330"/>
      <c r="M110" s="330"/>
      <c r="N110" s="330"/>
      <c r="O110" s="330"/>
      <c r="P110" s="330"/>
      <c r="Q110" s="330"/>
      <c r="R110" s="330"/>
      <c r="S110" s="330"/>
      <c r="T110" s="330"/>
      <c r="U110" s="330"/>
      <c r="V110" s="330"/>
      <c r="W110" s="330"/>
    </row>
    <row r="111" spans="1:23" x14ac:dyDescent="0.15">
      <c r="F111" s="330"/>
      <c r="G111" s="330"/>
      <c r="H111" s="330"/>
      <c r="I111" s="330"/>
      <c r="J111" s="330"/>
      <c r="K111" s="330"/>
      <c r="L111" s="330"/>
      <c r="M111" s="330"/>
      <c r="N111" s="330"/>
      <c r="O111" s="330"/>
      <c r="P111" s="330"/>
      <c r="Q111" s="330"/>
      <c r="R111" s="330"/>
      <c r="S111" s="330"/>
      <c r="T111" s="330"/>
      <c r="U111" s="330"/>
      <c r="V111" s="330"/>
      <c r="W111" s="330"/>
    </row>
    <row r="112" spans="1:23" x14ac:dyDescent="0.15">
      <c r="F112" s="330"/>
      <c r="G112" s="330"/>
      <c r="H112" s="330"/>
      <c r="I112" s="330"/>
      <c r="J112" s="330"/>
      <c r="K112" s="330"/>
      <c r="L112" s="330"/>
      <c r="M112" s="330"/>
      <c r="N112" s="330"/>
      <c r="O112" s="330"/>
      <c r="P112" s="330"/>
      <c r="Q112" s="330"/>
      <c r="R112" s="330"/>
      <c r="S112" s="330"/>
      <c r="T112" s="330"/>
      <c r="U112" s="330"/>
      <c r="V112" s="330"/>
      <c r="W112" s="330"/>
    </row>
    <row r="113" spans="6:23" x14ac:dyDescent="0.15">
      <c r="F113" s="330"/>
      <c r="G113" s="330"/>
      <c r="H113" s="330"/>
      <c r="I113" s="330"/>
      <c r="J113" s="330"/>
      <c r="K113" s="330"/>
      <c r="L113" s="330"/>
      <c r="M113" s="330"/>
      <c r="N113" s="330"/>
      <c r="O113" s="330"/>
      <c r="P113" s="330"/>
      <c r="Q113" s="330"/>
      <c r="R113" s="330"/>
      <c r="S113" s="330"/>
      <c r="T113" s="330"/>
      <c r="U113" s="330"/>
      <c r="V113" s="330"/>
      <c r="W113" s="330"/>
    </row>
    <row r="114" spans="6:23" x14ac:dyDescent="0.15">
      <c r="F114" s="330"/>
      <c r="G114" s="330"/>
      <c r="H114" s="330"/>
      <c r="I114" s="330"/>
      <c r="J114" s="330"/>
      <c r="K114" s="330"/>
      <c r="L114" s="330"/>
      <c r="M114" s="330"/>
      <c r="N114" s="330"/>
      <c r="O114" s="330"/>
      <c r="P114" s="330"/>
      <c r="Q114" s="330"/>
      <c r="R114" s="330"/>
      <c r="S114" s="330"/>
      <c r="T114" s="330"/>
      <c r="U114" s="330"/>
      <c r="V114" s="330"/>
      <c r="W114" s="330"/>
    </row>
    <row r="115" spans="6:23" x14ac:dyDescent="0.15">
      <c r="F115" s="330"/>
      <c r="G115" s="330"/>
      <c r="H115" s="330"/>
      <c r="I115" s="330"/>
      <c r="J115" s="330"/>
      <c r="K115" s="330"/>
      <c r="L115" s="330"/>
      <c r="M115" s="330"/>
      <c r="N115" s="330"/>
      <c r="O115" s="330"/>
      <c r="P115" s="330"/>
      <c r="Q115" s="330"/>
      <c r="R115" s="330"/>
      <c r="S115" s="330"/>
      <c r="T115" s="330"/>
      <c r="U115" s="330"/>
      <c r="V115" s="330"/>
      <c r="W115" s="330"/>
    </row>
    <row r="116" spans="6:23" x14ac:dyDescent="0.15">
      <c r="F116" s="330"/>
      <c r="G116" s="330"/>
      <c r="H116" s="330"/>
      <c r="I116" s="330"/>
      <c r="J116" s="330"/>
      <c r="K116" s="330"/>
      <c r="L116" s="330"/>
      <c r="M116" s="330"/>
      <c r="N116" s="330"/>
      <c r="O116" s="330"/>
      <c r="P116" s="330"/>
      <c r="Q116" s="330"/>
      <c r="R116" s="330"/>
      <c r="S116" s="330"/>
      <c r="T116" s="330"/>
      <c r="U116" s="330"/>
      <c r="V116" s="330"/>
      <c r="W116" s="330"/>
    </row>
    <row r="117" spans="6:23" x14ac:dyDescent="0.15">
      <c r="F117" s="330"/>
      <c r="G117" s="330"/>
      <c r="H117" s="330"/>
      <c r="I117" s="330"/>
      <c r="J117" s="330"/>
      <c r="K117" s="330"/>
      <c r="L117" s="330"/>
      <c r="M117" s="330"/>
      <c r="N117" s="330"/>
      <c r="O117" s="330"/>
      <c r="P117" s="330"/>
      <c r="Q117" s="330"/>
      <c r="R117" s="330"/>
      <c r="S117" s="330"/>
      <c r="T117" s="330"/>
      <c r="U117" s="330"/>
      <c r="V117" s="330"/>
      <c r="W117" s="330"/>
    </row>
    <row r="118" spans="6:23" x14ac:dyDescent="0.15">
      <c r="F118" s="330"/>
      <c r="G118" s="330"/>
      <c r="H118" s="330"/>
      <c r="I118" s="330"/>
      <c r="J118" s="330"/>
      <c r="K118" s="330"/>
      <c r="L118" s="330"/>
      <c r="M118" s="330"/>
      <c r="N118" s="330"/>
      <c r="O118" s="330"/>
      <c r="P118" s="330"/>
      <c r="Q118" s="330"/>
      <c r="R118" s="330"/>
      <c r="S118" s="330"/>
      <c r="T118" s="330"/>
      <c r="U118" s="330"/>
      <c r="V118" s="330"/>
      <c r="W118" s="330"/>
    </row>
    <row r="119" spans="6:23" x14ac:dyDescent="0.15">
      <c r="F119" s="330"/>
      <c r="G119" s="330"/>
      <c r="H119" s="330"/>
      <c r="I119" s="330"/>
      <c r="J119" s="330"/>
      <c r="K119" s="330"/>
      <c r="L119" s="330"/>
      <c r="M119" s="330"/>
      <c r="N119" s="330"/>
      <c r="O119" s="330"/>
      <c r="P119" s="330"/>
      <c r="Q119" s="330"/>
      <c r="R119" s="330"/>
      <c r="S119" s="330"/>
      <c r="T119" s="330"/>
      <c r="U119" s="330"/>
      <c r="V119" s="330"/>
      <c r="W119" s="330"/>
    </row>
    <row r="120" spans="6:23" x14ac:dyDescent="0.15">
      <c r="F120" s="330"/>
      <c r="G120" s="330"/>
      <c r="H120" s="330"/>
      <c r="I120" s="330"/>
      <c r="J120" s="330"/>
      <c r="K120" s="330"/>
      <c r="L120" s="330"/>
      <c r="M120" s="330"/>
      <c r="N120" s="330"/>
      <c r="O120" s="330"/>
      <c r="P120" s="330"/>
      <c r="Q120" s="330"/>
      <c r="R120" s="330"/>
      <c r="S120" s="330"/>
      <c r="T120" s="330"/>
      <c r="U120" s="330"/>
      <c r="V120" s="330"/>
      <c r="W120" s="330"/>
    </row>
    <row r="121" spans="6:23" x14ac:dyDescent="0.15">
      <c r="F121" s="330"/>
      <c r="G121" s="330"/>
      <c r="H121" s="330"/>
      <c r="I121" s="330"/>
      <c r="J121" s="330"/>
      <c r="K121" s="330"/>
      <c r="L121" s="330"/>
      <c r="M121" s="330"/>
      <c r="N121" s="330"/>
      <c r="O121" s="330"/>
      <c r="P121" s="330"/>
      <c r="Q121" s="330"/>
      <c r="R121" s="330"/>
      <c r="S121" s="330"/>
      <c r="T121" s="330"/>
      <c r="U121" s="330"/>
      <c r="V121" s="330"/>
      <c r="W121" s="330"/>
    </row>
    <row r="122" spans="6:23" x14ac:dyDescent="0.15">
      <c r="F122" s="330"/>
      <c r="G122" s="330"/>
      <c r="H122" s="330"/>
      <c r="I122" s="330"/>
      <c r="J122" s="330"/>
      <c r="K122" s="330"/>
      <c r="L122" s="330"/>
      <c r="M122" s="330"/>
      <c r="N122" s="330"/>
      <c r="O122" s="330"/>
      <c r="P122" s="330"/>
      <c r="Q122" s="330"/>
      <c r="R122" s="330"/>
      <c r="S122" s="330"/>
      <c r="T122" s="330"/>
      <c r="U122" s="330"/>
      <c r="V122" s="330"/>
      <c r="W122" s="330"/>
    </row>
    <row r="123" spans="6:23" x14ac:dyDescent="0.15">
      <c r="F123" s="330"/>
      <c r="G123" s="330"/>
      <c r="H123" s="330"/>
      <c r="I123" s="330"/>
      <c r="J123" s="330"/>
      <c r="K123" s="330"/>
      <c r="L123" s="330"/>
      <c r="M123" s="330"/>
      <c r="N123" s="330"/>
      <c r="O123" s="330"/>
      <c r="P123" s="330"/>
      <c r="Q123" s="330"/>
      <c r="R123" s="330"/>
      <c r="S123" s="330"/>
      <c r="T123" s="330"/>
      <c r="U123" s="330"/>
      <c r="V123" s="330"/>
      <c r="W123" s="330"/>
    </row>
    <row r="124" spans="6:23" x14ac:dyDescent="0.15">
      <c r="F124" s="330"/>
      <c r="G124" s="330"/>
      <c r="H124" s="330"/>
      <c r="I124" s="330"/>
      <c r="J124" s="330"/>
      <c r="K124" s="330"/>
      <c r="L124" s="330"/>
      <c r="M124" s="330"/>
      <c r="N124" s="330"/>
      <c r="O124" s="330"/>
      <c r="P124" s="330"/>
      <c r="Q124" s="330"/>
      <c r="R124" s="330"/>
      <c r="S124" s="330"/>
      <c r="T124" s="330"/>
      <c r="U124" s="330"/>
      <c r="V124" s="330"/>
      <c r="W124" s="330"/>
    </row>
    <row r="125" spans="6:23" x14ac:dyDescent="0.15">
      <c r="F125" s="330"/>
      <c r="G125" s="330"/>
      <c r="H125" s="330"/>
      <c r="I125" s="330"/>
      <c r="J125" s="330"/>
      <c r="K125" s="330"/>
      <c r="L125" s="330"/>
      <c r="M125" s="330"/>
      <c r="N125" s="330"/>
      <c r="O125" s="330"/>
      <c r="P125" s="330"/>
      <c r="Q125" s="330"/>
      <c r="R125" s="330"/>
      <c r="S125" s="330"/>
      <c r="T125" s="330"/>
      <c r="U125" s="330"/>
      <c r="V125" s="330"/>
      <c r="W125" s="330"/>
    </row>
    <row r="126" spans="6:23" x14ac:dyDescent="0.15">
      <c r="F126" s="330"/>
      <c r="G126" s="330"/>
      <c r="H126" s="330"/>
      <c r="I126" s="330"/>
      <c r="J126" s="330"/>
      <c r="K126" s="330"/>
      <c r="L126" s="330"/>
      <c r="M126" s="330"/>
      <c r="N126" s="330"/>
      <c r="O126" s="330"/>
      <c r="P126" s="330"/>
      <c r="Q126" s="330"/>
      <c r="R126" s="330"/>
      <c r="S126" s="330"/>
      <c r="T126" s="330"/>
      <c r="U126" s="330"/>
      <c r="V126" s="330"/>
      <c r="W126" s="330"/>
    </row>
    <row r="127" spans="6:23" x14ac:dyDescent="0.15">
      <c r="F127" s="330"/>
      <c r="G127" s="330"/>
      <c r="H127" s="330"/>
      <c r="I127" s="330"/>
      <c r="J127" s="330"/>
      <c r="K127" s="330"/>
      <c r="L127" s="330"/>
      <c r="M127" s="330"/>
      <c r="N127" s="330"/>
      <c r="O127" s="330"/>
      <c r="P127" s="330"/>
      <c r="Q127" s="330"/>
      <c r="R127" s="330"/>
      <c r="S127" s="330"/>
      <c r="T127" s="330"/>
      <c r="U127" s="330"/>
      <c r="V127" s="330"/>
      <c r="W127" s="330"/>
    </row>
    <row r="128" spans="6:23" x14ac:dyDescent="0.15">
      <c r="F128" s="330"/>
      <c r="G128" s="330"/>
      <c r="H128" s="330"/>
      <c r="I128" s="330"/>
      <c r="J128" s="330"/>
      <c r="K128" s="330"/>
      <c r="L128" s="330"/>
      <c r="M128" s="330"/>
      <c r="N128" s="330"/>
      <c r="O128" s="330"/>
      <c r="P128" s="330"/>
      <c r="Q128" s="330"/>
      <c r="R128" s="330"/>
      <c r="S128" s="330"/>
      <c r="T128" s="330"/>
      <c r="U128" s="330"/>
      <c r="V128" s="330"/>
      <c r="W128" s="330"/>
    </row>
    <row r="129" spans="6:23" x14ac:dyDescent="0.15">
      <c r="F129" s="330"/>
      <c r="G129" s="330"/>
      <c r="H129" s="330"/>
      <c r="I129" s="330"/>
      <c r="J129" s="330"/>
      <c r="K129" s="330"/>
      <c r="L129" s="330"/>
      <c r="M129" s="330"/>
      <c r="N129" s="330"/>
      <c r="O129" s="330"/>
      <c r="P129" s="330"/>
      <c r="Q129" s="330"/>
      <c r="R129" s="330"/>
      <c r="S129" s="330"/>
      <c r="T129" s="330"/>
      <c r="U129" s="330"/>
      <c r="V129" s="330"/>
      <c r="W129" s="330"/>
    </row>
    <row r="130" spans="6:23" x14ac:dyDescent="0.15">
      <c r="F130" s="330"/>
      <c r="G130" s="330"/>
      <c r="H130" s="330"/>
      <c r="I130" s="330"/>
      <c r="J130" s="330"/>
      <c r="K130" s="330"/>
      <c r="L130" s="330"/>
      <c r="M130" s="330"/>
      <c r="N130" s="330"/>
      <c r="O130" s="330"/>
      <c r="P130" s="330"/>
      <c r="Q130" s="330"/>
      <c r="R130" s="330"/>
      <c r="S130" s="330"/>
      <c r="T130" s="330"/>
      <c r="U130" s="330"/>
      <c r="V130" s="330"/>
      <c r="W130" s="330"/>
    </row>
    <row r="131" spans="6:23" x14ac:dyDescent="0.15">
      <c r="F131" s="330"/>
      <c r="G131" s="330"/>
      <c r="H131" s="330"/>
      <c r="I131" s="330"/>
      <c r="J131" s="330"/>
      <c r="K131" s="330"/>
      <c r="L131" s="330"/>
      <c r="M131" s="330"/>
      <c r="N131" s="330"/>
      <c r="O131" s="330"/>
      <c r="P131" s="330"/>
      <c r="Q131" s="330"/>
      <c r="R131" s="330"/>
      <c r="S131" s="330"/>
      <c r="T131" s="330"/>
      <c r="U131" s="330"/>
      <c r="V131" s="330"/>
      <c r="W131" s="330"/>
    </row>
    <row r="132" spans="6:23" x14ac:dyDescent="0.15">
      <c r="F132" s="330"/>
      <c r="G132" s="330"/>
      <c r="H132" s="330"/>
      <c r="I132" s="330"/>
      <c r="J132" s="330"/>
      <c r="K132" s="330"/>
      <c r="L132" s="330"/>
      <c r="M132" s="330"/>
      <c r="N132" s="330"/>
      <c r="O132" s="330"/>
      <c r="P132" s="330"/>
      <c r="Q132" s="330"/>
      <c r="R132" s="330"/>
      <c r="S132" s="330"/>
      <c r="T132" s="330"/>
      <c r="U132" s="330"/>
      <c r="V132" s="330"/>
      <c r="W132" s="330"/>
    </row>
    <row r="133" spans="6:23" x14ac:dyDescent="0.15">
      <c r="F133" s="330"/>
      <c r="G133" s="330"/>
      <c r="H133" s="330"/>
      <c r="I133" s="330"/>
      <c r="J133" s="330"/>
      <c r="K133" s="330"/>
      <c r="L133" s="330"/>
      <c r="M133" s="330"/>
      <c r="N133" s="330"/>
      <c r="O133" s="330"/>
      <c r="P133" s="330"/>
      <c r="Q133" s="330"/>
      <c r="R133" s="330"/>
      <c r="S133" s="330"/>
      <c r="T133" s="330"/>
      <c r="U133" s="330"/>
      <c r="V133" s="330"/>
      <c r="W133" s="330"/>
    </row>
    <row r="134" spans="6:23" x14ac:dyDescent="0.15">
      <c r="F134" s="330"/>
      <c r="G134" s="330"/>
      <c r="H134" s="330"/>
      <c r="I134" s="330"/>
      <c r="J134" s="330"/>
      <c r="K134" s="330"/>
      <c r="L134" s="330"/>
      <c r="M134" s="330"/>
      <c r="N134" s="330"/>
      <c r="O134" s="330"/>
      <c r="P134" s="330"/>
      <c r="Q134" s="330"/>
      <c r="R134" s="330"/>
      <c r="S134" s="330"/>
      <c r="T134" s="330"/>
      <c r="U134" s="330"/>
      <c r="V134" s="330"/>
      <c r="W134" s="330"/>
    </row>
    <row r="135" spans="6:23" x14ac:dyDescent="0.15">
      <c r="F135" s="330"/>
      <c r="G135" s="330"/>
      <c r="H135" s="330"/>
      <c r="I135" s="330"/>
      <c r="J135" s="330"/>
      <c r="K135" s="330"/>
      <c r="L135" s="330"/>
      <c r="M135" s="330"/>
      <c r="N135" s="330"/>
      <c r="O135" s="330"/>
      <c r="P135" s="330"/>
      <c r="Q135" s="330"/>
      <c r="R135" s="330"/>
      <c r="S135" s="330"/>
      <c r="T135" s="330"/>
      <c r="U135" s="330"/>
      <c r="V135" s="330"/>
      <c r="W135" s="330"/>
    </row>
    <row r="136" spans="6:23" x14ac:dyDescent="0.15">
      <c r="F136" s="330"/>
      <c r="G136" s="330"/>
      <c r="H136" s="330"/>
      <c r="I136" s="330"/>
      <c r="J136" s="330"/>
      <c r="K136" s="330"/>
      <c r="L136" s="330"/>
      <c r="M136" s="330"/>
      <c r="N136" s="330"/>
      <c r="O136" s="330"/>
      <c r="P136" s="330"/>
      <c r="Q136" s="330"/>
      <c r="R136" s="330"/>
      <c r="S136" s="330"/>
      <c r="T136" s="330"/>
      <c r="U136" s="330"/>
      <c r="V136" s="330"/>
      <c r="W136" s="330"/>
    </row>
    <row r="137" spans="6:23" x14ac:dyDescent="0.15">
      <c r="F137" s="330"/>
      <c r="G137" s="330"/>
      <c r="H137" s="330"/>
      <c r="I137" s="330"/>
      <c r="J137" s="330"/>
      <c r="K137" s="330"/>
      <c r="L137" s="330"/>
      <c r="M137" s="330"/>
      <c r="N137" s="330"/>
      <c r="O137" s="330"/>
      <c r="P137" s="330"/>
      <c r="Q137" s="330"/>
      <c r="R137" s="330"/>
      <c r="S137" s="330"/>
      <c r="T137" s="330"/>
      <c r="U137" s="330"/>
      <c r="V137" s="330"/>
      <c r="W137" s="330"/>
    </row>
    <row r="138" spans="6:23" x14ac:dyDescent="0.15">
      <c r="F138" s="330"/>
      <c r="G138" s="330"/>
      <c r="H138" s="330"/>
      <c r="I138" s="330"/>
      <c r="J138" s="330"/>
      <c r="K138" s="330"/>
      <c r="L138" s="330"/>
      <c r="M138" s="330"/>
      <c r="N138" s="330"/>
      <c r="O138" s="330"/>
      <c r="P138" s="330"/>
      <c r="Q138" s="330"/>
      <c r="R138" s="330"/>
      <c r="S138" s="330"/>
      <c r="T138" s="330"/>
      <c r="U138" s="330"/>
      <c r="V138" s="330"/>
      <c r="W138" s="330"/>
    </row>
    <row r="139" spans="6:23" x14ac:dyDescent="0.15">
      <c r="F139" s="330"/>
      <c r="G139" s="330"/>
      <c r="H139" s="330"/>
      <c r="I139" s="330"/>
      <c r="J139" s="330"/>
      <c r="K139" s="330"/>
      <c r="L139" s="330"/>
      <c r="M139" s="330"/>
      <c r="N139" s="330"/>
      <c r="O139" s="330"/>
      <c r="P139" s="330"/>
      <c r="Q139" s="330"/>
      <c r="R139" s="330"/>
      <c r="S139" s="330"/>
      <c r="T139" s="330"/>
      <c r="U139" s="330"/>
      <c r="V139" s="330"/>
      <c r="W139" s="330"/>
    </row>
    <row r="140" spans="6:23" x14ac:dyDescent="0.15">
      <c r="F140" s="330"/>
      <c r="G140" s="330"/>
      <c r="H140" s="330"/>
      <c r="I140" s="330"/>
      <c r="J140" s="330"/>
      <c r="K140" s="330"/>
      <c r="L140" s="330"/>
      <c r="M140" s="330"/>
      <c r="N140" s="330"/>
      <c r="O140" s="330"/>
      <c r="P140" s="330"/>
      <c r="Q140" s="330"/>
      <c r="R140" s="330"/>
      <c r="S140" s="330"/>
      <c r="T140" s="330"/>
      <c r="U140" s="330"/>
      <c r="V140" s="330"/>
      <c r="W140" s="330"/>
    </row>
    <row r="141" spans="6:23" x14ac:dyDescent="0.15">
      <c r="F141" s="330"/>
      <c r="G141" s="330"/>
      <c r="H141" s="330"/>
      <c r="I141" s="330"/>
      <c r="J141" s="330"/>
      <c r="K141" s="330"/>
      <c r="L141" s="330"/>
      <c r="M141" s="330"/>
      <c r="N141" s="330"/>
      <c r="O141" s="330"/>
      <c r="P141" s="330"/>
      <c r="Q141" s="330"/>
      <c r="R141" s="330"/>
      <c r="S141" s="330"/>
      <c r="T141" s="330"/>
      <c r="U141" s="330"/>
      <c r="V141" s="330"/>
      <c r="W141" s="330"/>
    </row>
    <row r="142" spans="6:23" x14ac:dyDescent="0.15">
      <c r="F142" s="330"/>
      <c r="G142" s="330"/>
      <c r="H142" s="330"/>
      <c r="I142" s="330"/>
      <c r="J142" s="330"/>
      <c r="K142" s="330"/>
      <c r="L142" s="330"/>
      <c r="M142" s="330"/>
      <c r="N142" s="330"/>
      <c r="O142" s="330"/>
      <c r="P142" s="330"/>
      <c r="Q142" s="330"/>
      <c r="R142" s="330"/>
      <c r="S142" s="330"/>
      <c r="T142" s="330"/>
      <c r="U142" s="330"/>
      <c r="V142" s="330"/>
      <c r="W142" s="330"/>
    </row>
    <row r="143" spans="6:23" x14ac:dyDescent="0.15">
      <c r="F143" s="330"/>
      <c r="G143" s="330"/>
      <c r="H143" s="330"/>
      <c r="I143" s="330"/>
      <c r="J143" s="330"/>
      <c r="K143" s="330"/>
      <c r="L143" s="330"/>
      <c r="M143" s="330"/>
      <c r="N143" s="330"/>
      <c r="O143" s="330"/>
      <c r="P143" s="330"/>
      <c r="Q143" s="330"/>
      <c r="R143" s="330"/>
      <c r="S143" s="330"/>
      <c r="T143" s="330"/>
      <c r="U143" s="330"/>
      <c r="V143" s="330"/>
      <c r="W143" s="330"/>
    </row>
    <row r="144" spans="6:23" x14ac:dyDescent="0.15">
      <c r="F144" s="330"/>
      <c r="G144" s="330"/>
      <c r="H144" s="330"/>
      <c r="I144" s="330"/>
      <c r="J144" s="330"/>
      <c r="K144" s="330"/>
      <c r="L144" s="330"/>
      <c r="M144" s="330"/>
      <c r="N144" s="330"/>
      <c r="O144" s="330"/>
      <c r="P144" s="330"/>
      <c r="Q144" s="330"/>
      <c r="R144" s="330"/>
      <c r="S144" s="330"/>
      <c r="T144" s="330"/>
      <c r="U144" s="330"/>
      <c r="V144" s="330"/>
      <c r="W144" s="330"/>
    </row>
    <row r="145" spans="6:23" x14ac:dyDescent="0.15">
      <c r="F145" s="330"/>
      <c r="G145" s="330"/>
      <c r="H145" s="330"/>
      <c r="I145" s="330"/>
      <c r="J145" s="330"/>
      <c r="K145" s="330"/>
      <c r="L145" s="330"/>
      <c r="M145" s="330"/>
      <c r="N145" s="330"/>
      <c r="O145" s="330"/>
      <c r="P145" s="330"/>
      <c r="Q145" s="330"/>
      <c r="R145" s="330"/>
      <c r="S145" s="330"/>
      <c r="T145" s="330"/>
      <c r="U145" s="330"/>
      <c r="V145" s="330"/>
      <c r="W145" s="330"/>
    </row>
    <row r="146" spans="6:23" x14ac:dyDescent="0.15">
      <c r="F146" s="330"/>
      <c r="G146" s="330"/>
      <c r="H146" s="330"/>
      <c r="I146" s="330"/>
      <c r="J146" s="330"/>
      <c r="K146" s="330"/>
      <c r="L146" s="330"/>
      <c r="M146" s="330"/>
      <c r="N146" s="330"/>
      <c r="O146" s="330"/>
      <c r="P146" s="330"/>
      <c r="Q146" s="330"/>
      <c r="R146" s="330"/>
      <c r="S146" s="330"/>
      <c r="T146" s="330"/>
      <c r="U146" s="330"/>
      <c r="V146" s="330"/>
      <c r="W146" s="330"/>
    </row>
    <row r="147" spans="6:23" x14ac:dyDescent="0.15">
      <c r="F147" s="330"/>
      <c r="G147" s="330"/>
      <c r="H147" s="330"/>
      <c r="I147" s="330"/>
      <c r="J147" s="330"/>
      <c r="K147" s="330"/>
      <c r="L147" s="330"/>
      <c r="M147" s="330"/>
      <c r="N147" s="330"/>
      <c r="O147" s="330"/>
      <c r="P147" s="330"/>
      <c r="Q147" s="330"/>
      <c r="R147" s="330"/>
      <c r="S147" s="330"/>
      <c r="T147" s="330"/>
      <c r="U147" s="330"/>
      <c r="V147" s="330"/>
      <c r="W147" s="330"/>
    </row>
    <row r="148" spans="6:23" x14ac:dyDescent="0.15">
      <c r="F148" s="330"/>
      <c r="G148" s="330"/>
      <c r="H148" s="330"/>
      <c r="I148" s="330"/>
      <c r="J148" s="330"/>
      <c r="K148" s="330"/>
      <c r="L148" s="330"/>
      <c r="M148" s="330"/>
      <c r="N148" s="330"/>
      <c r="O148" s="330"/>
      <c r="P148" s="330"/>
      <c r="Q148" s="330"/>
      <c r="R148" s="330"/>
      <c r="S148" s="330"/>
      <c r="T148" s="330"/>
      <c r="U148" s="330"/>
      <c r="V148" s="330"/>
      <c r="W148" s="330"/>
    </row>
    <row r="149" spans="6:23" x14ac:dyDescent="0.15">
      <c r="F149" s="330"/>
      <c r="G149" s="330"/>
      <c r="H149" s="330"/>
      <c r="I149" s="330"/>
      <c r="J149" s="330"/>
      <c r="K149" s="330"/>
      <c r="L149" s="330"/>
      <c r="M149" s="330"/>
      <c r="N149" s="330"/>
      <c r="O149" s="330"/>
      <c r="P149" s="330"/>
      <c r="Q149" s="330"/>
      <c r="R149" s="330"/>
      <c r="S149" s="330"/>
      <c r="T149" s="330"/>
      <c r="U149" s="330"/>
      <c r="V149" s="330"/>
      <c r="W149" s="330"/>
    </row>
    <row r="150" spans="6:23" x14ac:dyDescent="0.15">
      <c r="F150" s="330"/>
      <c r="G150" s="330"/>
      <c r="H150" s="330"/>
      <c r="I150" s="330"/>
      <c r="J150" s="330"/>
      <c r="K150" s="330"/>
      <c r="L150" s="330"/>
      <c r="M150" s="330"/>
      <c r="N150" s="330"/>
      <c r="O150" s="330"/>
      <c r="P150" s="330"/>
      <c r="Q150" s="330"/>
      <c r="R150" s="330"/>
      <c r="S150" s="330"/>
      <c r="T150" s="330"/>
      <c r="U150" s="330"/>
      <c r="V150" s="330"/>
      <c r="W150" s="330"/>
    </row>
    <row r="151" spans="6:23" x14ac:dyDescent="0.15">
      <c r="F151" s="330"/>
      <c r="G151" s="330"/>
      <c r="H151" s="330"/>
      <c r="I151" s="330"/>
      <c r="J151" s="330"/>
      <c r="K151" s="330"/>
      <c r="L151" s="330"/>
      <c r="M151" s="330"/>
      <c r="N151" s="330"/>
      <c r="O151" s="330"/>
      <c r="P151" s="330"/>
      <c r="Q151" s="330"/>
      <c r="R151" s="330"/>
      <c r="S151" s="330"/>
      <c r="T151" s="330"/>
      <c r="U151" s="330"/>
      <c r="V151" s="330"/>
      <c r="W151" s="330"/>
    </row>
    <row r="152" spans="6:23" x14ac:dyDescent="0.15">
      <c r="F152" s="330"/>
      <c r="G152" s="330"/>
      <c r="H152" s="330"/>
      <c r="I152" s="330"/>
      <c r="J152" s="330"/>
      <c r="K152" s="330"/>
      <c r="L152" s="330"/>
      <c r="M152" s="330"/>
      <c r="N152" s="330"/>
      <c r="O152" s="330"/>
      <c r="P152" s="330"/>
      <c r="Q152" s="330"/>
      <c r="R152" s="330"/>
      <c r="S152" s="330"/>
      <c r="T152" s="330"/>
      <c r="U152" s="330"/>
      <c r="V152" s="330"/>
      <c r="W152" s="330"/>
    </row>
    <row r="153" spans="6:23" x14ac:dyDescent="0.15">
      <c r="F153" s="330"/>
      <c r="G153" s="330"/>
      <c r="H153" s="330"/>
      <c r="I153" s="330"/>
      <c r="J153" s="330"/>
      <c r="K153" s="330"/>
      <c r="L153" s="330"/>
      <c r="M153" s="330"/>
      <c r="N153" s="330"/>
      <c r="O153" s="330"/>
      <c r="P153" s="330"/>
      <c r="Q153" s="330"/>
      <c r="R153" s="330"/>
      <c r="S153" s="330"/>
      <c r="T153" s="330"/>
      <c r="U153" s="330"/>
      <c r="V153" s="330"/>
      <c r="W153" s="330"/>
    </row>
    <row r="154" spans="6:23" x14ac:dyDescent="0.15">
      <c r="F154" s="330"/>
      <c r="G154" s="330"/>
      <c r="H154" s="330"/>
      <c r="I154" s="330"/>
      <c r="J154" s="330"/>
      <c r="K154" s="330"/>
      <c r="L154" s="330"/>
      <c r="M154" s="330"/>
      <c r="N154" s="330"/>
      <c r="O154" s="330"/>
      <c r="P154" s="330"/>
      <c r="Q154" s="330"/>
      <c r="R154" s="330"/>
      <c r="S154" s="330"/>
      <c r="T154" s="330"/>
      <c r="U154" s="330"/>
      <c r="V154" s="330"/>
      <c r="W154" s="330"/>
    </row>
    <row r="155" spans="6:23" x14ac:dyDescent="0.15">
      <c r="F155" s="330"/>
      <c r="G155" s="330"/>
      <c r="H155" s="330"/>
      <c r="I155" s="330"/>
      <c r="J155" s="330"/>
      <c r="K155" s="330"/>
      <c r="L155" s="330"/>
      <c r="M155" s="330"/>
      <c r="N155" s="330"/>
      <c r="O155" s="330"/>
      <c r="P155" s="330"/>
      <c r="Q155" s="330"/>
      <c r="R155" s="330"/>
      <c r="S155" s="330"/>
      <c r="T155" s="330"/>
      <c r="U155" s="330"/>
      <c r="V155" s="330"/>
      <c r="W155" s="330"/>
    </row>
    <row r="156" spans="6:23" x14ac:dyDescent="0.15">
      <c r="F156" s="330"/>
      <c r="G156" s="330"/>
      <c r="H156" s="330"/>
      <c r="I156" s="330"/>
      <c r="J156" s="330"/>
      <c r="K156" s="330"/>
      <c r="L156" s="330"/>
      <c r="M156" s="330"/>
      <c r="N156" s="330"/>
      <c r="O156" s="330"/>
      <c r="P156" s="330"/>
      <c r="Q156" s="330"/>
      <c r="R156" s="330"/>
      <c r="S156" s="330"/>
      <c r="T156" s="330"/>
      <c r="U156" s="330"/>
      <c r="V156" s="330"/>
      <c r="W156" s="330"/>
    </row>
    <row r="157" spans="6:23" x14ac:dyDescent="0.15">
      <c r="F157" s="330"/>
      <c r="G157" s="330"/>
      <c r="H157" s="330"/>
      <c r="I157" s="330"/>
      <c r="J157" s="330"/>
      <c r="K157" s="330"/>
      <c r="L157" s="330"/>
      <c r="M157" s="330"/>
      <c r="N157" s="330"/>
      <c r="O157" s="330"/>
      <c r="P157" s="330"/>
      <c r="Q157" s="330"/>
      <c r="R157" s="330"/>
      <c r="S157" s="330"/>
      <c r="T157" s="330"/>
      <c r="U157" s="330"/>
      <c r="V157" s="330"/>
      <c r="W157" s="330"/>
    </row>
    <row r="158" spans="6:23" x14ac:dyDescent="0.15">
      <c r="F158" s="330"/>
      <c r="G158" s="330"/>
      <c r="H158" s="330"/>
      <c r="I158" s="330"/>
      <c r="J158" s="330"/>
      <c r="K158" s="330"/>
      <c r="L158" s="330"/>
      <c r="M158" s="330"/>
      <c r="N158" s="330"/>
      <c r="O158" s="330"/>
      <c r="P158" s="330"/>
      <c r="Q158" s="330"/>
      <c r="R158" s="330"/>
      <c r="S158" s="330"/>
      <c r="T158" s="330"/>
      <c r="U158" s="330"/>
      <c r="V158" s="330"/>
      <c r="W158" s="330"/>
    </row>
    <row r="159" spans="6:23" x14ac:dyDescent="0.15">
      <c r="F159" s="330"/>
      <c r="G159" s="330"/>
      <c r="H159" s="330"/>
      <c r="I159" s="330"/>
      <c r="J159" s="330"/>
      <c r="K159" s="330"/>
      <c r="L159" s="330"/>
      <c r="M159" s="330"/>
      <c r="N159" s="330"/>
      <c r="O159" s="330"/>
      <c r="P159" s="330"/>
      <c r="Q159" s="330"/>
      <c r="R159" s="330"/>
      <c r="S159" s="330"/>
      <c r="T159" s="330"/>
      <c r="U159" s="330"/>
      <c r="V159" s="330"/>
      <c r="W159" s="330"/>
    </row>
    <row r="160" spans="6:23" x14ac:dyDescent="0.15">
      <c r="F160" s="330"/>
      <c r="G160" s="330"/>
      <c r="H160" s="330"/>
      <c r="I160" s="330"/>
      <c r="J160" s="330"/>
      <c r="K160" s="330"/>
      <c r="L160" s="330"/>
      <c r="M160" s="330"/>
      <c r="N160" s="330"/>
      <c r="O160" s="330"/>
      <c r="P160" s="330"/>
      <c r="Q160" s="330"/>
      <c r="R160" s="330"/>
      <c r="S160" s="330"/>
      <c r="T160" s="330"/>
      <c r="U160" s="330"/>
      <c r="V160" s="330"/>
      <c r="W160" s="330"/>
    </row>
    <row r="161" spans="6:23" x14ac:dyDescent="0.15">
      <c r="F161" s="330"/>
      <c r="G161" s="330"/>
      <c r="H161" s="330"/>
      <c r="I161" s="330"/>
      <c r="J161" s="330"/>
      <c r="K161" s="330"/>
      <c r="L161" s="330"/>
      <c r="M161" s="330"/>
      <c r="N161" s="330"/>
      <c r="O161" s="330"/>
      <c r="P161" s="330"/>
      <c r="Q161" s="330"/>
      <c r="R161" s="330"/>
      <c r="S161" s="330"/>
      <c r="T161" s="330"/>
      <c r="U161" s="330"/>
      <c r="V161" s="330"/>
      <c r="W161" s="330"/>
    </row>
    <row r="162" spans="6:23" x14ac:dyDescent="0.15">
      <c r="F162" s="330"/>
      <c r="G162" s="330"/>
      <c r="H162" s="330"/>
      <c r="I162" s="330"/>
      <c r="J162" s="330"/>
      <c r="K162" s="330"/>
      <c r="L162" s="330"/>
      <c r="M162" s="330"/>
      <c r="N162" s="330"/>
      <c r="O162" s="330"/>
      <c r="P162" s="330"/>
      <c r="Q162" s="330"/>
      <c r="R162" s="330"/>
      <c r="S162" s="330"/>
      <c r="T162" s="330"/>
      <c r="U162" s="330"/>
      <c r="V162" s="330"/>
      <c r="W162" s="330"/>
    </row>
    <row r="163" spans="6:23" x14ac:dyDescent="0.15">
      <c r="F163" s="330"/>
      <c r="G163" s="330"/>
      <c r="H163" s="330"/>
      <c r="I163" s="330"/>
      <c r="J163" s="330"/>
      <c r="K163" s="330"/>
      <c r="L163" s="330"/>
      <c r="M163" s="330"/>
      <c r="N163" s="330"/>
      <c r="O163" s="330"/>
      <c r="P163" s="330"/>
      <c r="Q163" s="330"/>
      <c r="R163" s="330"/>
      <c r="S163" s="330"/>
      <c r="T163" s="330"/>
      <c r="U163" s="330"/>
      <c r="V163" s="330"/>
      <c r="W163" s="330"/>
    </row>
    <row r="164" spans="6:23" x14ac:dyDescent="0.15">
      <c r="F164" s="330"/>
      <c r="G164" s="330"/>
      <c r="H164" s="330"/>
      <c r="I164" s="330"/>
      <c r="J164" s="330"/>
      <c r="K164" s="330"/>
      <c r="L164" s="330"/>
      <c r="M164" s="330"/>
      <c r="N164" s="330"/>
      <c r="O164" s="330"/>
      <c r="P164" s="330"/>
      <c r="Q164" s="330"/>
      <c r="R164" s="330"/>
      <c r="S164" s="330"/>
      <c r="T164" s="330"/>
      <c r="U164" s="330"/>
      <c r="V164" s="330"/>
      <c r="W164" s="330"/>
    </row>
    <row r="165" spans="6:23" x14ac:dyDescent="0.15">
      <c r="F165" s="330"/>
      <c r="G165" s="330"/>
      <c r="H165" s="330"/>
      <c r="I165" s="330"/>
      <c r="J165" s="330"/>
      <c r="K165" s="330"/>
      <c r="L165" s="330"/>
      <c r="M165" s="330"/>
      <c r="N165" s="330"/>
      <c r="O165" s="330"/>
      <c r="P165" s="330"/>
      <c r="Q165" s="330"/>
      <c r="R165" s="330"/>
      <c r="S165" s="330"/>
      <c r="T165" s="330"/>
      <c r="U165" s="330"/>
      <c r="V165" s="330"/>
      <c r="W165" s="330"/>
    </row>
    <row r="166" spans="6:23" x14ac:dyDescent="0.15">
      <c r="F166" s="330"/>
      <c r="G166" s="330"/>
      <c r="H166" s="330"/>
      <c r="I166" s="330"/>
      <c r="J166" s="330"/>
      <c r="K166" s="330"/>
      <c r="L166" s="330"/>
      <c r="M166" s="330"/>
      <c r="N166" s="330"/>
      <c r="O166" s="330"/>
      <c r="P166" s="330"/>
      <c r="Q166" s="330"/>
      <c r="R166" s="330"/>
      <c r="S166" s="330"/>
      <c r="T166" s="330"/>
      <c r="U166" s="330"/>
      <c r="V166" s="330"/>
      <c r="W166" s="330"/>
    </row>
    <row r="167" spans="6:23" x14ac:dyDescent="0.15">
      <c r="F167" s="330"/>
      <c r="G167" s="330"/>
      <c r="H167" s="330"/>
      <c r="I167" s="330"/>
      <c r="J167" s="330"/>
      <c r="K167" s="330"/>
      <c r="L167" s="330"/>
      <c r="M167" s="330"/>
      <c r="N167" s="330"/>
      <c r="O167" s="330"/>
      <c r="P167" s="330"/>
      <c r="Q167" s="330"/>
      <c r="R167" s="330"/>
      <c r="S167" s="330"/>
      <c r="T167" s="330"/>
      <c r="U167" s="330"/>
      <c r="V167" s="330"/>
      <c r="W167" s="330"/>
    </row>
    <row r="168" spans="6:23" x14ac:dyDescent="0.15">
      <c r="F168" s="330"/>
      <c r="G168" s="330"/>
      <c r="H168" s="330"/>
      <c r="I168" s="330"/>
      <c r="J168" s="330"/>
      <c r="K168" s="330"/>
      <c r="L168" s="330"/>
      <c r="M168" s="330"/>
      <c r="N168" s="330"/>
      <c r="O168" s="330"/>
      <c r="P168" s="330"/>
      <c r="Q168" s="330"/>
      <c r="R168" s="330"/>
      <c r="S168" s="330"/>
      <c r="T168" s="330"/>
      <c r="U168" s="330"/>
      <c r="V168" s="330"/>
      <c r="W168" s="330"/>
    </row>
    <row r="169" spans="6:23" x14ac:dyDescent="0.15">
      <c r="F169" s="330"/>
      <c r="G169" s="330"/>
      <c r="H169" s="330"/>
      <c r="I169" s="330"/>
      <c r="J169" s="330"/>
      <c r="K169" s="330"/>
      <c r="L169" s="330"/>
      <c r="M169" s="330"/>
      <c r="N169" s="330"/>
      <c r="O169" s="330"/>
      <c r="P169" s="330"/>
      <c r="Q169" s="330"/>
      <c r="R169" s="330"/>
      <c r="S169" s="330"/>
      <c r="T169" s="330"/>
      <c r="U169" s="330"/>
      <c r="V169" s="330"/>
      <c r="W169" s="330"/>
    </row>
    <row r="170" spans="6:23" x14ac:dyDescent="0.15">
      <c r="F170" s="330"/>
      <c r="G170" s="330"/>
      <c r="H170" s="330"/>
      <c r="I170" s="330"/>
      <c r="J170" s="330"/>
      <c r="K170" s="330"/>
      <c r="L170" s="330"/>
      <c r="M170" s="330"/>
      <c r="N170" s="330"/>
      <c r="O170" s="330"/>
      <c r="P170" s="330"/>
      <c r="Q170" s="330"/>
      <c r="R170" s="330"/>
      <c r="S170" s="330"/>
      <c r="T170" s="330"/>
      <c r="U170" s="330"/>
      <c r="V170" s="330"/>
      <c r="W170" s="330"/>
    </row>
    <row r="171" spans="6:23" x14ac:dyDescent="0.15">
      <c r="F171" s="330"/>
      <c r="G171" s="330"/>
      <c r="H171" s="330"/>
      <c r="I171" s="330"/>
      <c r="J171" s="330"/>
      <c r="K171" s="330"/>
      <c r="L171" s="330"/>
      <c r="M171" s="330"/>
      <c r="N171" s="330"/>
      <c r="O171" s="330"/>
      <c r="P171" s="330"/>
      <c r="Q171" s="330"/>
      <c r="R171" s="330"/>
      <c r="S171" s="330"/>
      <c r="T171" s="330"/>
      <c r="U171" s="330"/>
      <c r="V171" s="330"/>
      <c r="W171" s="330"/>
    </row>
    <row r="172" spans="6:23" x14ac:dyDescent="0.15">
      <c r="F172" s="330"/>
      <c r="G172" s="330"/>
      <c r="H172" s="330"/>
      <c r="I172" s="330"/>
      <c r="J172" s="330"/>
      <c r="K172" s="330"/>
      <c r="L172" s="330"/>
      <c r="M172" s="330"/>
      <c r="N172" s="330"/>
      <c r="O172" s="330"/>
      <c r="P172" s="330"/>
      <c r="Q172" s="330"/>
      <c r="R172" s="330"/>
      <c r="S172" s="330"/>
      <c r="T172" s="330"/>
      <c r="U172" s="330"/>
      <c r="V172" s="330"/>
      <c r="W172" s="330"/>
    </row>
    <row r="173" spans="6:23" x14ac:dyDescent="0.15">
      <c r="F173" s="330"/>
      <c r="G173" s="330"/>
      <c r="H173" s="330"/>
      <c r="I173" s="330"/>
      <c r="J173" s="330"/>
      <c r="K173" s="330"/>
      <c r="L173" s="330"/>
      <c r="M173" s="330"/>
      <c r="N173" s="330"/>
      <c r="O173" s="330"/>
      <c r="P173" s="330"/>
      <c r="Q173" s="330"/>
      <c r="R173" s="330"/>
      <c r="S173" s="330"/>
      <c r="T173" s="330"/>
      <c r="U173" s="330"/>
      <c r="V173" s="330"/>
      <c r="W173" s="330"/>
    </row>
    <row r="174" spans="6:23" x14ac:dyDescent="0.15">
      <c r="F174" s="330"/>
      <c r="G174" s="330"/>
      <c r="H174" s="330"/>
      <c r="I174" s="330"/>
      <c r="J174" s="330"/>
      <c r="K174" s="330"/>
      <c r="L174" s="330"/>
      <c r="M174" s="330"/>
      <c r="N174" s="330"/>
      <c r="O174" s="330"/>
      <c r="P174" s="330"/>
      <c r="Q174" s="330"/>
      <c r="R174" s="330"/>
      <c r="S174" s="330"/>
      <c r="T174" s="330"/>
      <c r="U174" s="330"/>
      <c r="V174" s="330"/>
      <c r="W174" s="330"/>
    </row>
    <row r="175" spans="6:23" x14ac:dyDescent="0.15">
      <c r="F175" s="330"/>
      <c r="G175" s="330"/>
      <c r="H175" s="330"/>
      <c r="I175" s="330"/>
      <c r="J175" s="330"/>
      <c r="K175" s="330"/>
      <c r="L175" s="330"/>
      <c r="M175" s="330"/>
      <c r="N175" s="330"/>
      <c r="O175" s="330"/>
      <c r="P175" s="330"/>
      <c r="Q175" s="330"/>
      <c r="R175" s="330"/>
      <c r="S175" s="330"/>
      <c r="T175" s="330"/>
      <c r="U175" s="330"/>
      <c r="V175" s="330"/>
      <c r="W175" s="330"/>
    </row>
    <row r="176" spans="6:23" x14ac:dyDescent="0.15">
      <c r="F176" s="330"/>
      <c r="G176" s="330"/>
      <c r="H176" s="330"/>
      <c r="I176" s="330"/>
      <c r="J176" s="330"/>
      <c r="K176" s="330"/>
      <c r="L176" s="330"/>
      <c r="M176" s="330"/>
      <c r="N176" s="330"/>
      <c r="O176" s="330"/>
      <c r="P176" s="330"/>
      <c r="Q176" s="330"/>
      <c r="R176" s="330"/>
      <c r="S176" s="330"/>
      <c r="T176" s="330"/>
      <c r="U176" s="330"/>
      <c r="V176" s="330"/>
      <c r="W176" s="330"/>
    </row>
    <row r="177" spans="6:23" x14ac:dyDescent="0.15">
      <c r="F177" s="330"/>
      <c r="G177" s="330"/>
      <c r="H177" s="330"/>
      <c r="I177" s="330"/>
      <c r="J177" s="330"/>
      <c r="K177" s="330"/>
      <c r="L177" s="330"/>
      <c r="M177" s="330"/>
      <c r="N177" s="330"/>
      <c r="O177" s="330"/>
      <c r="P177" s="330"/>
      <c r="Q177" s="330"/>
      <c r="R177" s="330"/>
      <c r="S177" s="330"/>
      <c r="T177" s="330"/>
      <c r="U177" s="330"/>
      <c r="V177" s="330"/>
      <c r="W177" s="330"/>
    </row>
    <row r="178" spans="6:23" x14ac:dyDescent="0.15">
      <c r="F178" s="330"/>
      <c r="G178" s="330"/>
      <c r="H178" s="330"/>
      <c r="I178" s="330"/>
      <c r="J178" s="330"/>
      <c r="K178" s="330"/>
      <c r="L178" s="330"/>
      <c r="M178" s="330"/>
      <c r="N178" s="330"/>
      <c r="O178" s="330"/>
      <c r="P178" s="330"/>
      <c r="Q178" s="330"/>
      <c r="R178" s="330"/>
      <c r="S178" s="330"/>
      <c r="T178" s="330"/>
      <c r="U178" s="330"/>
      <c r="V178" s="330"/>
      <c r="W178" s="330"/>
    </row>
    <row r="179" spans="6:23" x14ac:dyDescent="0.15">
      <c r="F179" s="330"/>
      <c r="G179" s="330"/>
      <c r="H179" s="330"/>
      <c r="I179" s="330"/>
      <c r="J179" s="330"/>
      <c r="K179" s="330"/>
      <c r="L179" s="330"/>
      <c r="M179" s="330"/>
      <c r="N179" s="330"/>
      <c r="O179" s="330"/>
      <c r="P179" s="330"/>
      <c r="Q179" s="330"/>
      <c r="R179" s="330"/>
      <c r="S179" s="330"/>
      <c r="T179" s="330"/>
      <c r="U179" s="330"/>
      <c r="V179" s="330"/>
      <c r="W179" s="330"/>
    </row>
    <row r="180" spans="6:23" x14ac:dyDescent="0.15">
      <c r="F180" s="330"/>
      <c r="G180" s="330"/>
      <c r="H180" s="330"/>
      <c r="I180" s="330"/>
      <c r="J180" s="330"/>
      <c r="K180" s="330"/>
      <c r="L180" s="330"/>
      <c r="M180" s="330"/>
      <c r="N180" s="330"/>
      <c r="O180" s="330"/>
      <c r="P180" s="330"/>
      <c r="Q180" s="330"/>
      <c r="R180" s="330"/>
      <c r="S180" s="330"/>
      <c r="T180" s="330"/>
      <c r="U180" s="330"/>
      <c r="V180" s="330"/>
      <c r="W180" s="330"/>
    </row>
    <row r="181" spans="6:23" x14ac:dyDescent="0.15">
      <c r="F181" s="330"/>
      <c r="G181" s="330"/>
      <c r="H181" s="330"/>
      <c r="I181" s="330"/>
      <c r="J181" s="330"/>
      <c r="K181" s="330"/>
      <c r="L181" s="330"/>
      <c r="M181" s="330"/>
      <c r="N181" s="330"/>
      <c r="O181" s="330"/>
      <c r="P181" s="330"/>
      <c r="Q181" s="330"/>
      <c r="R181" s="330"/>
      <c r="S181" s="330"/>
      <c r="T181" s="330"/>
      <c r="U181" s="330"/>
      <c r="V181" s="330"/>
      <c r="W181" s="330"/>
    </row>
    <row r="182" spans="6:23" x14ac:dyDescent="0.15">
      <c r="F182" s="330"/>
      <c r="G182" s="330"/>
      <c r="H182" s="330"/>
      <c r="I182" s="330"/>
      <c r="J182" s="330"/>
      <c r="K182" s="330"/>
      <c r="L182" s="330"/>
      <c r="M182" s="330"/>
      <c r="N182" s="330"/>
      <c r="O182" s="330"/>
      <c r="P182" s="330"/>
      <c r="Q182" s="330"/>
      <c r="R182" s="330"/>
      <c r="S182" s="330"/>
      <c r="T182" s="330"/>
      <c r="U182" s="330"/>
      <c r="V182" s="330"/>
      <c r="W182" s="330"/>
    </row>
    <row r="183" spans="6:23" x14ac:dyDescent="0.15">
      <c r="F183" s="330"/>
      <c r="G183" s="330"/>
      <c r="H183" s="330"/>
      <c r="I183" s="330"/>
      <c r="J183" s="330"/>
      <c r="K183" s="330"/>
      <c r="L183" s="330"/>
      <c r="M183" s="330"/>
      <c r="N183" s="330"/>
      <c r="O183" s="330"/>
      <c r="P183" s="330"/>
      <c r="Q183" s="330"/>
      <c r="R183" s="330"/>
      <c r="S183" s="330"/>
      <c r="T183" s="330"/>
      <c r="U183" s="330"/>
      <c r="V183" s="330"/>
      <c r="W183" s="330"/>
    </row>
    <row r="184" spans="6:23" x14ac:dyDescent="0.15">
      <c r="F184" s="330"/>
      <c r="G184" s="330"/>
      <c r="H184" s="330"/>
      <c r="I184" s="330"/>
      <c r="J184" s="330"/>
      <c r="K184" s="330"/>
      <c r="L184" s="330"/>
      <c r="M184" s="330"/>
      <c r="N184" s="330"/>
      <c r="O184" s="330"/>
      <c r="P184" s="330"/>
      <c r="Q184" s="330"/>
      <c r="R184" s="330"/>
      <c r="S184" s="330"/>
      <c r="T184" s="330"/>
      <c r="U184" s="330"/>
      <c r="V184" s="330"/>
      <c r="W184" s="330"/>
    </row>
    <row r="185" spans="6:23" x14ac:dyDescent="0.15">
      <c r="F185" s="330"/>
      <c r="G185" s="330"/>
      <c r="H185" s="330"/>
      <c r="I185" s="330"/>
      <c r="J185" s="330"/>
      <c r="K185" s="330"/>
      <c r="L185" s="330"/>
      <c r="M185" s="330"/>
      <c r="N185" s="330"/>
      <c r="O185" s="330"/>
      <c r="P185" s="330"/>
      <c r="Q185" s="330"/>
      <c r="R185" s="330"/>
      <c r="S185" s="330"/>
      <c r="T185" s="330"/>
      <c r="U185" s="330"/>
      <c r="V185" s="330"/>
      <c r="W185" s="330"/>
    </row>
    <row r="186" spans="6:23" x14ac:dyDescent="0.15">
      <c r="F186" s="330"/>
      <c r="G186" s="330"/>
      <c r="H186" s="330"/>
      <c r="I186" s="330"/>
      <c r="J186" s="330"/>
      <c r="K186" s="330"/>
      <c r="L186" s="330"/>
      <c r="M186" s="330"/>
      <c r="N186" s="330"/>
      <c r="O186" s="330"/>
      <c r="P186" s="330"/>
      <c r="Q186" s="330"/>
      <c r="R186" s="330"/>
      <c r="S186" s="330"/>
      <c r="T186" s="330"/>
      <c r="U186" s="330"/>
      <c r="V186" s="330"/>
      <c r="W186" s="330"/>
    </row>
    <row r="187" spans="6:23" x14ac:dyDescent="0.15">
      <c r="F187" s="330"/>
      <c r="G187" s="330"/>
      <c r="H187" s="330"/>
      <c r="I187" s="330"/>
      <c r="J187" s="330"/>
      <c r="K187" s="330"/>
      <c r="L187" s="330"/>
      <c r="M187" s="330"/>
      <c r="N187" s="330"/>
      <c r="O187" s="330"/>
      <c r="P187" s="330"/>
      <c r="Q187" s="330"/>
      <c r="R187" s="330"/>
      <c r="S187" s="330"/>
      <c r="T187" s="330"/>
      <c r="U187" s="330"/>
      <c r="V187" s="330"/>
      <c r="W187" s="330"/>
    </row>
    <row r="188" spans="6:23" x14ac:dyDescent="0.15">
      <c r="F188" s="330"/>
      <c r="G188" s="330"/>
      <c r="H188" s="330"/>
      <c r="I188" s="330"/>
      <c r="J188" s="330"/>
      <c r="K188" s="330"/>
      <c r="L188" s="330"/>
      <c r="M188" s="330"/>
      <c r="N188" s="330"/>
      <c r="O188" s="330"/>
      <c r="P188" s="330"/>
      <c r="Q188" s="330"/>
      <c r="R188" s="330"/>
      <c r="S188" s="330"/>
      <c r="T188" s="330"/>
      <c r="U188" s="330"/>
      <c r="V188" s="330"/>
      <c r="W188" s="330"/>
    </row>
    <row r="189" spans="6:23" x14ac:dyDescent="0.15">
      <c r="F189" s="330"/>
      <c r="G189" s="330"/>
      <c r="H189" s="330"/>
      <c r="I189" s="330"/>
      <c r="J189" s="330"/>
      <c r="K189" s="330"/>
      <c r="L189" s="330"/>
      <c r="M189" s="330"/>
      <c r="N189" s="330"/>
      <c r="O189" s="330"/>
      <c r="P189" s="330"/>
      <c r="Q189" s="330"/>
      <c r="R189" s="330"/>
      <c r="S189" s="330"/>
      <c r="T189" s="330"/>
      <c r="U189" s="330"/>
      <c r="V189" s="330"/>
      <c r="W189" s="330"/>
    </row>
    <row r="190" spans="6:23" x14ac:dyDescent="0.15">
      <c r="F190" s="330"/>
      <c r="G190" s="330"/>
      <c r="H190" s="330"/>
      <c r="I190" s="330"/>
      <c r="J190" s="330"/>
      <c r="K190" s="330"/>
      <c r="L190" s="330"/>
      <c r="M190" s="330"/>
      <c r="N190" s="330"/>
      <c r="O190" s="330"/>
      <c r="P190" s="330"/>
      <c r="Q190" s="330"/>
      <c r="R190" s="330"/>
      <c r="S190" s="330"/>
      <c r="T190" s="330"/>
      <c r="U190" s="330"/>
      <c r="V190" s="330"/>
      <c r="W190" s="330"/>
    </row>
    <row r="191" spans="6:23" x14ac:dyDescent="0.15">
      <c r="F191" s="330"/>
      <c r="G191" s="330"/>
      <c r="H191" s="330"/>
      <c r="I191" s="330"/>
      <c r="J191" s="330"/>
      <c r="K191" s="330"/>
      <c r="L191" s="330"/>
      <c r="M191" s="330"/>
      <c r="N191" s="330"/>
      <c r="O191" s="330"/>
      <c r="P191" s="330"/>
      <c r="Q191" s="330"/>
      <c r="R191" s="330"/>
      <c r="S191" s="330"/>
      <c r="T191" s="330"/>
      <c r="U191" s="330"/>
      <c r="V191" s="330"/>
      <c r="W191" s="330"/>
    </row>
    <row r="192" spans="6:23" x14ac:dyDescent="0.15">
      <c r="F192" s="330"/>
      <c r="G192" s="330"/>
      <c r="H192" s="330"/>
      <c r="I192" s="330"/>
      <c r="J192" s="330"/>
      <c r="K192" s="330"/>
      <c r="L192" s="330"/>
      <c r="M192" s="330"/>
      <c r="N192" s="330"/>
      <c r="O192" s="330"/>
      <c r="P192" s="330"/>
      <c r="Q192" s="330"/>
      <c r="R192" s="330"/>
      <c r="S192" s="330"/>
      <c r="T192" s="330"/>
      <c r="U192" s="330"/>
      <c r="V192" s="330"/>
      <c r="W192" s="330"/>
    </row>
    <row r="193" spans="6:23" x14ac:dyDescent="0.15">
      <c r="F193" s="330"/>
      <c r="G193" s="330"/>
      <c r="H193" s="330"/>
      <c r="I193" s="330"/>
      <c r="J193" s="330"/>
      <c r="K193" s="330"/>
      <c r="L193" s="330"/>
      <c r="M193" s="330"/>
      <c r="N193" s="330"/>
      <c r="O193" s="330"/>
      <c r="P193" s="330"/>
      <c r="Q193" s="330"/>
      <c r="R193" s="330"/>
      <c r="S193" s="330"/>
      <c r="T193" s="330"/>
      <c r="U193" s="330"/>
      <c r="V193" s="330"/>
      <c r="W193" s="330"/>
    </row>
    <row r="194" spans="6:23" x14ac:dyDescent="0.15">
      <c r="F194" s="330"/>
      <c r="G194" s="330"/>
      <c r="H194" s="330"/>
      <c r="I194" s="330"/>
      <c r="J194" s="330"/>
      <c r="K194" s="330"/>
      <c r="L194" s="330"/>
      <c r="M194" s="330"/>
      <c r="N194" s="330"/>
      <c r="O194" s="330"/>
      <c r="P194" s="330"/>
      <c r="Q194" s="330"/>
      <c r="R194" s="330"/>
      <c r="S194" s="330"/>
      <c r="T194" s="330"/>
      <c r="U194" s="330"/>
      <c r="V194" s="330"/>
      <c r="W194" s="330"/>
    </row>
    <row r="195" spans="6:23" x14ac:dyDescent="0.15">
      <c r="F195" s="330"/>
      <c r="G195" s="330"/>
      <c r="H195" s="330"/>
      <c r="I195" s="330"/>
      <c r="J195" s="330"/>
      <c r="K195" s="330"/>
      <c r="L195" s="330"/>
      <c r="M195" s="330"/>
      <c r="N195" s="330"/>
      <c r="O195" s="330"/>
      <c r="P195" s="330"/>
      <c r="Q195" s="330"/>
      <c r="R195" s="330"/>
      <c r="S195" s="330"/>
      <c r="T195" s="330"/>
      <c r="U195" s="330"/>
      <c r="V195" s="330"/>
      <c r="W195" s="330"/>
    </row>
    <row r="196" spans="6:23" x14ac:dyDescent="0.15">
      <c r="F196" s="330"/>
      <c r="G196" s="330"/>
      <c r="H196" s="330"/>
      <c r="I196" s="330"/>
      <c r="J196" s="330"/>
      <c r="K196" s="330"/>
      <c r="L196" s="330"/>
      <c r="M196" s="330"/>
      <c r="N196" s="330"/>
      <c r="O196" s="330"/>
      <c r="P196" s="330"/>
      <c r="Q196" s="330"/>
      <c r="R196" s="330"/>
      <c r="S196" s="330"/>
      <c r="T196" s="330"/>
      <c r="U196" s="330"/>
      <c r="V196" s="330"/>
      <c r="W196" s="330"/>
    </row>
    <row r="197" spans="6:23" x14ac:dyDescent="0.15">
      <c r="F197" s="330"/>
      <c r="G197" s="330"/>
      <c r="H197" s="330"/>
      <c r="I197" s="330"/>
      <c r="J197" s="330"/>
      <c r="K197" s="330"/>
      <c r="L197" s="330"/>
      <c r="M197" s="330"/>
      <c r="N197" s="330"/>
      <c r="O197" s="330"/>
      <c r="P197" s="330"/>
      <c r="Q197" s="330"/>
      <c r="R197" s="330"/>
      <c r="S197" s="330"/>
      <c r="T197" s="330"/>
      <c r="U197" s="330"/>
      <c r="V197" s="330"/>
      <c r="W197" s="330"/>
    </row>
    <row r="198" spans="6:23" x14ac:dyDescent="0.15">
      <c r="F198" s="330"/>
      <c r="G198" s="330"/>
      <c r="H198" s="330"/>
      <c r="I198" s="330"/>
      <c r="J198" s="330"/>
      <c r="K198" s="330"/>
      <c r="L198" s="330"/>
      <c r="M198" s="330"/>
      <c r="N198" s="330"/>
      <c r="O198" s="330"/>
      <c r="P198" s="330"/>
      <c r="Q198" s="330"/>
      <c r="R198" s="330"/>
      <c r="S198" s="330"/>
      <c r="T198" s="330"/>
      <c r="U198" s="330"/>
      <c r="V198" s="330"/>
      <c r="W198" s="330"/>
    </row>
    <row r="199" spans="6:23" x14ac:dyDescent="0.15">
      <c r="F199" s="330"/>
      <c r="G199" s="330"/>
      <c r="H199" s="330"/>
      <c r="I199" s="330"/>
      <c r="J199" s="330"/>
      <c r="K199" s="330"/>
      <c r="L199" s="330"/>
      <c r="M199" s="330"/>
      <c r="N199" s="330"/>
      <c r="O199" s="330"/>
      <c r="P199" s="330"/>
      <c r="Q199" s="330"/>
      <c r="R199" s="330"/>
      <c r="S199" s="330"/>
      <c r="T199" s="330"/>
      <c r="U199" s="330"/>
      <c r="V199" s="330"/>
      <c r="W199" s="330"/>
    </row>
    <row r="200" spans="6:23" x14ac:dyDescent="0.15">
      <c r="F200" s="330"/>
      <c r="G200" s="330"/>
      <c r="H200" s="330"/>
      <c r="I200" s="330"/>
      <c r="J200" s="330"/>
      <c r="K200" s="330"/>
      <c r="L200" s="330"/>
      <c r="M200" s="330"/>
      <c r="N200" s="330"/>
      <c r="O200" s="330"/>
      <c r="P200" s="330"/>
      <c r="Q200" s="330"/>
      <c r="R200" s="330"/>
      <c r="S200" s="330"/>
      <c r="T200" s="330"/>
      <c r="U200" s="330"/>
      <c r="V200" s="330"/>
      <c r="W200" s="330"/>
    </row>
    <row r="201" spans="6:23" x14ac:dyDescent="0.15">
      <c r="F201" s="330"/>
      <c r="G201" s="330"/>
      <c r="H201" s="330"/>
      <c r="I201" s="330"/>
      <c r="J201" s="330"/>
      <c r="K201" s="330"/>
      <c r="L201" s="330"/>
      <c r="M201" s="330"/>
      <c r="N201" s="330"/>
      <c r="O201" s="330"/>
      <c r="P201" s="330"/>
      <c r="Q201" s="330"/>
      <c r="R201" s="330"/>
      <c r="S201" s="330"/>
      <c r="T201" s="330"/>
      <c r="U201" s="330"/>
      <c r="V201" s="330"/>
      <c r="W201" s="330"/>
    </row>
    <row r="202" spans="6:23" x14ac:dyDescent="0.15">
      <c r="F202" s="330"/>
      <c r="G202" s="330"/>
      <c r="H202" s="330"/>
      <c r="I202" s="330"/>
      <c r="J202" s="330"/>
      <c r="K202" s="330"/>
      <c r="L202" s="330"/>
      <c r="M202" s="330"/>
      <c r="N202" s="330"/>
      <c r="O202" s="330"/>
      <c r="P202" s="330"/>
      <c r="Q202" s="330"/>
      <c r="R202" s="330"/>
      <c r="S202" s="330"/>
      <c r="T202" s="330"/>
      <c r="U202" s="330"/>
      <c r="V202" s="330"/>
      <c r="W202" s="330"/>
    </row>
    <row r="203" spans="6:23" x14ac:dyDescent="0.15">
      <c r="F203" s="330"/>
      <c r="G203" s="330"/>
      <c r="H203" s="330"/>
      <c r="I203" s="330"/>
      <c r="J203" s="330"/>
      <c r="K203" s="330"/>
      <c r="L203" s="330"/>
      <c r="M203" s="330"/>
      <c r="N203" s="330"/>
      <c r="O203" s="330"/>
      <c r="P203" s="330"/>
      <c r="Q203" s="330"/>
      <c r="R203" s="330"/>
      <c r="S203" s="330"/>
      <c r="T203" s="330"/>
      <c r="U203" s="330"/>
      <c r="V203" s="330"/>
      <c r="W203" s="330"/>
    </row>
    <row r="204" spans="6:23" x14ac:dyDescent="0.15">
      <c r="F204" s="330"/>
      <c r="G204" s="330"/>
      <c r="H204" s="330"/>
      <c r="I204" s="330"/>
      <c r="J204" s="330"/>
      <c r="K204" s="330"/>
      <c r="L204" s="330"/>
      <c r="M204" s="330"/>
      <c r="N204" s="330"/>
      <c r="O204" s="330"/>
      <c r="P204" s="330"/>
      <c r="Q204" s="330"/>
      <c r="R204" s="330"/>
      <c r="S204" s="330"/>
      <c r="T204" s="330"/>
      <c r="U204" s="330"/>
      <c r="V204" s="330"/>
      <c r="W204" s="330"/>
    </row>
    <row r="205" spans="6:23" x14ac:dyDescent="0.15">
      <c r="F205" s="330"/>
      <c r="G205" s="330"/>
      <c r="H205" s="330"/>
      <c r="I205" s="330"/>
      <c r="J205" s="330"/>
      <c r="K205" s="330"/>
      <c r="L205" s="330"/>
      <c r="M205" s="330"/>
      <c r="N205" s="330"/>
      <c r="O205" s="330"/>
      <c r="P205" s="330"/>
      <c r="Q205" s="330"/>
      <c r="R205" s="330"/>
      <c r="S205" s="330"/>
      <c r="T205" s="330"/>
      <c r="U205" s="330"/>
      <c r="V205" s="330"/>
      <c r="W205" s="330"/>
    </row>
    <row r="206" spans="6:23" x14ac:dyDescent="0.15">
      <c r="F206" s="330"/>
      <c r="G206" s="330"/>
      <c r="H206" s="330"/>
      <c r="I206" s="330"/>
      <c r="J206" s="330"/>
      <c r="K206" s="330"/>
      <c r="L206" s="330"/>
      <c r="M206" s="330"/>
      <c r="N206" s="330"/>
      <c r="O206" s="330"/>
      <c r="P206" s="330"/>
      <c r="Q206" s="330"/>
      <c r="R206" s="330"/>
      <c r="S206" s="330"/>
      <c r="T206" s="330"/>
      <c r="U206" s="330"/>
      <c r="V206" s="330"/>
      <c r="W206" s="330"/>
    </row>
    <row r="207" spans="6:23" x14ac:dyDescent="0.15">
      <c r="F207" s="330"/>
      <c r="G207" s="330"/>
      <c r="H207" s="330"/>
      <c r="I207" s="330"/>
      <c r="J207" s="330"/>
      <c r="K207" s="330"/>
      <c r="L207" s="330"/>
      <c r="M207" s="330"/>
      <c r="N207" s="330"/>
      <c r="O207" s="330"/>
      <c r="P207" s="330"/>
      <c r="Q207" s="330"/>
      <c r="R207" s="330"/>
      <c r="S207" s="330"/>
      <c r="T207" s="330"/>
      <c r="U207" s="330"/>
      <c r="V207" s="330"/>
      <c r="W207" s="330"/>
    </row>
    <row r="208" spans="6:23" x14ac:dyDescent="0.15">
      <c r="F208" s="330"/>
      <c r="G208" s="330"/>
      <c r="H208" s="330"/>
      <c r="I208" s="330"/>
      <c r="J208" s="330"/>
      <c r="K208" s="330"/>
      <c r="L208" s="330"/>
      <c r="M208" s="330"/>
      <c r="N208" s="330"/>
      <c r="O208" s="330"/>
      <c r="P208" s="330"/>
      <c r="Q208" s="330"/>
      <c r="R208" s="330"/>
      <c r="S208" s="330"/>
      <c r="T208" s="330"/>
      <c r="U208" s="330"/>
      <c r="V208" s="330"/>
      <c r="W208" s="330"/>
    </row>
    <row r="209" spans="6:23" x14ac:dyDescent="0.15">
      <c r="F209" s="330"/>
      <c r="G209" s="330"/>
      <c r="H209" s="330"/>
      <c r="I209" s="330"/>
      <c r="J209" s="330"/>
      <c r="K209" s="330"/>
      <c r="L209" s="330"/>
      <c r="M209" s="330"/>
      <c r="N209" s="330"/>
      <c r="O209" s="330"/>
      <c r="P209" s="330"/>
      <c r="Q209" s="330"/>
      <c r="R209" s="330"/>
      <c r="S209" s="330"/>
      <c r="T209" s="330"/>
      <c r="U209" s="330"/>
      <c r="V209" s="330"/>
      <c r="W209" s="330"/>
    </row>
    <row r="210" spans="6:23" x14ac:dyDescent="0.15">
      <c r="F210" s="330"/>
      <c r="G210" s="330"/>
      <c r="H210" s="330"/>
      <c r="I210" s="330"/>
      <c r="J210" s="330"/>
      <c r="K210" s="330"/>
      <c r="L210" s="330"/>
      <c r="M210" s="330"/>
      <c r="N210" s="330"/>
      <c r="O210" s="330"/>
      <c r="P210" s="330"/>
      <c r="Q210" s="330"/>
      <c r="R210" s="330"/>
      <c r="S210" s="330"/>
      <c r="T210" s="330"/>
      <c r="U210" s="330"/>
      <c r="V210" s="330"/>
      <c r="W210" s="330"/>
    </row>
    <row r="211" spans="6:23" x14ac:dyDescent="0.15">
      <c r="F211" s="330"/>
      <c r="G211" s="330"/>
      <c r="H211" s="330"/>
      <c r="I211" s="330"/>
      <c r="J211" s="330"/>
      <c r="K211" s="330"/>
      <c r="L211" s="330"/>
      <c r="M211" s="330"/>
      <c r="N211" s="330"/>
      <c r="O211" s="330"/>
      <c r="P211" s="330"/>
      <c r="Q211" s="330"/>
      <c r="R211" s="330"/>
      <c r="S211" s="330"/>
      <c r="T211" s="330"/>
      <c r="U211" s="330"/>
      <c r="V211" s="330"/>
      <c r="W211" s="330"/>
    </row>
    <row r="212" spans="6:23" x14ac:dyDescent="0.15">
      <c r="F212" s="330"/>
      <c r="G212" s="330"/>
      <c r="H212" s="330"/>
      <c r="I212" s="330"/>
      <c r="J212" s="330"/>
      <c r="K212" s="330"/>
      <c r="L212" s="330"/>
      <c r="M212" s="330"/>
      <c r="N212" s="330"/>
      <c r="O212" s="330"/>
      <c r="P212" s="330"/>
      <c r="Q212" s="330"/>
      <c r="R212" s="330"/>
      <c r="S212" s="330"/>
      <c r="T212" s="330"/>
      <c r="U212" s="330"/>
      <c r="V212" s="330"/>
      <c r="W212" s="330"/>
    </row>
    <row r="213" spans="6:23" x14ac:dyDescent="0.15">
      <c r="F213" s="330"/>
      <c r="G213" s="330"/>
      <c r="H213" s="330"/>
      <c r="I213" s="330"/>
      <c r="J213" s="330"/>
      <c r="K213" s="330"/>
      <c r="L213" s="330"/>
      <c r="M213" s="330"/>
      <c r="N213" s="330"/>
      <c r="O213" s="330"/>
      <c r="P213" s="330"/>
      <c r="Q213" s="330"/>
      <c r="R213" s="330"/>
      <c r="S213" s="330"/>
      <c r="T213" s="330"/>
      <c r="U213" s="330"/>
      <c r="V213" s="330"/>
      <c r="W213" s="330"/>
    </row>
    <row r="214" spans="6:23" x14ac:dyDescent="0.15">
      <c r="F214" s="330"/>
      <c r="G214" s="330"/>
      <c r="H214" s="330"/>
      <c r="I214" s="330"/>
      <c r="J214" s="330"/>
      <c r="K214" s="330"/>
      <c r="L214" s="330"/>
      <c r="M214" s="330"/>
      <c r="N214" s="330"/>
      <c r="O214" s="330"/>
      <c r="P214" s="330"/>
      <c r="Q214" s="330"/>
      <c r="R214" s="330"/>
      <c r="S214" s="330"/>
      <c r="T214" s="330"/>
      <c r="U214" s="330"/>
      <c r="V214" s="330"/>
      <c r="W214" s="330"/>
    </row>
    <row r="215" spans="6:23" x14ac:dyDescent="0.15">
      <c r="F215" s="330"/>
      <c r="G215" s="330"/>
      <c r="H215" s="330"/>
      <c r="I215" s="330"/>
      <c r="J215" s="330"/>
      <c r="K215" s="330"/>
      <c r="L215" s="330"/>
      <c r="M215" s="330"/>
      <c r="N215" s="330"/>
      <c r="O215" s="330"/>
      <c r="P215" s="330"/>
      <c r="Q215" s="330"/>
      <c r="R215" s="330"/>
      <c r="S215" s="330"/>
      <c r="T215" s="330"/>
      <c r="U215" s="330"/>
      <c r="V215" s="330"/>
      <c r="W215" s="330"/>
    </row>
    <row r="216" spans="6:23" x14ac:dyDescent="0.15">
      <c r="F216" s="330"/>
      <c r="G216" s="330"/>
      <c r="H216" s="330"/>
      <c r="I216" s="330"/>
      <c r="J216" s="330"/>
      <c r="K216" s="330"/>
      <c r="L216" s="330"/>
      <c r="M216" s="330"/>
      <c r="N216" s="330"/>
      <c r="O216" s="330"/>
      <c r="P216" s="330"/>
      <c r="Q216" s="330"/>
      <c r="R216" s="330"/>
      <c r="S216" s="330"/>
      <c r="T216" s="330"/>
      <c r="U216" s="330"/>
      <c r="V216" s="330"/>
      <c r="W216" s="330"/>
    </row>
    <row r="217" spans="6:23" x14ac:dyDescent="0.15">
      <c r="F217" s="330"/>
      <c r="G217" s="330"/>
      <c r="H217" s="330"/>
      <c r="I217" s="330"/>
      <c r="J217" s="330"/>
      <c r="K217" s="330"/>
      <c r="L217" s="330"/>
      <c r="M217" s="330"/>
      <c r="N217" s="330"/>
      <c r="O217" s="330"/>
      <c r="P217" s="330"/>
      <c r="Q217" s="330"/>
      <c r="R217" s="330"/>
      <c r="S217" s="330"/>
      <c r="T217" s="330"/>
      <c r="U217" s="330"/>
      <c r="V217" s="330"/>
      <c r="W217" s="330"/>
    </row>
    <row r="218" spans="6:23" x14ac:dyDescent="0.15">
      <c r="F218" s="330"/>
      <c r="G218" s="330"/>
      <c r="H218" s="330"/>
      <c r="I218" s="330"/>
      <c r="J218" s="330"/>
      <c r="K218" s="330"/>
      <c r="L218" s="330"/>
      <c r="M218" s="330"/>
      <c r="N218" s="330"/>
      <c r="O218" s="330"/>
      <c r="P218" s="330"/>
      <c r="Q218" s="330"/>
      <c r="R218" s="330"/>
      <c r="S218" s="330"/>
      <c r="T218" s="330"/>
      <c r="U218" s="330"/>
      <c r="V218" s="330"/>
      <c r="W218" s="330"/>
    </row>
    <row r="219" spans="6:23" x14ac:dyDescent="0.15">
      <c r="F219" s="330"/>
      <c r="G219" s="330"/>
      <c r="H219" s="330"/>
      <c r="I219" s="330"/>
      <c r="J219" s="330"/>
      <c r="K219" s="330"/>
      <c r="L219" s="330"/>
      <c r="M219" s="330"/>
      <c r="N219" s="330"/>
      <c r="O219" s="330"/>
      <c r="P219" s="330"/>
      <c r="Q219" s="330"/>
      <c r="R219" s="330"/>
      <c r="S219" s="330"/>
      <c r="T219" s="330"/>
      <c r="U219" s="330"/>
      <c r="V219" s="330"/>
      <c r="W219" s="330"/>
    </row>
    <row r="220" spans="6:23" x14ac:dyDescent="0.15">
      <c r="F220" s="330"/>
      <c r="G220" s="330"/>
      <c r="H220" s="330"/>
      <c r="I220" s="330"/>
      <c r="J220" s="330"/>
      <c r="K220" s="330"/>
      <c r="L220" s="330"/>
      <c r="M220" s="330"/>
      <c r="N220" s="330"/>
      <c r="O220" s="330"/>
      <c r="P220" s="330"/>
      <c r="Q220" s="330"/>
      <c r="R220" s="330"/>
      <c r="S220" s="330"/>
      <c r="T220" s="330"/>
      <c r="U220" s="330"/>
      <c r="V220" s="330"/>
      <c r="W220" s="330"/>
    </row>
    <row r="221" spans="6:23" x14ac:dyDescent="0.15">
      <c r="F221" s="330"/>
      <c r="G221" s="330"/>
      <c r="H221" s="330"/>
      <c r="I221" s="330"/>
      <c r="J221" s="330"/>
      <c r="K221" s="330"/>
      <c r="L221" s="330"/>
      <c r="M221" s="330"/>
      <c r="N221" s="330"/>
      <c r="O221" s="330"/>
      <c r="P221" s="330"/>
      <c r="Q221" s="330"/>
      <c r="R221" s="330"/>
      <c r="S221" s="330"/>
      <c r="T221" s="330"/>
      <c r="U221" s="330"/>
      <c r="V221" s="330"/>
      <c r="W221" s="330"/>
    </row>
    <row r="222" spans="6:23" x14ac:dyDescent="0.15">
      <c r="F222" s="330"/>
      <c r="G222" s="330"/>
      <c r="H222" s="330"/>
      <c r="I222" s="330"/>
      <c r="J222" s="330"/>
      <c r="K222" s="330"/>
      <c r="L222" s="330"/>
      <c r="M222" s="330"/>
      <c r="N222" s="330"/>
      <c r="O222" s="330"/>
      <c r="P222" s="330"/>
      <c r="Q222" s="330"/>
      <c r="R222" s="330"/>
      <c r="S222" s="330"/>
      <c r="T222" s="330"/>
      <c r="U222" s="330"/>
      <c r="V222" s="330"/>
      <c r="W222" s="330"/>
    </row>
    <row r="223" spans="6:23" x14ac:dyDescent="0.15">
      <c r="F223" s="330"/>
      <c r="G223" s="330"/>
      <c r="H223" s="330"/>
      <c r="I223" s="330"/>
      <c r="J223" s="330"/>
      <c r="K223" s="330"/>
      <c r="L223" s="330"/>
      <c r="M223" s="330"/>
      <c r="N223" s="330"/>
      <c r="O223" s="330"/>
      <c r="P223" s="330"/>
      <c r="Q223" s="330"/>
      <c r="R223" s="330"/>
      <c r="S223" s="330"/>
      <c r="T223" s="330"/>
      <c r="U223" s="330"/>
      <c r="V223" s="330"/>
      <c r="W223" s="330"/>
    </row>
    <row r="224" spans="6:23" x14ac:dyDescent="0.15">
      <c r="F224" s="330"/>
      <c r="G224" s="330"/>
      <c r="H224" s="330"/>
      <c r="I224" s="330"/>
      <c r="J224" s="330"/>
      <c r="K224" s="330"/>
      <c r="L224" s="330"/>
      <c r="M224" s="330"/>
      <c r="N224" s="330"/>
      <c r="O224" s="330"/>
      <c r="P224" s="330"/>
      <c r="Q224" s="330"/>
      <c r="R224" s="330"/>
      <c r="S224" s="330"/>
      <c r="T224" s="330"/>
      <c r="U224" s="330"/>
      <c r="V224" s="330"/>
      <c r="W224" s="330"/>
    </row>
    <row r="225" spans="6:23" x14ac:dyDescent="0.15">
      <c r="F225" s="330"/>
      <c r="G225" s="330"/>
      <c r="H225" s="330"/>
      <c r="I225" s="330"/>
      <c r="J225" s="330"/>
      <c r="K225" s="330"/>
      <c r="L225" s="330"/>
      <c r="M225" s="330"/>
      <c r="N225" s="330"/>
      <c r="O225" s="330"/>
      <c r="P225" s="330"/>
      <c r="Q225" s="330"/>
      <c r="R225" s="330"/>
      <c r="S225" s="330"/>
      <c r="T225" s="330"/>
      <c r="U225" s="330"/>
      <c r="V225" s="330"/>
      <c r="W225" s="330"/>
    </row>
    <row r="226" spans="6:23" x14ac:dyDescent="0.15">
      <c r="F226" s="330"/>
      <c r="G226" s="330"/>
      <c r="H226" s="330"/>
      <c r="I226" s="330"/>
      <c r="J226" s="330"/>
      <c r="K226" s="330"/>
      <c r="L226" s="330"/>
      <c r="M226" s="330"/>
      <c r="N226" s="330"/>
      <c r="O226" s="330"/>
      <c r="P226" s="330"/>
      <c r="Q226" s="330"/>
      <c r="R226" s="330"/>
      <c r="S226" s="330"/>
      <c r="T226" s="330"/>
      <c r="U226" s="330"/>
      <c r="V226" s="330"/>
      <c r="W226" s="330"/>
    </row>
    <row r="227" spans="6:23" x14ac:dyDescent="0.15">
      <c r="F227" s="330"/>
      <c r="G227" s="330"/>
      <c r="H227" s="330"/>
      <c r="I227" s="330"/>
      <c r="J227" s="330"/>
      <c r="K227" s="330"/>
      <c r="L227" s="330"/>
      <c r="M227" s="330"/>
      <c r="N227" s="330"/>
      <c r="O227" s="330"/>
      <c r="P227" s="330"/>
      <c r="Q227" s="330"/>
      <c r="R227" s="330"/>
      <c r="S227" s="330"/>
      <c r="T227" s="330"/>
      <c r="U227" s="330"/>
      <c r="V227" s="330"/>
      <c r="W227" s="330"/>
    </row>
    <row r="228" spans="6:23" x14ac:dyDescent="0.15">
      <c r="F228" s="330"/>
      <c r="G228" s="330"/>
      <c r="H228" s="330"/>
      <c r="I228" s="330"/>
      <c r="J228" s="330"/>
      <c r="K228" s="330"/>
      <c r="L228" s="330"/>
      <c r="M228" s="330"/>
      <c r="N228" s="330"/>
      <c r="O228" s="330"/>
      <c r="P228" s="330"/>
      <c r="Q228" s="330"/>
      <c r="R228" s="330"/>
      <c r="S228" s="330"/>
      <c r="T228" s="330"/>
      <c r="U228" s="330"/>
      <c r="V228" s="330"/>
      <c r="W228" s="330"/>
    </row>
    <row r="229" spans="6:23" x14ac:dyDescent="0.15">
      <c r="F229" s="330"/>
      <c r="G229" s="330"/>
      <c r="H229" s="330"/>
      <c r="I229" s="330"/>
      <c r="J229" s="330"/>
      <c r="K229" s="330"/>
      <c r="L229" s="330"/>
      <c r="M229" s="330"/>
      <c r="N229" s="330"/>
      <c r="O229" s="330"/>
      <c r="P229" s="330"/>
      <c r="Q229" s="330"/>
      <c r="R229" s="330"/>
      <c r="S229" s="330"/>
      <c r="T229" s="330"/>
      <c r="U229" s="330"/>
      <c r="V229" s="330"/>
      <c r="W229" s="330"/>
    </row>
    <row r="230" spans="6:23" x14ac:dyDescent="0.15">
      <c r="F230" s="330"/>
      <c r="G230" s="330"/>
      <c r="H230" s="330"/>
      <c r="I230" s="330"/>
      <c r="J230" s="330"/>
      <c r="K230" s="330"/>
      <c r="L230" s="330"/>
      <c r="M230" s="330"/>
      <c r="N230" s="330"/>
      <c r="O230" s="330"/>
      <c r="P230" s="330"/>
      <c r="Q230" s="330"/>
      <c r="R230" s="330"/>
      <c r="S230" s="330"/>
      <c r="T230" s="330"/>
      <c r="U230" s="330"/>
      <c r="V230" s="330"/>
      <c r="W230" s="330"/>
    </row>
    <row r="231" spans="6:23" x14ac:dyDescent="0.15">
      <c r="F231" s="330"/>
      <c r="G231" s="330"/>
      <c r="H231" s="330"/>
      <c r="I231" s="330"/>
      <c r="J231" s="330"/>
      <c r="K231" s="330"/>
      <c r="L231" s="330"/>
      <c r="M231" s="330"/>
      <c r="N231" s="330"/>
      <c r="O231" s="330"/>
      <c r="P231" s="330"/>
      <c r="Q231" s="330"/>
      <c r="R231" s="330"/>
      <c r="S231" s="330"/>
      <c r="T231" s="330"/>
      <c r="U231" s="330"/>
      <c r="V231" s="330"/>
      <c r="W231" s="330"/>
    </row>
    <row r="232" spans="6:23" x14ac:dyDescent="0.15">
      <c r="F232" s="330"/>
      <c r="G232" s="330"/>
      <c r="H232" s="330"/>
      <c r="I232" s="330"/>
      <c r="J232" s="330"/>
      <c r="K232" s="330"/>
      <c r="L232" s="330"/>
      <c r="M232" s="330"/>
      <c r="N232" s="330"/>
      <c r="O232" s="330"/>
      <c r="P232" s="330"/>
      <c r="Q232" s="330"/>
      <c r="R232" s="330"/>
      <c r="S232" s="330"/>
      <c r="T232" s="330"/>
      <c r="U232" s="330"/>
      <c r="V232" s="330"/>
      <c r="W232" s="330"/>
    </row>
    <row r="233" spans="6:23" x14ac:dyDescent="0.15">
      <c r="F233" s="330"/>
      <c r="G233" s="330"/>
      <c r="H233" s="330"/>
      <c r="I233" s="330"/>
      <c r="J233" s="330"/>
      <c r="K233" s="330"/>
      <c r="L233" s="330"/>
      <c r="M233" s="330"/>
      <c r="N233" s="330"/>
      <c r="O233" s="330"/>
      <c r="P233" s="330"/>
      <c r="Q233" s="330"/>
      <c r="R233" s="330"/>
      <c r="S233" s="330"/>
      <c r="T233" s="330"/>
      <c r="U233" s="330"/>
      <c r="V233" s="330"/>
      <c r="W233" s="330"/>
    </row>
    <row r="234" spans="6:23" x14ac:dyDescent="0.15">
      <c r="F234" s="330"/>
      <c r="G234" s="330"/>
      <c r="H234" s="330"/>
      <c r="I234" s="330"/>
      <c r="J234" s="330"/>
      <c r="K234" s="330"/>
      <c r="L234" s="330"/>
      <c r="M234" s="330"/>
      <c r="N234" s="330"/>
      <c r="O234" s="330"/>
      <c r="P234" s="330"/>
      <c r="Q234" s="330"/>
      <c r="R234" s="330"/>
      <c r="S234" s="330"/>
      <c r="T234" s="330"/>
      <c r="U234" s="330"/>
      <c r="V234" s="330"/>
      <c r="W234" s="330"/>
    </row>
    <row r="235" spans="6:23" x14ac:dyDescent="0.15">
      <c r="F235" s="330"/>
      <c r="G235" s="330"/>
      <c r="H235" s="330"/>
      <c r="I235" s="330"/>
      <c r="J235" s="330"/>
      <c r="K235" s="330"/>
      <c r="L235" s="330"/>
      <c r="M235" s="330"/>
      <c r="N235" s="330"/>
      <c r="O235" s="330"/>
      <c r="P235" s="330"/>
      <c r="Q235" s="330"/>
      <c r="R235" s="330"/>
      <c r="S235" s="330"/>
      <c r="T235" s="330"/>
      <c r="U235" s="330"/>
      <c r="V235" s="330"/>
      <c r="W235" s="330"/>
    </row>
    <row r="236" spans="6:23" x14ac:dyDescent="0.15">
      <c r="F236" s="330"/>
      <c r="G236" s="330"/>
      <c r="H236" s="330"/>
      <c r="I236" s="330"/>
      <c r="J236" s="330"/>
      <c r="K236" s="330"/>
      <c r="L236" s="330"/>
      <c r="M236" s="330"/>
      <c r="N236" s="330"/>
      <c r="O236" s="330"/>
      <c r="P236" s="330"/>
      <c r="Q236" s="330"/>
      <c r="R236" s="330"/>
      <c r="S236" s="330"/>
      <c r="T236" s="330"/>
      <c r="U236" s="330"/>
      <c r="V236" s="330"/>
      <c r="W236" s="330"/>
    </row>
    <row r="237" spans="6:23" x14ac:dyDescent="0.15">
      <c r="F237" s="330"/>
      <c r="G237" s="330"/>
      <c r="H237" s="330"/>
      <c r="I237" s="330"/>
      <c r="J237" s="330"/>
      <c r="K237" s="330"/>
      <c r="L237" s="330"/>
      <c r="M237" s="330"/>
      <c r="N237" s="330"/>
      <c r="O237" s="330"/>
      <c r="P237" s="330"/>
      <c r="Q237" s="330"/>
      <c r="R237" s="330"/>
      <c r="S237" s="330"/>
      <c r="T237" s="330"/>
      <c r="U237" s="330"/>
      <c r="V237" s="330"/>
      <c r="W237" s="330"/>
    </row>
    <row r="238" spans="6:23" x14ac:dyDescent="0.15">
      <c r="F238" s="330"/>
      <c r="G238" s="330"/>
      <c r="H238" s="330"/>
      <c r="I238" s="330"/>
      <c r="J238" s="330"/>
      <c r="K238" s="330"/>
      <c r="L238" s="330"/>
      <c r="M238" s="330"/>
      <c r="N238" s="330"/>
      <c r="O238" s="330"/>
      <c r="P238" s="330"/>
      <c r="Q238" s="330"/>
      <c r="R238" s="330"/>
      <c r="S238" s="330"/>
      <c r="T238" s="330"/>
      <c r="U238" s="330"/>
      <c r="V238" s="330"/>
      <c r="W238" s="330"/>
    </row>
    <row r="239" spans="6:23" x14ac:dyDescent="0.15">
      <c r="F239" s="330"/>
      <c r="G239" s="330"/>
      <c r="H239" s="330"/>
      <c r="I239" s="330"/>
      <c r="J239" s="330"/>
      <c r="K239" s="330"/>
      <c r="L239" s="330"/>
      <c r="M239" s="330"/>
      <c r="N239" s="330"/>
      <c r="O239" s="330"/>
      <c r="P239" s="330"/>
      <c r="Q239" s="330"/>
      <c r="R239" s="330"/>
      <c r="S239" s="330"/>
      <c r="T239" s="330"/>
      <c r="U239" s="330"/>
      <c r="V239" s="330"/>
      <c r="W239" s="330"/>
    </row>
    <row r="240" spans="6:23" x14ac:dyDescent="0.15">
      <c r="F240" s="330"/>
      <c r="G240" s="330"/>
      <c r="H240" s="330"/>
      <c r="I240" s="330"/>
      <c r="J240" s="330"/>
      <c r="K240" s="330"/>
      <c r="L240" s="330"/>
      <c r="M240" s="330"/>
      <c r="N240" s="330"/>
      <c r="O240" s="330"/>
      <c r="P240" s="330"/>
      <c r="Q240" s="330"/>
      <c r="R240" s="330"/>
      <c r="S240" s="330"/>
      <c r="T240" s="330"/>
      <c r="U240" s="330"/>
      <c r="V240" s="330"/>
      <c r="W240" s="330"/>
    </row>
    <row r="241" spans="6:23" x14ac:dyDescent="0.15">
      <c r="F241" s="330"/>
      <c r="G241" s="330"/>
      <c r="H241" s="330"/>
      <c r="I241" s="330"/>
      <c r="J241" s="330"/>
      <c r="K241" s="330"/>
      <c r="L241" s="330"/>
      <c r="M241" s="330"/>
      <c r="N241" s="330"/>
      <c r="O241" s="330"/>
      <c r="P241" s="330"/>
      <c r="Q241" s="330"/>
      <c r="R241" s="330"/>
      <c r="S241" s="330"/>
      <c r="T241" s="330"/>
      <c r="U241" s="330"/>
      <c r="V241" s="330"/>
      <c r="W241" s="330"/>
    </row>
    <row r="242" spans="6:23" x14ac:dyDescent="0.15">
      <c r="F242" s="330"/>
      <c r="G242" s="330"/>
      <c r="H242" s="330"/>
      <c r="I242" s="330"/>
      <c r="J242" s="330"/>
      <c r="K242" s="330"/>
      <c r="L242" s="330"/>
      <c r="M242" s="330"/>
      <c r="N242" s="330"/>
      <c r="O242" s="330"/>
      <c r="P242" s="330"/>
      <c r="Q242" s="330"/>
      <c r="R242" s="330"/>
      <c r="S242" s="330"/>
      <c r="T242" s="330"/>
      <c r="U242" s="330"/>
      <c r="V242" s="330"/>
      <c r="W242" s="330"/>
    </row>
    <row r="243" spans="6:23" x14ac:dyDescent="0.15">
      <c r="F243" s="330"/>
      <c r="G243" s="330"/>
      <c r="H243" s="330"/>
      <c r="I243" s="330"/>
      <c r="J243" s="330"/>
      <c r="K243" s="330"/>
      <c r="L243" s="330"/>
      <c r="M243" s="330"/>
      <c r="N243" s="330"/>
      <c r="O243" s="330"/>
      <c r="P243" s="330"/>
      <c r="Q243" s="330"/>
      <c r="R243" s="330"/>
      <c r="S243" s="330"/>
      <c r="T243" s="330"/>
      <c r="U243" s="330"/>
      <c r="V243" s="330"/>
      <c r="W243" s="330"/>
    </row>
    <row r="244" spans="6:23" x14ac:dyDescent="0.15">
      <c r="F244" s="330"/>
      <c r="G244" s="330"/>
      <c r="H244" s="330"/>
      <c r="I244" s="330"/>
      <c r="J244" s="330"/>
      <c r="K244" s="330"/>
      <c r="L244" s="330"/>
      <c r="M244" s="330"/>
      <c r="N244" s="330"/>
      <c r="O244" s="330"/>
      <c r="P244" s="330"/>
      <c r="Q244" s="330"/>
      <c r="R244" s="330"/>
      <c r="S244" s="330"/>
      <c r="T244" s="330"/>
      <c r="U244" s="330"/>
      <c r="V244" s="330"/>
      <c r="W244" s="330"/>
    </row>
    <row r="245" spans="6:23" x14ac:dyDescent="0.15">
      <c r="F245" s="330"/>
      <c r="G245" s="330"/>
      <c r="H245" s="330"/>
      <c r="I245" s="330"/>
      <c r="J245" s="330"/>
      <c r="K245" s="330"/>
      <c r="L245" s="330"/>
      <c r="M245" s="330"/>
      <c r="N245" s="330"/>
      <c r="O245" s="330"/>
      <c r="P245" s="330"/>
      <c r="Q245" s="330"/>
      <c r="R245" s="330"/>
      <c r="S245" s="330"/>
      <c r="T245" s="330"/>
      <c r="U245" s="330"/>
      <c r="V245" s="330"/>
      <c r="W245" s="330"/>
    </row>
    <row r="246" spans="6:23" x14ac:dyDescent="0.15">
      <c r="F246" s="330"/>
      <c r="G246" s="330"/>
      <c r="H246" s="330"/>
      <c r="I246" s="330"/>
      <c r="J246" s="330"/>
      <c r="K246" s="330"/>
      <c r="L246" s="330"/>
      <c r="M246" s="330"/>
      <c r="N246" s="330"/>
      <c r="O246" s="330"/>
      <c r="P246" s="330"/>
      <c r="Q246" s="330"/>
      <c r="R246" s="330"/>
      <c r="S246" s="330"/>
      <c r="T246" s="330"/>
      <c r="U246" s="330"/>
      <c r="V246" s="330"/>
      <c r="W246" s="330"/>
    </row>
    <row r="247" spans="6:23" x14ac:dyDescent="0.15">
      <c r="F247" s="330"/>
      <c r="G247" s="330"/>
      <c r="H247" s="330"/>
      <c r="I247" s="330"/>
      <c r="J247" s="330"/>
      <c r="K247" s="330"/>
      <c r="L247" s="330"/>
      <c r="M247" s="330"/>
      <c r="N247" s="330"/>
      <c r="O247" s="330"/>
      <c r="P247" s="330"/>
      <c r="Q247" s="330"/>
      <c r="R247" s="330"/>
      <c r="S247" s="330"/>
      <c r="T247" s="330"/>
      <c r="U247" s="330"/>
      <c r="V247" s="330"/>
      <c r="W247" s="330"/>
    </row>
    <row r="248" spans="6:23" x14ac:dyDescent="0.15">
      <c r="F248" s="330"/>
      <c r="G248" s="330"/>
      <c r="H248" s="330"/>
      <c r="I248" s="330"/>
      <c r="J248" s="330"/>
      <c r="K248" s="330"/>
      <c r="L248" s="330"/>
      <c r="M248" s="330"/>
      <c r="N248" s="330"/>
      <c r="O248" s="330"/>
      <c r="P248" s="330"/>
      <c r="Q248" s="330"/>
      <c r="R248" s="330"/>
      <c r="S248" s="330"/>
      <c r="T248" s="330"/>
      <c r="U248" s="330"/>
      <c r="V248" s="330"/>
      <c r="W248" s="330"/>
    </row>
  </sheetData>
  <sheetProtection sheet="1" objects="1" scenarios="1"/>
  <mergeCells count="1">
    <mergeCell ref="B5:G5"/>
  </mergeCells>
  <phoneticPr fontId="121"/>
  <dataValidations count="5">
    <dataValidation type="list" allowBlank="1" showInputMessage="1" showErrorMessage="1" sqref="C27">
      <formula1>"fsensor,L,C"</formula1>
    </dataValidation>
    <dataValidation type="list" allowBlank="1" showInputMessage="1" showErrorMessage="1" sqref="C33">
      <formula1>"Rs,Rp"</formula1>
    </dataValidation>
    <dataValidation type="decimal" operator="greaterThan" allowBlank="1" showInputMessage="1" showErrorMessage="1" sqref="D30:D32">
      <formula1>0</formula1>
    </dataValidation>
    <dataValidation type="decimal" errorStyle="warning" allowBlank="1" showInputMessage="1" showErrorMessage="1" errorTitle="Extreme Value" error="Please verify the value is correct, note the units are μH, pF, and MHz." sqref="D25:D26">
      <formula1>0.001</formula1>
      <formula2>1000000</formula2>
    </dataValidation>
    <dataValidation allowBlank="1" showDropDown="1" showInputMessage="1" showErrorMessage="1" sqref="C34"/>
  </dataValidations>
  <hyperlinks>
    <hyperlink ref="C12" location="Spiral_Inductor_Designer!A1" display="Spiral Inductor Designer"/>
    <hyperlink ref="C20" location="'Spring Sensor'!A1" display="Spring Sensor Calculator Tool"/>
    <hyperlink ref="C13" location="SkinDepth!A1" display="Skin Depth Calculation"/>
    <hyperlink ref="C14" location="'LDC131x-LDC161x_Config'!A1" display="LDC161x/LDC131xConfig Tool"/>
    <hyperlink ref="C17" location="LDC1101_Calc!A1" display="LDC1101 Calc"/>
    <hyperlink ref="C15" location="'LDC13-16_SensorSetup'!A1" display="LDC131x/LDC161x Sensor Configuration"/>
    <hyperlink ref="C16" location="LDC0851_calc!A1" display="LDC0851 Calculator Tool"/>
    <hyperlink ref="C21" location="LDC2114_Config_tool!A1" display="LDC2114 Config Tool"/>
    <hyperlink ref="C22" location="Metal_Deflection!A1" display="Metal Deflection Calculator"/>
    <hyperlink ref="D6" r:id="rId1"/>
    <hyperlink ref="C18" location="LDC1000_Tools!A1" display="LDC1000_Tools"/>
    <hyperlink ref="C19" location="Encoder_Calc_Tool!A1" display="Encoder Knob Design Tool"/>
  </hyperlinks>
  <pageMargins left="0.7" right="0.7" top="0.75" bottom="0.75" header="0.3" footer="0.3"/>
  <pageSetup orientation="portrait" r:id="rId2"/>
  <drawing r:id="rId3"/>
  <legacyDrawing r:id="rId4"/>
  <oleObjects>
    <mc:AlternateContent xmlns:mc="http://schemas.openxmlformats.org/markup-compatibility/2006">
      <mc:Choice Requires="x14">
        <oleObject progId="Acrobat Document" dvAspect="DVASPECT_ICON" shapeId="1027" r:id="rId5">
          <objectPr locked="0" defaultSize="0" r:id="rId6">
            <anchor moveWithCells="1">
              <from>
                <xdr:col>2</xdr:col>
                <xdr:colOff>0</xdr:colOff>
                <xdr:row>6</xdr:row>
                <xdr:rowOff>0</xdr:rowOff>
              </from>
              <to>
                <xdr:col>2</xdr:col>
                <xdr:colOff>914400</xdr:colOff>
                <xdr:row>8</xdr:row>
                <xdr:rowOff>114300</xdr:rowOff>
              </to>
            </anchor>
          </objectPr>
        </oleObject>
      </mc:Choice>
      <mc:Fallback>
        <oleObject progId="Acrobat Document" dvAspect="DVASPECT_ICON" shapeId="1027" r:id="rId5"/>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4" tint="0.59999389629810485"/>
  </sheetPr>
  <dimension ref="A2:AB328"/>
  <sheetViews>
    <sheetView showGridLines="0" showRowColHeaders="0" topLeftCell="A19" zoomScaleNormal="100" workbookViewId="0">
      <selection activeCell="F204" sqref="F204"/>
    </sheetView>
  </sheetViews>
  <sheetFormatPr defaultRowHeight="13.5" x14ac:dyDescent="0.15"/>
  <cols>
    <col min="1" max="1" width="6.75" style="2" customWidth="1"/>
    <col min="2" max="2" width="42.125" style="2" customWidth="1"/>
    <col min="3" max="3" width="9.125" style="2"/>
    <col min="4" max="4" width="18.5" style="185" customWidth="1"/>
    <col min="5" max="5" width="8.5" style="185" customWidth="1"/>
    <col min="6" max="6" width="52" style="188" customWidth="1"/>
    <col min="7" max="7" width="9.5" style="2" customWidth="1"/>
    <col min="8" max="9" width="8.75" style="2" customWidth="1"/>
    <col min="10" max="243" width="9.125" style="2"/>
    <col min="244" max="244" width="6.75" style="2" customWidth="1"/>
    <col min="245" max="245" width="42.125" style="2" customWidth="1"/>
    <col min="246" max="246" width="9.125" style="2"/>
    <col min="247" max="247" width="17.5" style="2" customWidth="1"/>
    <col min="248" max="248" width="8.5" style="2" customWidth="1"/>
    <col min="249" max="249" width="0" style="2" hidden="1" customWidth="1"/>
    <col min="250" max="250" width="44.875" style="2" customWidth="1"/>
    <col min="251" max="252" width="9.125" style="2"/>
    <col min="253" max="253" width="3.125" style="2" customWidth="1"/>
    <col min="254" max="254" width="3.875" style="2" customWidth="1"/>
    <col min="255" max="255" width="8.5" style="2" customWidth="1"/>
    <col min="256" max="256" width="8.875" style="2" customWidth="1"/>
    <col min="257" max="257" width="7.5" style="2" customWidth="1"/>
    <col min="258" max="258" width="8.25" style="2" customWidth="1"/>
    <col min="259" max="259" width="8" style="2" customWidth="1"/>
    <col min="260" max="260" width="8.125" style="2" customWidth="1"/>
    <col min="261" max="261" width="9" style="2" customWidth="1"/>
    <col min="262" max="262" width="9.125" style="2" customWidth="1"/>
    <col min="263" max="263" width="8.5" style="2" customWidth="1"/>
    <col min="264" max="264" width="11.5" style="2" customWidth="1"/>
    <col min="265" max="499" width="9.125" style="2"/>
    <col min="500" max="500" width="6.75" style="2" customWidth="1"/>
    <col min="501" max="501" width="42.125" style="2" customWidth="1"/>
    <col min="502" max="502" width="9.125" style="2"/>
    <col min="503" max="503" width="17.5" style="2" customWidth="1"/>
    <col min="504" max="504" width="8.5" style="2" customWidth="1"/>
    <col min="505" max="505" width="0" style="2" hidden="1" customWidth="1"/>
    <col min="506" max="506" width="44.875" style="2" customWidth="1"/>
    <col min="507" max="508" width="9.125" style="2"/>
    <col min="509" max="509" width="3.125" style="2" customWidth="1"/>
    <col min="510" max="510" width="3.875" style="2" customWidth="1"/>
    <col min="511" max="511" width="8.5" style="2" customWidth="1"/>
    <col min="512" max="512" width="8.875" style="2" customWidth="1"/>
    <col min="513" max="513" width="7.5" style="2" customWidth="1"/>
    <col min="514" max="514" width="8.25" style="2" customWidth="1"/>
    <col min="515" max="515" width="8" style="2" customWidth="1"/>
    <col min="516" max="516" width="8.125" style="2" customWidth="1"/>
    <col min="517" max="517" width="9" style="2" customWidth="1"/>
    <col min="518" max="518" width="9.125" style="2" customWidth="1"/>
    <col min="519" max="519" width="8.5" style="2" customWidth="1"/>
    <col min="520" max="520" width="11.5" style="2" customWidth="1"/>
    <col min="521" max="755" width="9.125" style="2"/>
    <col min="756" max="756" width="6.75" style="2" customWidth="1"/>
    <col min="757" max="757" width="42.125" style="2" customWidth="1"/>
    <col min="758" max="758" width="9.125" style="2"/>
    <col min="759" max="759" width="17.5" style="2" customWidth="1"/>
    <col min="760" max="760" width="8.5" style="2" customWidth="1"/>
    <col min="761" max="761" width="0" style="2" hidden="1" customWidth="1"/>
    <col min="762" max="762" width="44.875" style="2" customWidth="1"/>
    <col min="763" max="764" width="9.125" style="2"/>
    <col min="765" max="765" width="3.125" style="2" customWidth="1"/>
    <col min="766" max="766" width="3.875" style="2" customWidth="1"/>
    <col min="767" max="767" width="8.5" style="2" customWidth="1"/>
    <col min="768" max="768" width="8.875" style="2" customWidth="1"/>
    <col min="769" max="769" width="7.5" style="2" customWidth="1"/>
    <col min="770" max="770" width="8.25" style="2" customWidth="1"/>
    <col min="771" max="771" width="8" style="2" customWidth="1"/>
    <col min="772" max="772" width="8.125" style="2" customWidth="1"/>
    <col min="773" max="773" width="9" style="2" customWidth="1"/>
    <col min="774" max="774" width="9.125" style="2" customWidth="1"/>
    <col min="775" max="775" width="8.5" style="2" customWidth="1"/>
    <col min="776" max="776" width="11.5" style="2" customWidth="1"/>
    <col min="777" max="1011" width="9.125" style="2"/>
    <col min="1012" max="1012" width="6.75" style="2" customWidth="1"/>
    <col min="1013" max="1013" width="42.125" style="2" customWidth="1"/>
    <col min="1014" max="1014" width="9.125" style="2"/>
    <col min="1015" max="1015" width="17.5" style="2" customWidth="1"/>
    <col min="1016" max="1016" width="8.5" style="2" customWidth="1"/>
    <col min="1017" max="1017" width="0" style="2" hidden="1" customWidth="1"/>
    <col min="1018" max="1018" width="44.875" style="2" customWidth="1"/>
    <col min="1019" max="1020" width="9.125" style="2"/>
    <col min="1021" max="1021" width="3.125" style="2" customWidth="1"/>
    <col min="1022" max="1022" width="3.875" style="2" customWidth="1"/>
    <col min="1023" max="1023" width="8.5" style="2" customWidth="1"/>
    <col min="1024" max="1024" width="8.875" style="2" customWidth="1"/>
    <col min="1025" max="1025" width="7.5" style="2" customWidth="1"/>
    <col min="1026" max="1026" width="8.25" style="2" customWidth="1"/>
    <col min="1027" max="1027" width="8" style="2" customWidth="1"/>
    <col min="1028" max="1028" width="8.125" style="2" customWidth="1"/>
    <col min="1029" max="1029" width="9" style="2" customWidth="1"/>
    <col min="1030" max="1030" width="9.125" style="2" customWidth="1"/>
    <col min="1031" max="1031" width="8.5" style="2" customWidth="1"/>
    <col min="1032" max="1032" width="11.5" style="2" customWidth="1"/>
    <col min="1033" max="1267" width="9.125" style="2"/>
    <col min="1268" max="1268" width="6.75" style="2" customWidth="1"/>
    <col min="1269" max="1269" width="42.125" style="2" customWidth="1"/>
    <col min="1270" max="1270" width="9.125" style="2"/>
    <col min="1271" max="1271" width="17.5" style="2" customWidth="1"/>
    <col min="1272" max="1272" width="8.5" style="2" customWidth="1"/>
    <col min="1273" max="1273" width="0" style="2" hidden="1" customWidth="1"/>
    <col min="1274" max="1274" width="44.875" style="2" customWidth="1"/>
    <col min="1275" max="1276" width="9.125" style="2"/>
    <col min="1277" max="1277" width="3.125" style="2" customWidth="1"/>
    <col min="1278" max="1278" width="3.875" style="2" customWidth="1"/>
    <col min="1279" max="1279" width="8.5" style="2" customWidth="1"/>
    <col min="1280" max="1280" width="8.875" style="2" customWidth="1"/>
    <col min="1281" max="1281" width="7.5" style="2" customWidth="1"/>
    <col min="1282" max="1282" width="8.25" style="2" customWidth="1"/>
    <col min="1283" max="1283" width="8" style="2" customWidth="1"/>
    <col min="1284" max="1284" width="8.125" style="2" customWidth="1"/>
    <col min="1285" max="1285" width="9" style="2" customWidth="1"/>
    <col min="1286" max="1286" width="9.125" style="2" customWidth="1"/>
    <col min="1287" max="1287" width="8.5" style="2" customWidth="1"/>
    <col min="1288" max="1288" width="11.5" style="2" customWidth="1"/>
    <col min="1289" max="1523" width="9.125" style="2"/>
    <col min="1524" max="1524" width="6.75" style="2" customWidth="1"/>
    <col min="1525" max="1525" width="42.125" style="2" customWidth="1"/>
    <col min="1526" max="1526" width="9.125" style="2"/>
    <col min="1527" max="1527" width="17.5" style="2" customWidth="1"/>
    <col min="1528" max="1528" width="8.5" style="2" customWidth="1"/>
    <col min="1529" max="1529" width="0" style="2" hidden="1" customWidth="1"/>
    <col min="1530" max="1530" width="44.875" style="2" customWidth="1"/>
    <col min="1531" max="1532" width="9.125" style="2"/>
    <col min="1533" max="1533" width="3.125" style="2" customWidth="1"/>
    <col min="1534" max="1534" width="3.875" style="2" customWidth="1"/>
    <col min="1535" max="1535" width="8.5" style="2" customWidth="1"/>
    <col min="1536" max="1536" width="8.875" style="2" customWidth="1"/>
    <col min="1537" max="1537" width="7.5" style="2" customWidth="1"/>
    <col min="1538" max="1538" width="8.25" style="2" customWidth="1"/>
    <col min="1539" max="1539" width="8" style="2" customWidth="1"/>
    <col min="1540" max="1540" width="8.125" style="2" customWidth="1"/>
    <col min="1541" max="1541" width="9" style="2" customWidth="1"/>
    <col min="1542" max="1542" width="9.125" style="2" customWidth="1"/>
    <col min="1543" max="1543" width="8.5" style="2" customWidth="1"/>
    <col min="1544" max="1544" width="11.5" style="2" customWidth="1"/>
    <col min="1545" max="1779" width="9.125" style="2"/>
    <col min="1780" max="1780" width="6.75" style="2" customWidth="1"/>
    <col min="1781" max="1781" width="42.125" style="2" customWidth="1"/>
    <col min="1782" max="1782" width="9.125" style="2"/>
    <col min="1783" max="1783" width="17.5" style="2" customWidth="1"/>
    <col min="1784" max="1784" width="8.5" style="2" customWidth="1"/>
    <col min="1785" max="1785" width="0" style="2" hidden="1" customWidth="1"/>
    <col min="1786" max="1786" width="44.875" style="2" customWidth="1"/>
    <col min="1787" max="1788" width="9.125" style="2"/>
    <col min="1789" max="1789" width="3.125" style="2" customWidth="1"/>
    <col min="1790" max="1790" width="3.875" style="2" customWidth="1"/>
    <col min="1791" max="1791" width="8.5" style="2" customWidth="1"/>
    <col min="1792" max="1792" width="8.875" style="2" customWidth="1"/>
    <col min="1793" max="1793" width="7.5" style="2" customWidth="1"/>
    <col min="1794" max="1794" width="8.25" style="2" customWidth="1"/>
    <col min="1795" max="1795" width="8" style="2" customWidth="1"/>
    <col min="1796" max="1796" width="8.125" style="2" customWidth="1"/>
    <col min="1797" max="1797" width="9" style="2" customWidth="1"/>
    <col min="1798" max="1798" width="9.125" style="2" customWidth="1"/>
    <col min="1799" max="1799" width="8.5" style="2" customWidth="1"/>
    <col min="1800" max="1800" width="11.5" style="2" customWidth="1"/>
    <col min="1801" max="2035" width="9.125" style="2"/>
    <col min="2036" max="2036" width="6.75" style="2" customWidth="1"/>
    <col min="2037" max="2037" width="42.125" style="2" customWidth="1"/>
    <col min="2038" max="2038" width="9.125" style="2"/>
    <col min="2039" max="2039" width="17.5" style="2" customWidth="1"/>
    <col min="2040" max="2040" width="8.5" style="2" customWidth="1"/>
    <col min="2041" max="2041" width="0" style="2" hidden="1" customWidth="1"/>
    <col min="2042" max="2042" width="44.875" style="2" customWidth="1"/>
    <col min="2043" max="2044" width="9.125" style="2"/>
    <col min="2045" max="2045" width="3.125" style="2" customWidth="1"/>
    <col min="2046" max="2046" width="3.875" style="2" customWidth="1"/>
    <col min="2047" max="2047" width="8.5" style="2" customWidth="1"/>
    <col min="2048" max="2048" width="8.875" style="2" customWidth="1"/>
    <col min="2049" max="2049" width="7.5" style="2" customWidth="1"/>
    <col min="2050" max="2050" width="8.25" style="2" customWidth="1"/>
    <col min="2051" max="2051" width="8" style="2" customWidth="1"/>
    <col min="2052" max="2052" width="8.125" style="2" customWidth="1"/>
    <col min="2053" max="2053" width="9" style="2" customWidth="1"/>
    <col min="2054" max="2054" width="9.125" style="2" customWidth="1"/>
    <col min="2055" max="2055" width="8.5" style="2" customWidth="1"/>
    <col min="2056" max="2056" width="11.5" style="2" customWidth="1"/>
    <col min="2057" max="2291" width="9.125" style="2"/>
    <col min="2292" max="2292" width="6.75" style="2" customWidth="1"/>
    <col min="2293" max="2293" width="42.125" style="2" customWidth="1"/>
    <col min="2294" max="2294" width="9.125" style="2"/>
    <col min="2295" max="2295" width="17.5" style="2" customWidth="1"/>
    <col min="2296" max="2296" width="8.5" style="2" customWidth="1"/>
    <col min="2297" max="2297" width="0" style="2" hidden="1" customWidth="1"/>
    <col min="2298" max="2298" width="44.875" style="2" customWidth="1"/>
    <col min="2299" max="2300" width="9.125" style="2"/>
    <col min="2301" max="2301" width="3.125" style="2" customWidth="1"/>
    <col min="2302" max="2302" width="3.875" style="2" customWidth="1"/>
    <col min="2303" max="2303" width="8.5" style="2" customWidth="1"/>
    <col min="2304" max="2304" width="8.875" style="2" customWidth="1"/>
    <col min="2305" max="2305" width="7.5" style="2" customWidth="1"/>
    <col min="2306" max="2306" width="8.25" style="2" customWidth="1"/>
    <col min="2307" max="2307" width="8" style="2" customWidth="1"/>
    <col min="2308" max="2308" width="8.125" style="2" customWidth="1"/>
    <col min="2309" max="2309" width="9" style="2" customWidth="1"/>
    <col min="2310" max="2310" width="9.125" style="2" customWidth="1"/>
    <col min="2311" max="2311" width="8.5" style="2" customWidth="1"/>
    <col min="2312" max="2312" width="11.5" style="2" customWidth="1"/>
    <col min="2313" max="2547" width="9.125" style="2"/>
    <col min="2548" max="2548" width="6.75" style="2" customWidth="1"/>
    <col min="2549" max="2549" width="42.125" style="2" customWidth="1"/>
    <col min="2550" max="2550" width="9.125" style="2"/>
    <col min="2551" max="2551" width="17.5" style="2" customWidth="1"/>
    <col min="2552" max="2552" width="8.5" style="2" customWidth="1"/>
    <col min="2553" max="2553" width="0" style="2" hidden="1" customWidth="1"/>
    <col min="2554" max="2554" width="44.875" style="2" customWidth="1"/>
    <col min="2555" max="2556" width="9.125" style="2"/>
    <col min="2557" max="2557" width="3.125" style="2" customWidth="1"/>
    <col min="2558" max="2558" width="3.875" style="2" customWidth="1"/>
    <col min="2559" max="2559" width="8.5" style="2" customWidth="1"/>
    <col min="2560" max="2560" width="8.875" style="2" customWidth="1"/>
    <col min="2561" max="2561" width="7.5" style="2" customWidth="1"/>
    <col min="2562" max="2562" width="8.25" style="2" customWidth="1"/>
    <col min="2563" max="2563" width="8" style="2" customWidth="1"/>
    <col min="2564" max="2564" width="8.125" style="2" customWidth="1"/>
    <col min="2565" max="2565" width="9" style="2" customWidth="1"/>
    <col min="2566" max="2566" width="9.125" style="2" customWidth="1"/>
    <col min="2567" max="2567" width="8.5" style="2" customWidth="1"/>
    <col min="2568" max="2568" width="11.5" style="2" customWidth="1"/>
    <col min="2569" max="2803" width="9.125" style="2"/>
    <col min="2804" max="2804" width="6.75" style="2" customWidth="1"/>
    <col min="2805" max="2805" width="42.125" style="2" customWidth="1"/>
    <col min="2806" max="2806" width="9.125" style="2"/>
    <col min="2807" max="2807" width="17.5" style="2" customWidth="1"/>
    <col min="2808" max="2808" width="8.5" style="2" customWidth="1"/>
    <col min="2809" max="2809" width="0" style="2" hidden="1" customWidth="1"/>
    <col min="2810" max="2810" width="44.875" style="2" customWidth="1"/>
    <col min="2811" max="2812" width="9.125" style="2"/>
    <col min="2813" max="2813" width="3.125" style="2" customWidth="1"/>
    <col min="2814" max="2814" width="3.875" style="2" customWidth="1"/>
    <col min="2815" max="2815" width="8.5" style="2" customWidth="1"/>
    <col min="2816" max="2816" width="8.875" style="2" customWidth="1"/>
    <col min="2817" max="2817" width="7.5" style="2" customWidth="1"/>
    <col min="2818" max="2818" width="8.25" style="2" customWidth="1"/>
    <col min="2819" max="2819" width="8" style="2" customWidth="1"/>
    <col min="2820" max="2820" width="8.125" style="2" customWidth="1"/>
    <col min="2821" max="2821" width="9" style="2" customWidth="1"/>
    <col min="2822" max="2822" width="9.125" style="2" customWidth="1"/>
    <col min="2823" max="2823" width="8.5" style="2" customWidth="1"/>
    <col min="2824" max="2824" width="11.5" style="2" customWidth="1"/>
    <col min="2825" max="3059" width="9.125" style="2"/>
    <col min="3060" max="3060" width="6.75" style="2" customWidth="1"/>
    <col min="3061" max="3061" width="42.125" style="2" customWidth="1"/>
    <col min="3062" max="3062" width="9.125" style="2"/>
    <col min="3063" max="3063" width="17.5" style="2" customWidth="1"/>
    <col min="3064" max="3064" width="8.5" style="2" customWidth="1"/>
    <col min="3065" max="3065" width="0" style="2" hidden="1" customWidth="1"/>
    <col min="3066" max="3066" width="44.875" style="2" customWidth="1"/>
    <col min="3067" max="3068" width="9.125" style="2"/>
    <col min="3069" max="3069" width="3.125" style="2" customWidth="1"/>
    <col min="3070" max="3070" width="3.875" style="2" customWidth="1"/>
    <col min="3071" max="3071" width="8.5" style="2" customWidth="1"/>
    <col min="3072" max="3072" width="8.875" style="2" customWidth="1"/>
    <col min="3073" max="3073" width="7.5" style="2" customWidth="1"/>
    <col min="3074" max="3074" width="8.25" style="2" customWidth="1"/>
    <col min="3075" max="3075" width="8" style="2" customWidth="1"/>
    <col min="3076" max="3076" width="8.125" style="2" customWidth="1"/>
    <col min="3077" max="3077" width="9" style="2" customWidth="1"/>
    <col min="3078" max="3078" width="9.125" style="2" customWidth="1"/>
    <col min="3079" max="3079" width="8.5" style="2" customWidth="1"/>
    <col min="3080" max="3080" width="11.5" style="2" customWidth="1"/>
    <col min="3081" max="3315" width="9.125" style="2"/>
    <col min="3316" max="3316" width="6.75" style="2" customWidth="1"/>
    <col min="3317" max="3317" width="42.125" style="2" customWidth="1"/>
    <col min="3318" max="3318" width="9.125" style="2"/>
    <col min="3319" max="3319" width="17.5" style="2" customWidth="1"/>
    <col min="3320" max="3320" width="8.5" style="2" customWidth="1"/>
    <col min="3321" max="3321" width="0" style="2" hidden="1" customWidth="1"/>
    <col min="3322" max="3322" width="44.875" style="2" customWidth="1"/>
    <col min="3323" max="3324" width="9.125" style="2"/>
    <col min="3325" max="3325" width="3.125" style="2" customWidth="1"/>
    <col min="3326" max="3326" width="3.875" style="2" customWidth="1"/>
    <col min="3327" max="3327" width="8.5" style="2" customWidth="1"/>
    <col min="3328" max="3328" width="8.875" style="2" customWidth="1"/>
    <col min="3329" max="3329" width="7.5" style="2" customWidth="1"/>
    <col min="3330" max="3330" width="8.25" style="2" customWidth="1"/>
    <col min="3331" max="3331" width="8" style="2" customWidth="1"/>
    <col min="3332" max="3332" width="8.125" style="2" customWidth="1"/>
    <col min="3333" max="3333" width="9" style="2" customWidth="1"/>
    <col min="3334" max="3334" width="9.125" style="2" customWidth="1"/>
    <col min="3335" max="3335" width="8.5" style="2" customWidth="1"/>
    <col min="3336" max="3336" width="11.5" style="2" customWidth="1"/>
    <col min="3337" max="3571" width="9.125" style="2"/>
    <col min="3572" max="3572" width="6.75" style="2" customWidth="1"/>
    <col min="3573" max="3573" width="42.125" style="2" customWidth="1"/>
    <col min="3574" max="3574" width="9.125" style="2"/>
    <col min="3575" max="3575" width="17.5" style="2" customWidth="1"/>
    <col min="3576" max="3576" width="8.5" style="2" customWidth="1"/>
    <col min="3577" max="3577" width="0" style="2" hidden="1" customWidth="1"/>
    <col min="3578" max="3578" width="44.875" style="2" customWidth="1"/>
    <col min="3579" max="3580" width="9.125" style="2"/>
    <col min="3581" max="3581" width="3.125" style="2" customWidth="1"/>
    <col min="3582" max="3582" width="3.875" style="2" customWidth="1"/>
    <col min="3583" max="3583" width="8.5" style="2" customWidth="1"/>
    <col min="3584" max="3584" width="8.875" style="2" customWidth="1"/>
    <col min="3585" max="3585" width="7.5" style="2" customWidth="1"/>
    <col min="3586" max="3586" width="8.25" style="2" customWidth="1"/>
    <col min="3587" max="3587" width="8" style="2" customWidth="1"/>
    <col min="3588" max="3588" width="8.125" style="2" customWidth="1"/>
    <col min="3589" max="3589" width="9" style="2" customWidth="1"/>
    <col min="3590" max="3590" width="9.125" style="2" customWidth="1"/>
    <col min="3591" max="3591" width="8.5" style="2" customWidth="1"/>
    <col min="3592" max="3592" width="11.5" style="2" customWidth="1"/>
    <col min="3593" max="3827" width="9.125" style="2"/>
    <col min="3828" max="3828" width="6.75" style="2" customWidth="1"/>
    <col min="3829" max="3829" width="42.125" style="2" customWidth="1"/>
    <col min="3830" max="3830" width="9.125" style="2"/>
    <col min="3831" max="3831" width="17.5" style="2" customWidth="1"/>
    <col min="3832" max="3832" width="8.5" style="2" customWidth="1"/>
    <col min="3833" max="3833" width="0" style="2" hidden="1" customWidth="1"/>
    <col min="3834" max="3834" width="44.875" style="2" customWidth="1"/>
    <col min="3835" max="3836" width="9.125" style="2"/>
    <col min="3837" max="3837" width="3.125" style="2" customWidth="1"/>
    <col min="3838" max="3838" width="3.875" style="2" customWidth="1"/>
    <col min="3839" max="3839" width="8.5" style="2" customWidth="1"/>
    <col min="3840" max="3840" width="8.875" style="2" customWidth="1"/>
    <col min="3841" max="3841" width="7.5" style="2" customWidth="1"/>
    <col min="3842" max="3842" width="8.25" style="2" customWidth="1"/>
    <col min="3843" max="3843" width="8" style="2" customWidth="1"/>
    <col min="3844" max="3844" width="8.125" style="2" customWidth="1"/>
    <col min="3845" max="3845" width="9" style="2" customWidth="1"/>
    <col min="3846" max="3846" width="9.125" style="2" customWidth="1"/>
    <col min="3847" max="3847" width="8.5" style="2" customWidth="1"/>
    <col min="3848" max="3848" width="11.5" style="2" customWidth="1"/>
    <col min="3849" max="4083" width="9.125" style="2"/>
    <col min="4084" max="4084" width="6.75" style="2" customWidth="1"/>
    <col min="4085" max="4085" width="42.125" style="2" customWidth="1"/>
    <col min="4086" max="4086" width="9.125" style="2"/>
    <col min="4087" max="4087" width="17.5" style="2" customWidth="1"/>
    <col min="4088" max="4088" width="8.5" style="2" customWidth="1"/>
    <col min="4089" max="4089" width="0" style="2" hidden="1" customWidth="1"/>
    <col min="4090" max="4090" width="44.875" style="2" customWidth="1"/>
    <col min="4091" max="4092" width="9.125" style="2"/>
    <col min="4093" max="4093" width="3.125" style="2" customWidth="1"/>
    <col min="4094" max="4094" width="3.875" style="2" customWidth="1"/>
    <col min="4095" max="4095" width="8.5" style="2" customWidth="1"/>
    <col min="4096" max="4096" width="8.875" style="2" customWidth="1"/>
    <col min="4097" max="4097" width="7.5" style="2" customWidth="1"/>
    <col min="4098" max="4098" width="8.25" style="2" customWidth="1"/>
    <col min="4099" max="4099" width="8" style="2" customWidth="1"/>
    <col min="4100" max="4100" width="8.125" style="2" customWidth="1"/>
    <col min="4101" max="4101" width="9" style="2" customWidth="1"/>
    <col min="4102" max="4102" width="9.125" style="2" customWidth="1"/>
    <col min="4103" max="4103" width="8.5" style="2" customWidth="1"/>
    <col min="4104" max="4104" width="11.5" style="2" customWidth="1"/>
    <col min="4105" max="4339" width="9.125" style="2"/>
    <col min="4340" max="4340" width="6.75" style="2" customWidth="1"/>
    <col min="4341" max="4341" width="42.125" style="2" customWidth="1"/>
    <col min="4342" max="4342" width="9.125" style="2"/>
    <col min="4343" max="4343" width="17.5" style="2" customWidth="1"/>
    <col min="4344" max="4344" width="8.5" style="2" customWidth="1"/>
    <col min="4345" max="4345" width="0" style="2" hidden="1" customWidth="1"/>
    <col min="4346" max="4346" width="44.875" style="2" customWidth="1"/>
    <col min="4347" max="4348" width="9.125" style="2"/>
    <col min="4349" max="4349" width="3.125" style="2" customWidth="1"/>
    <col min="4350" max="4350" width="3.875" style="2" customWidth="1"/>
    <col min="4351" max="4351" width="8.5" style="2" customWidth="1"/>
    <col min="4352" max="4352" width="8.875" style="2" customWidth="1"/>
    <col min="4353" max="4353" width="7.5" style="2" customWidth="1"/>
    <col min="4354" max="4354" width="8.25" style="2" customWidth="1"/>
    <col min="4355" max="4355" width="8" style="2" customWidth="1"/>
    <col min="4356" max="4356" width="8.125" style="2" customWidth="1"/>
    <col min="4357" max="4357" width="9" style="2" customWidth="1"/>
    <col min="4358" max="4358" width="9.125" style="2" customWidth="1"/>
    <col min="4359" max="4359" width="8.5" style="2" customWidth="1"/>
    <col min="4360" max="4360" width="11.5" style="2" customWidth="1"/>
    <col min="4361" max="4595" width="9.125" style="2"/>
    <col min="4596" max="4596" width="6.75" style="2" customWidth="1"/>
    <col min="4597" max="4597" width="42.125" style="2" customWidth="1"/>
    <col min="4598" max="4598" width="9.125" style="2"/>
    <col min="4599" max="4599" width="17.5" style="2" customWidth="1"/>
    <col min="4600" max="4600" width="8.5" style="2" customWidth="1"/>
    <col min="4601" max="4601" width="0" style="2" hidden="1" customWidth="1"/>
    <col min="4602" max="4602" width="44.875" style="2" customWidth="1"/>
    <col min="4603" max="4604" width="9.125" style="2"/>
    <col min="4605" max="4605" width="3.125" style="2" customWidth="1"/>
    <col min="4606" max="4606" width="3.875" style="2" customWidth="1"/>
    <col min="4607" max="4607" width="8.5" style="2" customWidth="1"/>
    <col min="4608" max="4608" width="8.875" style="2" customWidth="1"/>
    <col min="4609" max="4609" width="7.5" style="2" customWidth="1"/>
    <col min="4610" max="4610" width="8.25" style="2" customWidth="1"/>
    <col min="4611" max="4611" width="8" style="2" customWidth="1"/>
    <col min="4612" max="4612" width="8.125" style="2" customWidth="1"/>
    <col min="4613" max="4613" width="9" style="2" customWidth="1"/>
    <col min="4614" max="4614" width="9.125" style="2" customWidth="1"/>
    <col min="4615" max="4615" width="8.5" style="2" customWidth="1"/>
    <col min="4616" max="4616" width="11.5" style="2" customWidth="1"/>
    <col min="4617" max="4851" width="9.125" style="2"/>
    <col min="4852" max="4852" width="6.75" style="2" customWidth="1"/>
    <col min="4853" max="4853" width="42.125" style="2" customWidth="1"/>
    <col min="4854" max="4854" width="9.125" style="2"/>
    <col min="4855" max="4855" width="17.5" style="2" customWidth="1"/>
    <col min="4856" max="4856" width="8.5" style="2" customWidth="1"/>
    <col min="4857" max="4857" width="0" style="2" hidden="1" customWidth="1"/>
    <col min="4858" max="4858" width="44.875" style="2" customWidth="1"/>
    <col min="4859" max="4860" width="9.125" style="2"/>
    <col min="4861" max="4861" width="3.125" style="2" customWidth="1"/>
    <col min="4862" max="4862" width="3.875" style="2" customWidth="1"/>
    <col min="4863" max="4863" width="8.5" style="2" customWidth="1"/>
    <col min="4864" max="4864" width="8.875" style="2" customWidth="1"/>
    <col min="4865" max="4865" width="7.5" style="2" customWidth="1"/>
    <col min="4866" max="4866" width="8.25" style="2" customWidth="1"/>
    <col min="4867" max="4867" width="8" style="2" customWidth="1"/>
    <col min="4868" max="4868" width="8.125" style="2" customWidth="1"/>
    <col min="4869" max="4869" width="9" style="2" customWidth="1"/>
    <col min="4870" max="4870" width="9.125" style="2" customWidth="1"/>
    <col min="4871" max="4871" width="8.5" style="2" customWidth="1"/>
    <col min="4872" max="4872" width="11.5" style="2" customWidth="1"/>
    <col min="4873" max="5107" width="9.125" style="2"/>
    <col min="5108" max="5108" width="6.75" style="2" customWidth="1"/>
    <col min="5109" max="5109" width="42.125" style="2" customWidth="1"/>
    <col min="5110" max="5110" width="9.125" style="2"/>
    <col min="5111" max="5111" width="17.5" style="2" customWidth="1"/>
    <col min="5112" max="5112" width="8.5" style="2" customWidth="1"/>
    <col min="5113" max="5113" width="0" style="2" hidden="1" customWidth="1"/>
    <col min="5114" max="5114" width="44.875" style="2" customWidth="1"/>
    <col min="5115" max="5116" width="9.125" style="2"/>
    <col min="5117" max="5117" width="3.125" style="2" customWidth="1"/>
    <col min="5118" max="5118" width="3.875" style="2" customWidth="1"/>
    <col min="5119" max="5119" width="8.5" style="2" customWidth="1"/>
    <col min="5120" max="5120" width="8.875" style="2" customWidth="1"/>
    <col min="5121" max="5121" width="7.5" style="2" customWidth="1"/>
    <col min="5122" max="5122" width="8.25" style="2" customWidth="1"/>
    <col min="5123" max="5123" width="8" style="2" customWidth="1"/>
    <col min="5124" max="5124" width="8.125" style="2" customWidth="1"/>
    <col min="5125" max="5125" width="9" style="2" customWidth="1"/>
    <col min="5126" max="5126" width="9.125" style="2" customWidth="1"/>
    <col min="5127" max="5127" width="8.5" style="2" customWidth="1"/>
    <col min="5128" max="5128" width="11.5" style="2" customWidth="1"/>
    <col min="5129" max="5363" width="9.125" style="2"/>
    <col min="5364" max="5364" width="6.75" style="2" customWidth="1"/>
    <col min="5365" max="5365" width="42.125" style="2" customWidth="1"/>
    <col min="5366" max="5366" width="9.125" style="2"/>
    <col min="5367" max="5367" width="17.5" style="2" customWidth="1"/>
    <col min="5368" max="5368" width="8.5" style="2" customWidth="1"/>
    <col min="5369" max="5369" width="0" style="2" hidden="1" customWidth="1"/>
    <col min="5370" max="5370" width="44.875" style="2" customWidth="1"/>
    <col min="5371" max="5372" width="9.125" style="2"/>
    <col min="5373" max="5373" width="3.125" style="2" customWidth="1"/>
    <col min="5374" max="5374" width="3.875" style="2" customWidth="1"/>
    <col min="5375" max="5375" width="8.5" style="2" customWidth="1"/>
    <col min="5376" max="5376" width="8.875" style="2" customWidth="1"/>
    <col min="5377" max="5377" width="7.5" style="2" customWidth="1"/>
    <col min="5378" max="5378" width="8.25" style="2" customWidth="1"/>
    <col min="5379" max="5379" width="8" style="2" customWidth="1"/>
    <col min="5380" max="5380" width="8.125" style="2" customWidth="1"/>
    <col min="5381" max="5381" width="9" style="2" customWidth="1"/>
    <col min="5382" max="5382" width="9.125" style="2" customWidth="1"/>
    <col min="5383" max="5383" width="8.5" style="2" customWidth="1"/>
    <col min="5384" max="5384" width="11.5" style="2" customWidth="1"/>
    <col min="5385" max="5619" width="9.125" style="2"/>
    <col min="5620" max="5620" width="6.75" style="2" customWidth="1"/>
    <col min="5621" max="5621" width="42.125" style="2" customWidth="1"/>
    <col min="5622" max="5622" width="9.125" style="2"/>
    <col min="5623" max="5623" width="17.5" style="2" customWidth="1"/>
    <col min="5624" max="5624" width="8.5" style="2" customWidth="1"/>
    <col min="5625" max="5625" width="0" style="2" hidden="1" customWidth="1"/>
    <col min="5626" max="5626" width="44.875" style="2" customWidth="1"/>
    <col min="5627" max="5628" width="9.125" style="2"/>
    <col min="5629" max="5629" width="3.125" style="2" customWidth="1"/>
    <col min="5630" max="5630" width="3.875" style="2" customWidth="1"/>
    <col min="5631" max="5631" width="8.5" style="2" customWidth="1"/>
    <col min="5632" max="5632" width="8.875" style="2" customWidth="1"/>
    <col min="5633" max="5633" width="7.5" style="2" customWidth="1"/>
    <col min="5634" max="5634" width="8.25" style="2" customWidth="1"/>
    <col min="5635" max="5635" width="8" style="2" customWidth="1"/>
    <col min="5636" max="5636" width="8.125" style="2" customWidth="1"/>
    <col min="5637" max="5637" width="9" style="2" customWidth="1"/>
    <col min="5638" max="5638" width="9.125" style="2" customWidth="1"/>
    <col min="5639" max="5639" width="8.5" style="2" customWidth="1"/>
    <col min="5640" max="5640" width="11.5" style="2" customWidth="1"/>
    <col min="5641" max="5875" width="9.125" style="2"/>
    <col min="5876" max="5876" width="6.75" style="2" customWidth="1"/>
    <col min="5877" max="5877" width="42.125" style="2" customWidth="1"/>
    <col min="5878" max="5878" width="9.125" style="2"/>
    <col min="5879" max="5879" width="17.5" style="2" customWidth="1"/>
    <col min="5880" max="5880" width="8.5" style="2" customWidth="1"/>
    <col min="5881" max="5881" width="0" style="2" hidden="1" customWidth="1"/>
    <col min="5882" max="5882" width="44.875" style="2" customWidth="1"/>
    <col min="5883" max="5884" width="9.125" style="2"/>
    <col min="5885" max="5885" width="3.125" style="2" customWidth="1"/>
    <col min="5886" max="5886" width="3.875" style="2" customWidth="1"/>
    <col min="5887" max="5887" width="8.5" style="2" customWidth="1"/>
    <col min="5888" max="5888" width="8.875" style="2" customWidth="1"/>
    <col min="5889" max="5889" width="7.5" style="2" customWidth="1"/>
    <col min="5890" max="5890" width="8.25" style="2" customWidth="1"/>
    <col min="5891" max="5891" width="8" style="2" customWidth="1"/>
    <col min="5892" max="5892" width="8.125" style="2" customWidth="1"/>
    <col min="5893" max="5893" width="9" style="2" customWidth="1"/>
    <col min="5894" max="5894" width="9.125" style="2" customWidth="1"/>
    <col min="5895" max="5895" width="8.5" style="2" customWidth="1"/>
    <col min="5896" max="5896" width="11.5" style="2" customWidth="1"/>
    <col min="5897" max="6131" width="9.125" style="2"/>
    <col min="6132" max="6132" width="6.75" style="2" customWidth="1"/>
    <col min="6133" max="6133" width="42.125" style="2" customWidth="1"/>
    <col min="6134" max="6134" width="9.125" style="2"/>
    <col min="6135" max="6135" width="17.5" style="2" customWidth="1"/>
    <col min="6136" max="6136" width="8.5" style="2" customWidth="1"/>
    <col min="6137" max="6137" width="0" style="2" hidden="1" customWidth="1"/>
    <col min="6138" max="6138" width="44.875" style="2" customWidth="1"/>
    <col min="6139" max="6140" width="9.125" style="2"/>
    <col min="6141" max="6141" width="3.125" style="2" customWidth="1"/>
    <col min="6142" max="6142" width="3.875" style="2" customWidth="1"/>
    <col min="6143" max="6143" width="8.5" style="2" customWidth="1"/>
    <col min="6144" max="6144" width="8.875" style="2" customWidth="1"/>
    <col min="6145" max="6145" width="7.5" style="2" customWidth="1"/>
    <col min="6146" max="6146" width="8.25" style="2" customWidth="1"/>
    <col min="6147" max="6147" width="8" style="2" customWidth="1"/>
    <col min="6148" max="6148" width="8.125" style="2" customWidth="1"/>
    <col min="6149" max="6149" width="9" style="2" customWidth="1"/>
    <col min="6150" max="6150" width="9.125" style="2" customWidth="1"/>
    <col min="6151" max="6151" width="8.5" style="2" customWidth="1"/>
    <col min="6152" max="6152" width="11.5" style="2" customWidth="1"/>
    <col min="6153" max="6387" width="9.125" style="2"/>
    <col min="6388" max="6388" width="6.75" style="2" customWidth="1"/>
    <col min="6389" max="6389" width="42.125" style="2" customWidth="1"/>
    <col min="6390" max="6390" width="9.125" style="2"/>
    <col min="6391" max="6391" width="17.5" style="2" customWidth="1"/>
    <col min="6392" max="6392" width="8.5" style="2" customWidth="1"/>
    <col min="6393" max="6393" width="0" style="2" hidden="1" customWidth="1"/>
    <col min="6394" max="6394" width="44.875" style="2" customWidth="1"/>
    <col min="6395" max="6396" width="9.125" style="2"/>
    <col min="6397" max="6397" width="3.125" style="2" customWidth="1"/>
    <col min="6398" max="6398" width="3.875" style="2" customWidth="1"/>
    <col min="6399" max="6399" width="8.5" style="2" customWidth="1"/>
    <col min="6400" max="6400" width="8.875" style="2" customWidth="1"/>
    <col min="6401" max="6401" width="7.5" style="2" customWidth="1"/>
    <col min="6402" max="6402" width="8.25" style="2" customWidth="1"/>
    <col min="6403" max="6403" width="8" style="2" customWidth="1"/>
    <col min="6404" max="6404" width="8.125" style="2" customWidth="1"/>
    <col min="6405" max="6405" width="9" style="2" customWidth="1"/>
    <col min="6406" max="6406" width="9.125" style="2" customWidth="1"/>
    <col min="6407" max="6407" width="8.5" style="2" customWidth="1"/>
    <col min="6408" max="6408" width="11.5" style="2" customWidth="1"/>
    <col min="6409" max="6643" width="9.125" style="2"/>
    <col min="6644" max="6644" width="6.75" style="2" customWidth="1"/>
    <col min="6645" max="6645" width="42.125" style="2" customWidth="1"/>
    <col min="6646" max="6646" width="9.125" style="2"/>
    <col min="6647" max="6647" width="17.5" style="2" customWidth="1"/>
    <col min="6648" max="6648" width="8.5" style="2" customWidth="1"/>
    <col min="6649" max="6649" width="0" style="2" hidden="1" customWidth="1"/>
    <col min="6650" max="6650" width="44.875" style="2" customWidth="1"/>
    <col min="6651" max="6652" width="9.125" style="2"/>
    <col min="6653" max="6653" width="3.125" style="2" customWidth="1"/>
    <col min="6654" max="6654" width="3.875" style="2" customWidth="1"/>
    <col min="6655" max="6655" width="8.5" style="2" customWidth="1"/>
    <col min="6656" max="6656" width="8.875" style="2" customWidth="1"/>
    <col min="6657" max="6657" width="7.5" style="2" customWidth="1"/>
    <col min="6658" max="6658" width="8.25" style="2" customWidth="1"/>
    <col min="6659" max="6659" width="8" style="2" customWidth="1"/>
    <col min="6660" max="6660" width="8.125" style="2" customWidth="1"/>
    <col min="6661" max="6661" width="9" style="2" customWidth="1"/>
    <col min="6662" max="6662" width="9.125" style="2" customWidth="1"/>
    <col min="6663" max="6663" width="8.5" style="2" customWidth="1"/>
    <col min="6664" max="6664" width="11.5" style="2" customWidth="1"/>
    <col min="6665" max="6899" width="9.125" style="2"/>
    <col min="6900" max="6900" width="6.75" style="2" customWidth="1"/>
    <col min="6901" max="6901" width="42.125" style="2" customWidth="1"/>
    <col min="6902" max="6902" width="9.125" style="2"/>
    <col min="6903" max="6903" width="17.5" style="2" customWidth="1"/>
    <col min="6904" max="6904" width="8.5" style="2" customWidth="1"/>
    <col min="6905" max="6905" width="0" style="2" hidden="1" customWidth="1"/>
    <col min="6906" max="6906" width="44.875" style="2" customWidth="1"/>
    <col min="6907" max="6908" width="9.125" style="2"/>
    <col min="6909" max="6909" width="3.125" style="2" customWidth="1"/>
    <col min="6910" max="6910" width="3.875" style="2" customWidth="1"/>
    <col min="6911" max="6911" width="8.5" style="2" customWidth="1"/>
    <col min="6912" max="6912" width="8.875" style="2" customWidth="1"/>
    <col min="6913" max="6913" width="7.5" style="2" customWidth="1"/>
    <col min="6914" max="6914" width="8.25" style="2" customWidth="1"/>
    <col min="6915" max="6915" width="8" style="2" customWidth="1"/>
    <col min="6916" max="6916" width="8.125" style="2" customWidth="1"/>
    <col min="6917" max="6917" width="9" style="2" customWidth="1"/>
    <col min="6918" max="6918" width="9.125" style="2" customWidth="1"/>
    <col min="6919" max="6919" width="8.5" style="2" customWidth="1"/>
    <col min="6920" max="6920" width="11.5" style="2" customWidth="1"/>
    <col min="6921" max="7155" width="9.125" style="2"/>
    <col min="7156" max="7156" width="6.75" style="2" customWidth="1"/>
    <col min="7157" max="7157" width="42.125" style="2" customWidth="1"/>
    <col min="7158" max="7158" width="9.125" style="2"/>
    <col min="7159" max="7159" width="17.5" style="2" customWidth="1"/>
    <col min="7160" max="7160" width="8.5" style="2" customWidth="1"/>
    <col min="7161" max="7161" width="0" style="2" hidden="1" customWidth="1"/>
    <col min="7162" max="7162" width="44.875" style="2" customWidth="1"/>
    <col min="7163" max="7164" width="9.125" style="2"/>
    <col min="7165" max="7165" width="3.125" style="2" customWidth="1"/>
    <col min="7166" max="7166" width="3.875" style="2" customWidth="1"/>
    <col min="7167" max="7167" width="8.5" style="2" customWidth="1"/>
    <col min="7168" max="7168" width="8.875" style="2" customWidth="1"/>
    <col min="7169" max="7169" width="7.5" style="2" customWidth="1"/>
    <col min="7170" max="7170" width="8.25" style="2" customWidth="1"/>
    <col min="7171" max="7171" width="8" style="2" customWidth="1"/>
    <col min="7172" max="7172" width="8.125" style="2" customWidth="1"/>
    <col min="7173" max="7173" width="9" style="2" customWidth="1"/>
    <col min="7174" max="7174" width="9.125" style="2" customWidth="1"/>
    <col min="7175" max="7175" width="8.5" style="2" customWidth="1"/>
    <col min="7176" max="7176" width="11.5" style="2" customWidth="1"/>
    <col min="7177" max="7411" width="9.125" style="2"/>
    <col min="7412" max="7412" width="6.75" style="2" customWidth="1"/>
    <col min="7413" max="7413" width="42.125" style="2" customWidth="1"/>
    <col min="7414" max="7414" width="9.125" style="2"/>
    <col min="7415" max="7415" width="17.5" style="2" customWidth="1"/>
    <col min="7416" max="7416" width="8.5" style="2" customWidth="1"/>
    <col min="7417" max="7417" width="0" style="2" hidden="1" customWidth="1"/>
    <col min="7418" max="7418" width="44.875" style="2" customWidth="1"/>
    <col min="7419" max="7420" width="9.125" style="2"/>
    <col min="7421" max="7421" width="3.125" style="2" customWidth="1"/>
    <col min="7422" max="7422" width="3.875" style="2" customWidth="1"/>
    <col min="7423" max="7423" width="8.5" style="2" customWidth="1"/>
    <col min="7424" max="7424" width="8.875" style="2" customWidth="1"/>
    <col min="7425" max="7425" width="7.5" style="2" customWidth="1"/>
    <col min="7426" max="7426" width="8.25" style="2" customWidth="1"/>
    <col min="7427" max="7427" width="8" style="2" customWidth="1"/>
    <col min="7428" max="7428" width="8.125" style="2" customWidth="1"/>
    <col min="7429" max="7429" width="9" style="2" customWidth="1"/>
    <col min="7430" max="7430" width="9.125" style="2" customWidth="1"/>
    <col min="7431" max="7431" width="8.5" style="2" customWidth="1"/>
    <col min="7432" max="7432" width="11.5" style="2" customWidth="1"/>
    <col min="7433" max="7667" width="9.125" style="2"/>
    <col min="7668" max="7668" width="6.75" style="2" customWidth="1"/>
    <col min="7669" max="7669" width="42.125" style="2" customWidth="1"/>
    <col min="7670" max="7670" width="9.125" style="2"/>
    <col min="7671" max="7671" width="17.5" style="2" customWidth="1"/>
    <col min="7672" max="7672" width="8.5" style="2" customWidth="1"/>
    <col min="7673" max="7673" width="0" style="2" hidden="1" customWidth="1"/>
    <col min="7674" max="7674" width="44.875" style="2" customWidth="1"/>
    <col min="7675" max="7676" width="9.125" style="2"/>
    <col min="7677" max="7677" width="3.125" style="2" customWidth="1"/>
    <col min="7678" max="7678" width="3.875" style="2" customWidth="1"/>
    <col min="7679" max="7679" width="8.5" style="2" customWidth="1"/>
    <col min="7680" max="7680" width="8.875" style="2" customWidth="1"/>
    <col min="7681" max="7681" width="7.5" style="2" customWidth="1"/>
    <col min="7682" max="7682" width="8.25" style="2" customWidth="1"/>
    <col min="7683" max="7683" width="8" style="2" customWidth="1"/>
    <col min="7684" max="7684" width="8.125" style="2" customWidth="1"/>
    <col min="7685" max="7685" width="9" style="2" customWidth="1"/>
    <col min="7686" max="7686" width="9.125" style="2" customWidth="1"/>
    <col min="7687" max="7687" width="8.5" style="2" customWidth="1"/>
    <col min="7688" max="7688" width="11.5" style="2" customWidth="1"/>
    <col min="7689" max="7923" width="9.125" style="2"/>
    <col min="7924" max="7924" width="6.75" style="2" customWidth="1"/>
    <col min="7925" max="7925" width="42.125" style="2" customWidth="1"/>
    <col min="7926" max="7926" width="9.125" style="2"/>
    <col min="7927" max="7927" width="17.5" style="2" customWidth="1"/>
    <col min="7928" max="7928" width="8.5" style="2" customWidth="1"/>
    <col min="7929" max="7929" width="0" style="2" hidden="1" customWidth="1"/>
    <col min="7930" max="7930" width="44.875" style="2" customWidth="1"/>
    <col min="7931" max="7932" width="9.125" style="2"/>
    <col min="7933" max="7933" width="3.125" style="2" customWidth="1"/>
    <col min="7934" max="7934" width="3.875" style="2" customWidth="1"/>
    <col min="7935" max="7935" width="8.5" style="2" customWidth="1"/>
    <col min="7936" max="7936" width="8.875" style="2" customWidth="1"/>
    <col min="7937" max="7937" width="7.5" style="2" customWidth="1"/>
    <col min="7938" max="7938" width="8.25" style="2" customWidth="1"/>
    <col min="7939" max="7939" width="8" style="2" customWidth="1"/>
    <col min="7940" max="7940" width="8.125" style="2" customWidth="1"/>
    <col min="7941" max="7941" width="9" style="2" customWidth="1"/>
    <col min="7942" max="7942" width="9.125" style="2" customWidth="1"/>
    <col min="7943" max="7943" width="8.5" style="2" customWidth="1"/>
    <col min="7944" max="7944" width="11.5" style="2" customWidth="1"/>
    <col min="7945" max="8179" width="9.125" style="2"/>
    <col min="8180" max="8180" width="6.75" style="2" customWidth="1"/>
    <col min="8181" max="8181" width="42.125" style="2" customWidth="1"/>
    <col min="8182" max="8182" width="9.125" style="2"/>
    <col min="8183" max="8183" width="17.5" style="2" customWidth="1"/>
    <col min="8184" max="8184" width="8.5" style="2" customWidth="1"/>
    <col min="8185" max="8185" width="0" style="2" hidden="1" customWidth="1"/>
    <col min="8186" max="8186" width="44.875" style="2" customWidth="1"/>
    <col min="8187" max="8188" width="9.125" style="2"/>
    <col min="8189" max="8189" width="3.125" style="2" customWidth="1"/>
    <col min="8190" max="8190" width="3.875" style="2" customWidth="1"/>
    <col min="8191" max="8191" width="8.5" style="2" customWidth="1"/>
    <col min="8192" max="8192" width="8.875" style="2" customWidth="1"/>
    <col min="8193" max="8193" width="7.5" style="2" customWidth="1"/>
    <col min="8194" max="8194" width="8.25" style="2" customWidth="1"/>
    <col min="8195" max="8195" width="8" style="2" customWidth="1"/>
    <col min="8196" max="8196" width="8.125" style="2" customWidth="1"/>
    <col min="8197" max="8197" width="9" style="2" customWidth="1"/>
    <col min="8198" max="8198" width="9.125" style="2" customWidth="1"/>
    <col min="8199" max="8199" width="8.5" style="2" customWidth="1"/>
    <col min="8200" max="8200" width="11.5" style="2" customWidth="1"/>
    <col min="8201" max="8435" width="9.125" style="2"/>
    <col min="8436" max="8436" width="6.75" style="2" customWidth="1"/>
    <col min="8437" max="8437" width="42.125" style="2" customWidth="1"/>
    <col min="8438" max="8438" width="9.125" style="2"/>
    <col min="8439" max="8439" width="17.5" style="2" customWidth="1"/>
    <col min="8440" max="8440" width="8.5" style="2" customWidth="1"/>
    <col min="8441" max="8441" width="0" style="2" hidden="1" customWidth="1"/>
    <col min="8442" max="8442" width="44.875" style="2" customWidth="1"/>
    <col min="8443" max="8444" width="9.125" style="2"/>
    <col min="8445" max="8445" width="3.125" style="2" customWidth="1"/>
    <col min="8446" max="8446" width="3.875" style="2" customWidth="1"/>
    <col min="8447" max="8447" width="8.5" style="2" customWidth="1"/>
    <col min="8448" max="8448" width="8.875" style="2" customWidth="1"/>
    <col min="8449" max="8449" width="7.5" style="2" customWidth="1"/>
    <col min="8450" max="8450" width="8.25" style="2" customWidth="1"/>
    <col min="8451" max="8451" width="8" style="2" customWidth="1"/>
    <col min="8452" max="8452" width="8.125" style="2" customWidth="1"/>
    <col min="8453" max="8453" width="9" style="2" customWidth="1"/>
    <col min="8454" max="8454" width="9.125" style="2" customWidth="1"/>
    <col min="8455" max="8455" width="8.5" style="2" customWidth="1"/>
    <col min="8456" max="8456" width="11.5" style="2" customWidth="1"/>
    <col min="8457" max="8691" width="9.125" style="2"/>
    <col min="8692" max="8692" width="6.75" style="2" customWidth="1"/>
    <col min="8693" max="8693" width="42.125" style="2" customWidth="1"/>
    <col min="8694" max="8694" width="9.125" style="2"/>
    <col min="8695" max="8695" width="17.5" style="2" customWidth="1"/>
    <col min="8696" max="8696" width="8.5" style="2" customWidth="1"/>
    <col min="8697" max="8697" width="0" style="2" hidden="1" customWidth="1"/>
    <col min="8698" max="8698" width="44.875" style="2" customWidth="1"/>
    <col min="8699" max="8700" width="9.125" style="2"/>
    <col min="8701" max="8701" width="3.125" style="2" customWidth="1"/>
    <col min="8702" max="8702" width="3.875" style="2" customWidth="1"/>
    <col min="8703" max="8703" width="8.5" style="2" customWidth="1"/>
    <col min="8704" max="8704" width="8.875" style="2" customWidth="1"/>
    <col min="8705" max="8705" width="7.5" style="2" customWidth="1"/>
    <col min="8706" max="8706" width="8.25" style="2" customWidth="1"/>
    <col min="8707" max="8707" width="8" style="2" customWidth="1"/>
    <col min="8708" max="8708" width="8.125" style="2" customWidth="1"/>
    <col min="8709" max="8709" width="9" style="2" customWidth="1"/>
    <col min="8710" max="8710" width="9.125" style="2" customWidth="1"/>
    <col min="8711" max="8711" width="8.5" style="2" customWidth="1"/>
    <col min="8712" max="8712" width="11.5" style="2" customWidth="1"/>
    <col min="8713" max="8947" width="9.125" style="2"/>
    <col min="8948" max="8948" width="6.75" style="2" customWidth="1"/>
    <col min="8949" max="8949" width="42.125" style="2" customWidth="1"/>
    <col min="8950" max="8950" width="9.125" style="2"/>
    <col min="8951" max="8951" width="17.5" style="2" customWidth="1"/>
    <col min="8952" max="8952" width="8.5" style="2" customWidth="1"/>
    <col min="8953" max="8953" width="0" style="2" hidden="1" customWidth="1"/>
    <col min="8954" max="8954" width="44.875" style="2" customWidth="1"/>
    <col min="8955" max="8956" width="9.125" style="2"/>
    <col min="8957" max="8957" width="3.125" style="2" customWidth="1"/>
    <col min="8958" max="8958" width="3.875" style="2" customWidth="1"/>
    <col min="8959" max="8959" width="8.5" style="2" customWidth="1"/>
    <col min="8960" max="8960" width="8.875" style="2" customWidth="1"/>
    <col min="8961" max="8961" width="7.5" style="2" customWidth="1"/>
    <col min="8962" max="8962" width="8.25" style="2" customWidth="1"/>
    <col min="8963" max="8963" width="8" style="2" customWidth="1"/>
    <col min="8964" max="8964" width="8.125" style="2" customWidth="1"/>
    <col min="8965" max="8965" width="9" style="2" customWidth="1"/>
    <col min="8966" max="8966" width="9.125" style="2" customWidth="1"/>
    <col min="8967" max="8967" width="8.5" style="2" customWidth="1"/>
    <col min="8968" max="8968" width="11.5" style="2" customWidth="1"/>
    <col min="8969" max="9203" width="9.125" style="2"/>
    <col min="9204" max="9204" width="6.75" style="2" customWidth="1"/>
    <col min="9205" max="9205" width="42.125" style="2" customWidth="1"/>
    <col min="9206" max="9206" width="9.125" style="2"/>
    <col min="9207" max="9207" width="17.5" style="2" customWidth="1"/>
    <col min="9208" max="9208" width="8.5" style="2" customWidth="1"/>
    <col min="9209" max="9209" width="0" style="2" hidden="1" customWidth="1"/>
    <col min="9210" max="9210" width="44.875" style="2" customWidth="1"/>
    <col min="9211" max="9212" width="9.125" style="2"/>
    <col min="9213" max="9213" width="3.125" style="2" customWidth="1"/>
    <col min="9214" max="9214" width="3.875" style="2" customWidth="1"/>
    <col min="9215" max="9215" width="8.5" style="2" customWidth="1"/>
    <col min="9216" max="9216" width="8.875" style="2" customWidth="1"/>
    <col min="9217" max="9217" width="7.5" style="2" customWidth="1"/>
    <col min="9218" max="9218" width="8.25" style="2" customWidth="1"/>
    <col min="9219" max="9219" width="8" style="2" customWidth="1"/>
    <col min="9220" max="9220" width="8.125" style="2" customWidth="1"/>
    <col min="9221" max="9221" width="9" style="2" customWidth="1"/>
    <col min="9222" max="9222" width="9.125" style="2" customWidth="1"/>
    <col min="9223" max="9223" width="8.5" style="2" customWidth="1"/>
    <col min="9224" max="9224" width="11.5" style="2" customWidth="1"/>
    <col min="9225" max="9459" width="9.125" style="2"/>
    <col min="9460" max="9460" width="6.75" style="2" customWidth="1"/>
    <col min="9461" max="9461" width="42.125" style="2" customWidth="1"/>
    <col min="9462" max="9462" width="9.125" style="2"/>
    <col min="9463" max="9463" width="17.5" style="2" customWidth="1"/>
    <col min="9464" max="9464" width="8.5" style="2" customWidth="1"/>
    <col min="9465" max="9465" width="0" style="2" hidden="1" customWidth="1"/>
    <col min="9466" max="9466" width="44.875" style="2" customWidth="1"/>
    <col min="9467" max="9468" width="9.125" style="2"/>
    <col min="9469" max="9469" width="3.125" style="2" customWidth="1"/>
    <col min="9470" max="9470" width="3.875" style="2" customWidth="1"/>
    <col min="9471" max="9471" width="8.5" style="2" customWidth="1"/>
    <col min="9472" max="9472" width="8.875" style="2" customWidth="1"/>
    <col min="9473" max="9473" width="7.5" style="2" customWidth="1"/>
    <col min="9474" max="9474" width="8.25" style="2" customWidth="1"/>
    <col min="9475" max="9475" width="8" style="2" customWidth="1"/>
    <col min="9476" max="9476" width="8.125" style="2" customWidth="1"/>
    <col min="9477" max="9477" width="9" style="2" customWidth="1"/>
    <col min="9478" max="9478" width="9.125" style="2" customWidth="1"/>
    <col min="9479" max="9479" width="8.5" style="2" customWidth="1"/>
    <col min="9480" max="9480" width="11.5" style="2" customWidth="1"/>
    <col min="9481" max="9715" width="9.125" style="2"/>
    <col min="9716" max="9716" width="6.75" style="2" customWidth="1"/>
    <col min="9717" max="9717" width="42.125" style="2" customWidth="1"/>
    <col min="9718" max="9718" width="9.125" style="2"/>
    <col min="9719" max="9719" width="17.5" style="2" customWidth="1"/>
    <col min="9720" max="9720" width="8.5" style="2" customWidth="1"/>
    <col min="9721" max="9721" width="0" style="2" hidden="1" customWidth="1"/>
    <col min="9722" max="9722" width="44.875" style="2" customWidth="1"/>
    <col min="9723" max="9724" width="9.125" style="2"/>
    <col min="9725" max="9725" width="3.125" style="2" customWidth="1"/>
    <col min="9726" max="9726" width="3.875" style="2" customWidth="1"/>
    <col min="9727" max="9727" width="8.5" style="2" customWidth="1"/>
    <col min="9728" max="9728" width="8.875" style="2" customWidth="1"/>
    <col min="9729" max="9729" width="7.5" style="2" customWidth="1"/>
    <col min="9730" max="9730" width="8.25" style="2" customWidth="1"/>
    <col min="9731" max="9731" width="8" style="2" customWidth="1"/>
    <col min="9732" max="9732" width="8.125" style="2" customWidth="1"/>
    <col min="9733" max="9733" width="9" style="2" customWidth="1"/>
    <col min="9734" max="9734" width="9.125" style="2" customWidth="1"/>
    <col min="9735" max="9735" width="8.5" style="2" customWidth="1"/>
    <col min="9736" max="9736" width="11.5" style="2" customWidth="1"/>
    <col min="9737" max="9971" width="9.125" style="2"/>
    <col min="9972" max="9972" width="6.75" style="2" customWidth="1"/>
    <col min="9973" max="9973" width="42.125" style="2" customWidth="1"/>
    <col min="9974" max="9974" width="9.125" style="2"/>
    <col min="9975" max="9975" width="17.5" style="2" customWidth="1"/>
    <col min="9976" max="9976" width="8.5" style="2" customWidth="1"/>
    <col min="9977" max="9977" width="0" style="2" hidden="1" customWidth="1"/>
    <col min="9978" max="9978" width="44.875" style="2" customWidth="1"/>
    <col min="9979" max="9980" width="9.125" style="2"/>
    <col min="9981" max="9981" width="3.125" style="2" customWidth="1"/>
    <col min="9982" max="9982" width="3.875" style="2" customWidth="1"/>
    <col min="9983" max="9983" width="8.5" style="2" customWidth="1"/>
    <col min="9984" max="9984" width="8.875" style="2" customWidth="1"/>
    <col min="9985" max="9985" width="7.5" style="2" customWidth="1"/>
    <col min="9986" max="9986" width="8.25" style="2" customWidth="1"/>
    <col min="9987" max="9987" width="8" style="2" customWidth="1"/>
    <col min="9988" max="9988" width="8.125" style="2" customWidth="1"/>
    <col min="9989" max="9989" width="9" style="2" customWidth="1"/>
    <col min="9990" max="9990" width="9.125" style="2" customWidth="1"/>
    <col min="9991" max="9991" width="8.5" style="2" customWidth="1"/>
    <col min="9992" max="9992" width="11.5" style="2" customWidth="1"/>
    <col min="9993" max="10227" width="9.125" style="2"/>
    <col min="10228" max="10228" width="6.75" style="2" customWidth="1"/>
    <col min="10229" max="10229" width="42.125" style="2" customWidth="1"/>
    <col min="10230" max="10230" width="9.125" style="2"/>
    <col min="10231" max="10231" width="17.5" style="2" customWidth="1"/>
    <col min="10232" max="10232" width="8.5" style="2" customWidth="1"/>
    <col min="10233" max="10233" width="0" style="2" hidden="1" customWidth="1"/>
    <col min="10234" max="10234" width="44.875" style="2" customWidth="1"/>
    <col min="10235" max="10236" width="9.125" style="2"/>
    <col min="10237" max="10237" width="3.125" style="2" customWidth="1"/>
    <col min="10238" max="10238" width="3.875" style="2" customWidth="1"/>
    <col min="10239" max="10239" width="8.5" style="2" customWidth="1"/>
    <col min="10240" max="10240" width="8.875" style="2" customWidth="1"/>
    <col min="10241" max="10241" width="7.5" style="2" customWidth="1"/>
    <col min="10242" max="10242" width="8.25" style="2" customWidth="1"/>
    <col min="10243" max="10243" width="8" style="2" customWidth="1"/>
    <col min="10244" max="10244" width="8.125" style="2" customWidth="1"/>
    <col min="10245" max="10245" width="9" style="2" customWidth="1"/>
    <col min="10246" max="10246" width="9.125" style="2" customWidth="1"/>
    <col min="10247" max="10247" width="8.5" style="2" customWidth="1"/>
    <col min="10248" max="10248" width="11.5" style="2" customWidth="1"/>
    <col min="10249" max="10483" width="9.125" style="2"/>
    <col min="10484" max="10484" width="6.75" style="2" customWidth="1"/>
    <col min="10485" max="10485" width="42.125" style="2" customWidth="1"/>
    <col min="10486" max="10486" width="9.125" style="2"/>
    <col min="10487" max="10487" width="17.5" style="2" customWidth="1"/>
    <col min="10488" max="10488" width="8.5" style="2" customWidth="1"/>
    <col min="10489" max="10489" width="0" style="2" hidden="1" customWidth="1"/>
    <col min="10490" max="10490" width="44.875" style="2" customWidth="1"/>
    <col min="10491" max="10492" width="9.125" style="2"/>
    <col min="10493" max="10493" width="3.125" style="2" customWidth="1"/>
    <col min="10494" max="10494" width="3.875" style="2" customWidth="1"/>
    <col min="10495" max="10495" width="8.5" style="2" customWidth="1"/>
    <col min="10496" max="10496" width="8.875" style="2" customWidth="1"/>
    <col min="10497" max="10497" width="7.5" style="2" customWidth="1"/>
    <col min="10498" max="10498" width="8.25" style="2" customWidth="1"/>
    <col min="10499" max="10499" width="8" style="2" customWidth="1"/>
    <col min="10500" max="10500" width="8.125" style="2" customWidth="1"/>
    <col min="10501" max="10501" width="9" style="2" customWidth="1"/>
    <col min="10502" max="10502" width="9.125" style="2" customWidth="1"/>
    <col min="10503" max="10503" width="8.5" style="2" customWidth="1"/>
    <col min="10504" max="10504" width="11.5" style="2" customWidth="1"/>
    <col min="10505" max="10739" width="9.125" style="2"/>
    <col min="10740" max="10740" width="6.75" style="2" customWidth="1"/>
    <col min="10741" max="10741" width="42.125" style="2" customWidth="1"/>
    <col min="10742" max="10742" width="9.125" style="2"/>
    <col min="10743" max="10743" width="17.5" style="2" customWidth="1"/>
    <col min="10744" max="10744" width="8.5" style="2" customWidth="1"/>
    <col min="10745" max="10745" width="0" style="2" hidden="1" customWidth="1"/>
    <col min="10746" max="10746" width="44.875" style="2" customWidth="1"/>
    <col min="10747" max="10748" width="9.125" style="2"/>
    <col min="10749" max="10749" width="3.125" style="2" customWidth="1"/>
    <col min="10750" max="10750" width="3.875" style="2" customWidth="1"/>
    <col min="10751" max="10751" width="8.5" style="2" customWidth="1"/>
    <col min="10752" max="10752" width="8.875" style="2" customWidth="1"/>
    <col min="10753" max="10753" width="7.5" style="2" customWidth="1"/>
    <col min="10754" max="10754" width="8.25" style="2" customWidth="1"/>
    <col min="10755" max="10755" width="8" style="2" customWidth="1"/>
    <col min="10756" max="10756" width="8.125" style="2" customWidth="1"/>
    <col min="10757" max="10757" width="9" style="2" customWidth="1"/>
    <col min="10758" max="10758" width="9.125" style="2" customWidth="1"/>
    <col min="10759" max="10759" width="8.5" style="2" customWidth="1"/>
    <col min="10760" max="10760" width="11.5" style="2" customWidth="1"/>
    <col min="10761" max="10995" width="9.125" style="2"/>
    <col min="10996" max="10996" width="6.75" style="2" customWidth="1"/>
    <col min="10997" max="10997" width="42.125" style="2" customWidth="1"/>
    <col min="10998" max="10998" width="9.125" style="2"/>
    <col min="10999" max="10999" width="17.5" style="2" customWidth="1"/>
    <col min="11000" max="11000" width="8.5" style="2" customWidth="1"/>
    <col min="11001" max="11001" width="0" style="2" hidden="1" customWidth="1"/>
    <col min="11002" max="11002" width="44.875" style="2" customWidth="1"/>
    <col min="11003" max="11004" width="9.125" style="2"/>
    <col min="11005" max="11005" width="3.125" style="2" customWidth="1"/>
    <col min="11006" max="11006" width="3.875" style="2" customWidth="1"/>
    <col min="11007" max="11007" width="8.5" style="2" customWidth="1"/>
    <col min="11008" max="11008" width="8.875" style="2" customWidth="1"/>
    <col min="11009" max="11009" width="7.5" style="2" customWidth="1"/>
    <col min="11010" max="11010" width="8.25" style="2" customWidth="1"/>
    <col min="11011" max="11011" width="8" style="2" customWidth="1"/>
    <col min="11012" max="11012" width="8.125" style="2" customWidth="1"/>
    <col min="11013" max="11013" width="9" style="2" customWidth="1"/>
    <col min="11014" max="11014" width="9.125" style="2" customWidth="1"/>
    <col min="11015" max="11015" width="8.5" style="2" customWidth="1"/>
    <col min="11016" max="11016" width="11.5" style="2" customWidth="1"/>
    <col min="11017" max="11251" width="9.125" style="2"/>
    <col min="11252" max="11252" width="6.75" style="2" customWidth="1"/>
    <col min="11253" max="11253" width="42.125" style="2" customWidth="1"/>
    <col min="11254" max="11254" width="9.125" style="2"/>
    <col min="11255" max="11255" width="17.5" style="2" customWidth="1"/>
    <col min="11256" max="11256" width="8.5" style="2" customWidth="1"/>
    <col min="11257" max="11257" width="0" style="2" hidden="1" customWidth="1"/>
    <col min="11258" max="11258" width="44.875" style="2" customWidth="1"/>
    <col min="11259" max="11260" width="9.125" style="2"/>
    <col min="11261" max="11261" width="3.125" style="2" customWidth="1"/>
    <col min="11262" max="11262" width="3.875" style="2" customWidth="1"/>
    <col min="11263" max="11263" width="8.5" style="2" customWidth="1"/>
    <col min="11264" max="11264" width="8.875" style="2" customWidth="1"/>
    <col min="11265" max="11265" width="7.5" style="2" customWidth="1"/>
    <col min="11266" max="11266" width="8.25" style="2" customWidth="1"/>
    <col min="11267" max="11267" width="8" style="2" customWidth="1"/>
    <col min="11268" max="11268" width="8.125" style="2" customWidth="1"/>
    <col min="11269" max="11269" width="9" style="2" customWidth="1"/>
    <col min="11270" max="11270" width="9.125" style="2" customWidth="1"/>
    <col min="11271" max="11271" width="8.5" style="2" customWidth="1"/>
    <col min="11272" max="11272" width="11.5" style="2" customWidth="1"/>
    <col min="11273" max="11507" width="9.125" style="2"/>
    <col min="11508" max="11508" width="6.75" style="2" customWidth="1"/>
    <col min="11509" max="11509" width="42.125" style="2" customWidth="1"/>
    <col min="11510" max="11510" width="9.125" style="2"/>
    <col min="11511" max="11511" width="17.5" style="2" customWidth="1"/>
    <col min="11512" max="11512" width="8.5" style="2" customWidth="1"/>
    <col min="11513" max="11513" width="0" style="2" hidden="1" customWidth="1"/>
    <col min="11514" max="11514" width="44.875" style="2" customWidth="1"/>
    <col min="11515" max="11516" width="9.125" style="2"/>
    <col min="11517" max="11517" width="3.125" style="2" customWidth="1"/>
    <col min="11518" max="11518" width="3.875" style="2" customWidth="1"/>
    <col min="11519" max="11519" width="8.5" style="2" customWidth="1"/>
    <col min="11520" max="11520" width="8.875" style="2" customWidth="1"/>
    <col min="11521" max="11521" width="7.5" style="2" customWidth="1"/>
    <col min="11522" max="11522" width="8.25" style="2" customWidth="1"/>
    <col min="11523" max="11523" width="8" style="2" customWidth="1"/>
    <col min="11524" max="11524" width="8.125" style="2" customWidth="1"/>
    <col min="11525" max="11525" width="9" style="2" customWidth="1"/>
    <col min="11526" max="11526" width="9.125" style="2" customWidth="1"/>
    <col min="11527" max="11527" width="8.5" style="2" customWidth="1"/>
    <col min="11528" max="11528" width="11.5" style="2" customWidth="1"/>
    <col min="11529" max="11763" width="9.125" style="2"/>
    <col min="11764" max="11764" width="6.75" style="2" customWidth="1"/>
    <col min="11765" max="11765" width="42.125" style="2" customWidth="1"/>
    <col min="11766" max="11766" width="9.125" style="2"/>
    <col min="11767" max="11767" width="17.5" style="2" customWidth="1"/>
    <col min="11768" max="11768" width="8.5" style="2" customWidth="1"/>
    <col min="11769" max="11769" width="0" style="2" hidden="1" customWidth="1"/>
    <col min="11770" max="11770" width="44.875" style="2" customWidth="1"/>
    <col min="11771" max="11772" width="9.125" style="2"/>
    <col min="11773" max="11773" width="3.125" style="2" customWidth="1"/>
    <col min="11774" max="11774" width="3.875" style="2" customWidth="1"/>
    <col min="11775" max="11775" width="8.5" style="2" customWidth="1"/>
    <col min="11776" max="11776" width="8.875" style="2" customWidth="1"/>
    <col min="11777" max="11777" width="7.5" style="2" customWidth="1"/>
    <col min="11778" max="11778" width="8.25" style="2" customWidth="1"/>
    <col min="11779" max="11779" width="8" style="2" customWidth="1"/>
    <col min="11780" max="11780" width="8.125" style="2" customWidth="1"/>
    <col min="11781" max="11781" width="9" style="2" customWidth="1"/>
    <col min="11782" max="11782" width="9.125" style="2" customWidth="1"/>
    <col min="11783" max="11783" width="8.5" style="2" customWidth="1"/>
    <col min="11784" max="11784" width="11.5" style="2" customWidth="1"/>
    <col min="11785" max="12019" width="9.125" style="2"/>
    <col min="12020" max="12020" width="6.75" style="2" customWidth="1"/>
    <col min="12021" max="12021" width="42.125" style="2" customWidth="1"/>
    <col min="12022" max="12022" width="9.125" style="2"/>
    <col min="12023" max="12023" width="17.5" style="2" customWidth="1"/>
    <col min="12024" max="12024" width="8.5" style="2" customWidth="1"/>
    <col min="12025" max="12025" width="0" style="2" hidden="1" customWidth="1"/>
    <col min="12026" max="12026" width="44.875" style="2" customWidth="1"/>
    <col min="12027" max="12028" width="9.125" style="2"/>
    <col min="12029" max="12029" width="3.125" style="2" customWidth="1"/>
    <col min="12030" max="12030" width="3.875" style="2" customWidth="1"/>
    <col min="12031" max="12031" width="8.5" style="2" customWidth="1"/>
    <col min="12032" max="12032" width="8.875" style="2" customWidth="1"/>
    <col min="12033" max="12033" width="7.5" style="2" customWidth="1"/>
    <col min="12034" max="12034" width="8.25" style="2" customWidth="1"/>
    <col min="12035" max="12035" width="8" style="2" customWidth="1"/>
    <col min="12036" max="12036" width="8.125" style="2" customWidth="1"/>
    <col min="12037" max="12037" width="9" style="2" customWidth="1"/>
    <col min="12038" max="12038" width="9.125" style="2" customWidth="1"/>
    <col min="12039" max="12039" width="8.5" style="2" customWidth="1"/>
    <col min="12040" max="12040" width="11.5" style="2" customWidth="1"/>
    <col min="12041" max="12275" width="9.125" style="2"/>
    <col min="12276" max="12276" width="6.75" style="2" customWidth="1"/>
    <col min="12277" max="12277" width="42.125" style="2" customWidth="1"/>
    <col min="12278" max="12278" width="9.125" style="2"/>
    <col min="12279" max="12279" width="17.5" style="2" customWidth="1"/>
    <col min="12280" max="12280" width="8.5" style="2" customWidth="1"/>
    <col min="12281" max="12281" width="0" style="2" hidden="1" customWidth="1"/>
    <col min="12282" max="12282" width="44.875" style="2" customWidth="1"/>
    <col min="12283" max="12284" width="9.125" style="2"/>
    <col min="12285" max="12285" width="3.125" style="2" customWidth="1"/>
    <col min="12286" max="12286" width="3.875" style="2" customWidth="1"/>
    <col min="12287" max="12287" width="8.5" style="2" customWidth="1"/>
    <col min="12288" max="12288" width="8.875" style="2" customWidth="1"/>
    <col min="12289" max="12289" width="7.5" style="2" customWidth="1"/>
    <col min="12290" max="12290" width="8.25" style="2" customWidth="1"/>
    <col min="12291" max="12291" width="8" style="2" customWidth="1"/>
    <col min="12292" max="12292" width="8.125" style="2" customWidth="1"/>
    <col min="12293" max="12293" width="9" style="2" customWidth="1"/>
    <col min="12294" max="12294" width="9.125" style="2" customWidth="1"/>
    <col min="12295" max="12295" width="8.5" style="2" customWidth="1"/>
    <col min="12296" max="12296" width="11.5" style="2" customWidth="1"/>
    <col min="12297" max="12531" width="9.125" style="2"/>
    <col min="12532" max="12532" width="6.75" style="2" customWidth="1"/>
    <col min="12533" max="12533" width="42.125" style="2" customWidth="1"/>
    <col min="12534" max="12534" width="9.125" style="2"/>
    <col min="12535" max="12535" width="17.5" style="2" customWidth="1"/>
    <col min="12536" max="12536" width="8.5" style="2" customWidth="1"/>
    <col min="12537" max="12537" width="0" style="2" hidden="1" customWidth="1"/>
    <col min="12538" max="12538" width="44.875" style="2" customWidth="1"/>
    <col min="12539" max="12540" width="9.125" style="2"/>
    <col min="12541" max="12541" width="3.125" style="2" customWidth="1"/>
    <col min="12542" max="12542" width="3.875" style="2" customWidth="1"/>
    <col min="12543" max="12543" width="8.5" style="2" customWidth="1"/>
    <col min="12544" max="12544" width="8.875" style="2" customWidth="1"/>
    <col min="12545" max="12545" width="7.5" style="2" customWidth="1"/>
    <col min="12546" max="12546" width="8.25" style="2" customWidth="1"/>
    <col min="12547" max="12547" width="8" style="2" customWidth="1"/>
    <col min="12548" max="12548" width="8.125" style="2" customWidth="1"/>
    <col min="12549" max="12549" width="9" style="2" customWidth="1"/>
    <col min="12550" max="12550" width="9.125" style="2" customWidth="1"/>
    <col min="12551" max="12551" width="8.5" style="2" customWidth="1"/>
    <col min="12552" max="12552" width="11.5" style="2" customWidth="1"/>
    <col min="12553" max="12787" width="9.125" style="2"/>
    <col min="12788" max="12788" width="6.75" style="2" customWidth="1"/>
    <col min="12789" max="12789" width="42.125" style="2" customWidth="1"/>
    <col min="12790" max="12790" width="9.125" style="2"/>
    <col min="12791" max="12791" width="17.5" style="2" customWidth="1"/>
    <col min="12792" max="12792" width="8.5" style="2" customWidth="1"/>
    <col min="12793" max="12793" width="0" style="2" hidden="1" customWidth="1"/>
    <col min="12794" max="12794" width="44.875" style="2" customWidth="1"/>
    <col min="12795" max="12796" width="9.125" style="2"/>
    <col min="12797" max="12797" width="3.125" style="2" customWidth="1"/>
    <col min="12798" max="12798" width="3.875" style="2" customWidth="1"/>
    <col min="12799" max="12799" width="8.5" style="2" customWidth="1"/>
    <col min="12800" max="12800" width="8.875" style="2" customWidth="1"/>
    <col min="12801" max="12801" width="7.5" style="2" customWidth="1"/>
    <col min="12802" max="12802" width="8.25" style="2" customWidth="1"/>
    <col min="12803" max="12803" width="8" style="2" customWidth="1"/>
    <col min="12804" max="12804" width="8.125" style="2" customWidth="1"/>
    <col min="12805" max="12805" width="9" style="2" customWidth="1"/>
    <col min="12806" max="12806" width="9.125" style="2" customWidth="1"/>
    <col min="12807" max="12807" width="8.5" style="2" customWidth="1"/>
    <col min="12808" max="12808" width="11.5" style="2" customWidth="1"/>
    <col min="12809" max="13043" width="9.125" style="2"/>
    <col min="13044" max="13044" width="6.75" style="2" customWidth="1"/>
    <col min="13045" max="13045" width="42.125" style="2" customWidth="1"/>
    <col min="13046" max="13046" width="9.125" style="2"/>
    <col min="13047" max="13047" width="17.5" style="2" customWidth="1"/>
    <col min="13048" max="13048" width="8.5" style="2" customWidth="1"/>
    <col min="13049" max="13049" width="0" style="2" hidden="1" customWidth="1"/>
    <col min="13050" max="13050" width="44.875" style="2" customWidth="1"/>
    <col min="13051" max="13052" width="9.125" style="2"/>
    <col min="13053" max="13053" width="3.125" style="2" customWidth="1"/>
    <col min="13054" max="13054" width="3.875" style="2" customWidth="1"/>
    <col min="13055" max="13055" width="8.5" style="2" customWidth="1"/>
    <col min="13056" max="13056" width="8.875" style="2" customWidth="1"/>
    <col min="13057" max="13057" width="7.5" style="2" customWidth="1"/>
    <col min="13058" max="13058" width="8.25" style="2" customWidth="1"/>
    <col min="13059" max="13059" width="8" style="2" customWidth="1"/>
    <col min="13060" max="13060" width="8.125" style="2" customWidth="1"/>
    <col min="13061" max="13061" width="9" style="2" customWidth="1"/>
    <col min="13062" max="13062" width="9.125" style="2" customWidth="1"/>
    <col min="13063" max="13063" width="8.5" style="2" customWidth="1"/>
    <col min="13064" max="13064" width="11.5" style="2" customWidth="1"/>
    <col min="13065" max="13299" width="9.125" style="2"/>
    <col min="13300" max="13300" width="6.75" style="2" customWidth="1"/>
    <col min="13301" max="13301" width="42.125" style="2" customWidth="1"/>
    <col min="13302" max="13302" width="9.125" style="2"/>
    <col min="13303" max="13303" width="17.5" style="2" customWidth="1"/>
    <col min="13304" max="13304" width="8.5" style="2" customWidth="1"/>
    <col min="13305" max="13305" width="0" style="2" hidden="1" customWidth="1"/>
    <col min="13306" max="13306" width="44.875" style="2" customWidth="1"/>
    <col min="13307" max="13308" width="9.125" style="2"/>
    <col min="13309" max="13309" width="3.125" style="2" customWidth="1"/>
    <col min="13310" max="13310" width="3.875" style="2" customWidth="1"/>
    <col min="13311" max="13311" width="8.5" style="2" customWidth="1"/>
    <col min="13312" max="13312" width="8.875" style="2" customWidth="1"/>
    <col min="13313" max="13313" width="7.5" style="2" customWidth="1"/>
    <col min="13314" max="13314" width="8.25" style="2" customWidth="1"/>
    <col min="13315" max="13315" width="8" style="2" customWidth="1"/>
    <col min="13316" max="13316" width="8.125" style="2" customWidth="1"/>
    <col min="13317" max="13317" width="9" style="2" customWidth="1"/>
    <col min="13318" max="13318" width="9.125" style="2" customWidth="1"/>
    <col min="13319" max="13319" width="8.5" style="2" customWidth="1"/>
    <col min="13320" max="13320" width="11.5" style="2" customWidth="1"/>
    <col min="13321" max="13555" width="9.125" style="2"/>
    <col min="13556" max="13556" width="6.75" style="2" customWidth="1"/>
    <col min="13557" max="13557" width="42.125" style="2" customWidth="1"/>
    <col min="13558" max="13558" width="9.125" style="2"/>
    <col min="13559" max="13559" width="17.5" style="2" customWidth="1"/>
    <col min="13560" max="13560" width="8.5" style="2" customWidth="1"/>
    <col min="13561" max="13561" width="0" style="2" hidden="1" customWidth="1"/>
    <col min="13562" max="13562" width="44.875" style="2" customWidth="1"/>
    <col min="13563" max="13564" width="9.125" style="2"/>
    <col min="13565" max="13565" width="3.125" style="2" customWidth="1"/>
    <col min="13566" max="13566" width="3.875" style="2" customWidth="1"/>
    <col min="13567" max="13567" width="8.5" style="2" customWidth="1"/>
    <col min="13568" max="13568" width="8.875" style="2" customWidth="1"/>
    <col min="13569" max="13569" width="7.5" style="2" customWidth="1"/>
    <col min="13570" max="13570" width="8.25" style="2" customWidth="1"/>
    <col min="13571" max="13571" width="8" style="2" customWidth="1"/>
    <col min="13572" max="13572" width="8.125" style="2" customWidth="1"/>
    <col min="13573" max="13573" width="9" style="2" customWidth="1"/>
    <col min="13574" max="13574" width="9.125" style="2" customWidth="1"/>
    <col min="13575" max="13575" width="8.5" style="2" customWidth="1"/>
    <col min="13576" max="13576" width="11.5" style="2" customWidth="1"/>
    <col min="13577" max="13811" width="9.125" style="2"/>
    <col min="13812" max="13812" width="6.75" style="2" customWidth="1"/>
    <col min="13813" max="13813" width="42.125" style="2" customWidth="1"/>
    <col min="13814" max="13814" width="9.125" style="2"/>
    <col min="13815" max="13815" width="17.5" style="2" customWidth="1"/>
    <col min="13816" max="13816" width="8.5" style="2" customWidth="1"/>
    <col min="13817" max="13817" width="0" style="2" hidden="1" customWidth="1"/>
    <col min="13818" max="13818" width="44.875" style="2" customWidth="1"/>
    <col min="13819" max="13820" width="9.125" style="2"/>
    <col min="13821" max="13821" width="3.125" style="2" customWidth="1"/>
    <col min="13822" max="13822" width="3.875" style="2" customWidth="1"/>
    <col min="13823" max="13823" width="8.5" style="2" customWidth="1"/>
    <col min="13824" max="13824" width="8.875" style="2" customWidth="1"/>
    <col min="13825" max="13825" width="7.5" style="2" customWidth="1"/>
    <col min="13826" max="13826" width="8.25" style="2" customWidth="1"/>
    <col min="13827" max="13827" width="8" style="2" customWidth="1"/>
    <col min="13828" max="13828" width="8.125" style="2" customWidth="1"/>
    <col min="13829" max="13829" width="9" style="2" customWidth="1"/>
    <col min="13830" max="13830" width="9.125" style="2" customWidth="1"/>
    <col min="13831" max="13831" width="8.5" style="2" customWidth="1"/>
    <col min="13832" max="13832" width="11.5" style="2" customWidth="1"/>
    <col min="13833" max="14067" width="9.125" style="2"/>
    <col min="14068" max="14068" width="6.75" style="2" customWidth="1"/>
    <col min="14069" max="14069" width="42.125" style="2" customWidth="1"/>
    <col min="14070" max="14070" width="9.125" style="2"/>
    <col min="14071" max="14071" width="17.5" style="2" customWidth="1"/>
    <col min="14072" max="14072" width="8.5" style="2" customWidth="1"/>
    <col min="14073" max="14073" width="0" style="2" hidden="1" customWidth="1"/>
    <col min="14074" max="14074" width="44.875" style="2" customWidth="1"/>
    <col min="14075" max="14076" width="9.125" style="2"/>
    <col min="14077" max="14077" width="3.125" style="2" customWidth="1"/>
    <col min="14078" max="14078" width="3.875" style="2" customWidth="1"/>
    <col min="14079" max="14079" width="8.5" style="2" customWidth="1"/>
    <col min="14080" max="14080" width="8.875" style="2" customWidth="1"/>
    <col min="14081" max="14081" width="7.5" style="2" customWidth="1"/>
    <col min="14082" max="14082" width="8.25" style="2" customWidth="1"/>
    <col min="14083" max="14083" width="8" style="2" customWidth="1"/>
    <col min="14084" max="14084" width="8.125" style="2" customWidth="1"/>
    <col min="14085" max="14085" width="9" style="2" customWidth="1"/>
    <col min="14086" max="14086" width="9.125" style="2" customWidth="1"/>
    <col min="14087" max="14087" width="8.5" style="2" customWidth="1"/>
    <col min="14088" max="14088" width="11.5" style="2" customWidth="1"/>
    <col min="14089" max="14323" width="9.125" style="2"/>
    <col min="14324" max="14324" width="6.75" style="2" customWidth="1"/>
    <col min="14325" max="14325" width="42.125" style="2" customWidth="1"/>
    <col min="14326" max="14326" width="9.125" style="2"/>
    <col min="14327" max="14327" width="17.5" style="2" customWidth="1"/>
    <col min="14328" max="14328" width="8.5" style="2" customWidth="1"/>
    <col min="14329" max="14329" width="0" style="2" hidden="1" customWidth="1"/>
    <col min="14330" max="14330" width="44.875" style="2" customWidth="1"/>
    <col min="14331" max="14332" width="9.125" style="2"/>
    <col min="14333" max="14333" width="3.125" style="2" customWidth="1"/>
    <col min="14334" max="14334" width="3.875" style="2" customWidth="1"/>
    <col min="14335" max="14335" width="8.5" style="2" customWidth="1"/>
    <col min="14336" max="14336" width="8.875" style="2" customWidth="1"/>
    <col min="14337" max="14337" width="7.5" style="2" customWidth="1"/>
    <col min="14338" max="14338" width="8.25" style="2" customWidth="1"/>
    <col min="14339" max="14339" width="8" style="2" customWidth="1"/>
    <col min="14340" max="14340" width="8.125" style="2" customWidth="1"/>
    <col min="14341" max="14341" width="9" style="2" customWidth="1"/>
    <col min="14342" max="14342" width="9.125" style="2" customWidth="1"/>
    <col min="14343" max="14343" width="8.5" style="2" customWidth="1"/>
    <col min="14344" max="14344" width="11.5" style="2" customWidth="1"/>
    <col min="14345" max="14579" width="9.125" style="2"/>
    <col min="14580" max="14580" width="6.75" style="2" customWidth="1"/>
    <col min="14581" max="14581" width="42.125" style="2" customWidth="1"/>
    <col min="14582" max="14582" width="9.125" style="2"/>
    <col min="14583" max="14583" width="17.5" style="2" customWidth="1"/>
    <col min="14584" max="14584" width="8.5" style="2" customWidth="1"/>
    <col min="14585" max="14585" width="0" style="2" hidden="1" customWidth="1"/>
    <col min="14586" max="14586" width="44.875" style="2" customWidth="1"/>
    <col min="14587" max="14588" width="9.125" style="2"/>
    <col min="14589" max="14589" width="3.125" style="2" customWidth="1"/>
    <col min="14590" max="14590" width="3.875" style="2" customWidth="1"/>
    <col min="14591" max="14591" width="8.5" style="2" customWidth="1"/>
    <col min="14592" max="14592" width="8.875" style="2" customWidth="1"/>
    <col min="14593" max="14593" width="7.5" style="2" customWidth="1"/>
    <col min="14594" max="14594" width="8.25" style="2" customWidth="1"/>
    <col min="14595" max="14595" width="8" style="2" customWidth="1"/>
    <col min="14596" max="14596" width="8.125" style="2" customWidth="1"/>
    <col min="14597" max="14597" width="9" style="2" customWidth="1"/>
    <col min="14598" max="14598" width="9.125" style="2" customWidth="1"/>
    <col min="14599" max="14599" width="8.5" style="2" customWidth="1"/>
    <col min="14600" max="14600" width="11.5" style="2" customWidth="1"/>
    <col min="14601" max="14835" width="9.125" style="2"/>
    <col min="14836" max="14836" width="6.75" style="2" customWidth="1"/>
    <col min="14837" max="14837" width="42.125" style="2" customWidth="1"/>
    <col min="14838" max="14838" width="9.125" style="2"/>
    <col min="14839" max="14839" width="17.5" style="2" customWidth="1"/>
    <col min="14840" max="14840" width="8.5" style="2" customWidth="1"/>
    <col min="14841" max="14841" width="0" style="2" hidden="1" customWidth="1"/>
    <col min="14842" max="14842" width="44.875" style="2" customWidth="1"/>
    <col min="14843" max="14844" width="9.125" style="2"/>
    <col min="14845" max="14845" width="3.125" style="2" customWidth="1"/>
    <col min="14846" max="14846" width="3.875" style="2" customWidth="1"/>
    <col min="14847" max="14847" width="8.5" style="2" customWidth="1"/>
    <col min="14848" max="14848" width="8.875" style="2" customWidth="1"/>
    <col min="14849" max="14849" width="7.5" style="2" customWidth="1"/>
    <col min="14850" max="14850" width="8.25" style="2" customWidth="1"/>
    <col min="14851" max="14851" width="8" style="2" customWidth="1"/>
    <col min="14852" max="14852" width="8.125" style="2" customWidth="1"/>
    <col min="14853" max="14853" width="9" style="2" customWidth="1"/>
    <col min="14854" max="14854" width="9.125" style="2" customWidth="1"/>
    <col min="14855" max="14855" width="8.5" style="2" customWidth="1"/>
    <col min="14856" max="14856" width="11.5" style="2" customWidth="1"/>
    <col min="14857" max="15091" width="9.125" style="2"/>
    <col min="15092" max="15092" width="6.75" style="2" customWidth="1"/>
    <col min="15093" max="15093" width="42.125" style="2" customWidth="1"/>
    <col min="15094" max="15094" width="9.125" style="2"/>
    <col min="15095" max="15095" width="17.5" style="2" customWidth="1"/>
    <col min="15096" max="15096" width="8.5" style="2" customWidth="1"/>
    <col min="15097" max="15097" width="0" style="2" hidden="1" customWidth="1"/>
    <col min="15098" max="15098" width="44.875" style="2" customWidth="1"/>
    <col min="15099" max="15100" width="9.125" style="2"/>
    <col min="15101" max="15101" width="3.125" style="2" customWidth="1"/>
    <col min="15102" max="15102" width="3.875" style="2" customWidth="1"/>
    <col min="15103" max="15103" width="8.5" style="2" customWidth="1"/>
    <col min="15104" max="15104" width="8.875" style="2" customWidth="1"/>
    <col min="15105" max="15105" width="7.5" style="2" customWidth="1"/>
    <col min="15106" max="15106" width="8.25" style="2" customWidth="1"/>
    <col min="15107" max="15107" width="8" style="2" customWidth="1"/>
    <col min="15108" max="15108" width="8.125" style="2" customWidth="1"/>
    <col min="15109" max="15109" width="9" style="2" customWidth="1"/>
    <col min="15110" max="15110" width="9.125" style="2" customWidth="1"/>
    <col min="15111" max="15111" width="8.5" style="2" customWidth="1"/>
    <col min="15112" max="15112" width="11.5" style="2" customWidth="1"/>
    <col min="15113" max="15347" width="9.125" style="2"/>
    <col min="15348" max="15348" width="6.75" style="2" customWidth="1"/>
    <col min="15349" max="15349" width="42.125" style="2" customWidth="1"/>
    <col min="15350" max="15350" width="9.125" style="2"/>
    <col min="15351" max="15351" width="17.5" style="2" customWidth="1"/>
    <col min="15352" max="15352" width="8.5" style="2" customWidth="1"/>
    <col min="15353" max="15353" width="0" style="2" hidden="1" customWidth="1"/>
    <col min="15354" max="15354" width="44.875" style="2" customWidth="1"/>
    <col min="15355" max="15356" width="9.125" style="2"/>
    <col min="15357" max="15357" width="3.125" style="2" customWidth="1"/>
    <col min="15358" max="15358" width="3.875" style="2" customWidth="1"/>
    <col min="15359" max="15359" width="8.5" style="2" customWidth="1"/>
    <col min="15360" max="15360" width="8.875" style="2" customWidth="1"/>
    <col min="15361" max="15361" width="7.5" style="2" customWidth="1"/>
    <col min="15362" max="15362" width="8.25" style="2" customWidth="1"/>
    <col min="15363" max="15363" width="8" style="2" customWidth="1"/>
    <col min="15364" max="15364" width="8.125" style="2" customWidth="1"/>
    <col min="15365" max="15365" width="9" style="2" customWidth="1"/>
    <col min="15366" max="15366" width="9.125" style="2" customWidth="1"/>
    <col min="15367" max="15367" width="8.5" style="2" customWidth="1"/>
    <col min="15368" max="15368" width="11.5" style="2" customWidth="1"/>
    <col min="15369" max="15603" width="9.125" style="2"/>
    <col min="15604" max="15604" width="6.75" style="2" customWidth="1"/>
    <col min="15605" max="15605" width="42.125" style="2" customWidth="1"/>
    <col min="15606" max="15606" width="9.125" style="2"/>
    <col min="15607" max="15607" width="17.5" style="2" customWidth="1"/>
    <col min="15608" max="15608" width="8.5" style="2" customWidth="1"/>
    <col min="15609" max="15609" width="0" style="2" hidden="1" customWidth="1"/>
    <col min="15610" max="15610" width="44.875" style="2" customWidth="1"/>
    <col min="15611" max="15612" width="9.125" style="2"/>
    <col min="15613" max="15613" width="3.125" style="2" customWidth="1"/>
    <col min="15614" max="15614" width="3.875" style="2" customWidth="1"/>
    <col min="15615" max="15615" width="8.5" style="2" customWidth="1"/>
    <col min="15616" max="15616" width="8.875" style="2" customWidth="1"/>
    <col min="15617" max="15617" width="7.5" style="2" customWidth="1"/>
    <col min="15618" max="15618" width="8.25" style="2" customWidth="1"/>
    <col min="15619" max="15619" width="8" style="2" customWidth="1"/>
    <col min="15620" max="15620" width="8.125" style="2" customWidth="1"/>
    <col min="15621" max="15621" width="9" style="2" customWidth="1"/>
    <col min="15622" max="15622" width="9.125" style="2" customWidth="1"/>
    <col min="15623" max="15623" width="8.5" style="2" customWidth="1"/>
    <col min="15624" max="15624" width="11.5" style="2" customWidth="1"/>
    <col min="15625" max="15859" width="9.125" style="2"/>
    <col min="15860" max="15860" width="6.75" style="2" customWidth="1"/>
    <col min="15861" max="15861" width="42.125" style="2" customWidth="1"/>
    <col min="15862" max="15862" width="9.125" style="2"/>
    <col min="15863" max="15863" width="17.5" style="2" customWidth="1"/>
    <col min="15864" max="15864" width="8.5" style="2" customWidth="1"/>
    <col min="15865" max="15865" width="0" style="2" hidden="1" customWidth="1"/>
    <col min="15866" max="15866" width="44.875" style="2" customWidth="1"/>
    <col min="15867" max="15868" width="9.125" style="2"/>
    <col min="15869" max="15869" width="3.125" style="2" customWidth="1"/>
    <col min="15870" max="15870" width="3.875" style="2" customWidth="1"/>
    <col min="15871" max="15871" width="8.5" style="2" customWidth="1"/>
    <col min="15872" max="15872" width="8.875" style="2" customWidth="1"/>
    <col min="15873" max="15873" width="7.5" style="2" customWidth="1"/>
    <col min="15874" max="15874" width="8.25" style="2" customWidth="1"/>
    <col min="15875" max="15875" width="8" style="2" customWidth="1"/>
    <col min="15876" max="15876" width="8.125" style="2" customWidth="1"/>
    <col min="15877" max="15877" width="9" style="2" customWidth="1"/>
    <col min="15878" max="15878" width="9.125" style="2" customWidth="1"/>
    <col min="15879" max="15879" width="8.5" style="2" customWidth="1"/>
    <col min="15880" max="15880" width="11.5" style="2" customWidth="1"/>
    <col min="15881" max="16115" width="9.125" style="2"/>
    <col min="16116" max="16116" width="6.75" style="2" customWidth="1"/>
    <col min="16117" max="16117" width="42.125" style="2" customWidth="1"/>
    <col min="16118" max="16118" width="9.125" style="2"/>
    <col min="16119" max="16119" width="17.5" style="2" customWidth="1"/>
    <col min="16120" max="16120" width="8.5" style="2" customWidth="1"/>
    <col min="16121" max="16121" width="0" style="2" hidden="1" customWidth="1"/>
    <col min="16122" max="16122" width="44.875" style="2" customWidth="1"/>
    <col min="16123" max="16124" width="9.125" style="2"/>
    <col min="16125" max="16125" width="3.125" style="2" customWidth="1"/>
    <col min="16126" max="16126" width="3.875" style="2" customWidth="1"/>
    <col min="16127" max="16127" width="8.5" style="2" customWidth="1"/>
    <col min="16128" max="16128" width="8.875" style="2" customWidth="1"/>
    <col min="16129" max="16129" width="7.5" style="2" customWidth="1"/>
    <col min="16130" max="16130" width="8.25" style="2" customWidth="1"/>
    <col min="16131" max="16131" width="8" style="2" customWidth="1"/>
    <col min="16132" max="16132" width="8.125" style="2" customWidth="1"/>
    <col min="16133" max="16133" width="9" style="2" customWidth="1"/>
    <col min="16134" max="16134" width="9.125" style="2" customWidth="1"/>
    <col min="16135" max="16135" width="8.5" style="2" customWidth="1"/>
    <col min="16136" max="16136" width="11.5" style="2" customWidth="1"/>
    <col min="16137" max="16371" width="9.125" style="2"/>
    <col min="16372" max="16384" width="9.125" style="2" customWidth="1"/>
  </cols>
  <sheetData>
    <row r="2" spans="2:7" ht="17.25" x14ac:dyDescent="0.2">
      <c r="B2" s="154" t="s">
        <v>270</v>
      </c>
      <c r="F2" s="186" t="s">
        <v>199</v>
      </c>
      <c r="G2" s="2" t="s">
        <v>602</v>
      </c>
    </row>
    <row r="3" spans="2:7" x14ac:dyDescent="0.15">
      <c r="B3" s="187" t="s">
        <v>464</v>
      </c>
    </row>
    <row r="4" spans="2:7" ht="17.25" x14ac:dyDescent="0.2">
      <c r="B4" s="425" t="s">
        <v>716</v>
      </c>
      <c r="F4" s="189"/>
      <c r="G4" s="154" t="s">
        <v>20</v>
      </c>
    </row>
    <row r="16" spans="2:7" ht="15" x14ac:dyDescent="0.25">
      <c r="B16" s="190" t="s">
        <v>21</v>
      </c>
      <c r="C16" s="191"/>
      <c r="E16" s="708" t="s">
        <v>1404</v>
      </c>
    </row>
    <row r="17" spans="2:28" x14ac:dyDescent="0.15">
      <c r="B17" s="192" t="s">
        <v>22</v>
      </c>
      <c r="C17" s="193"/>
    </row>
    <row r="18" spans="2:28" ht="14.25" thickBot="1" x14ac:dyDescent="0.2"/>
    <row r="19" spans="2:28" ht="15" thickTop="1" x14ac:dyDescent="0.15">
      <c r="B19" s="811" t="s">
        <v>402</v>
      </c>
      <c r="C19" s="812"/>
      <c r="D19" s="812"/>
      <c r="E19" s="812"/>
      <c r="F19" s="813"/>
      <c r="G19" s="330"/>
      <c r="H19" s="330"/>
      <c r="I19" s="330"/>
      <c r="J19" s="330"/>
      <c r="K19" s="330"/>
      <c r="L19" s="330"/>
      <c r="M19" s="330"/>
      <c r="N19" s="330"/>
      <c r="O19" s="330"/>
      <c r="P19" s="330"/>
      <c r="Q19" s="330"/>
      <c r="R19" s="330"/>
      <c r="S19" s="330"/>
      <c r="T19" s="330"/>
      <c r="U19" s="330"/>
      <c r="V19" s="330"/>
      <c r="W19" s="330"/>
      <c r="X19" s="330"/>
      <c r="Y19" s="330"/>
      <c r="Z19" s="330"/>
      <c r="AA19" s="330"/>
      <c r="AB19" s="330"/>
    </row>
    <row r="20" spans="2:28" ht="15" x14ac:dyDescent="0.15">
      <c r="B20" s="307" t="s">
        <v>239</v>
      </c>
      <c r="C20" s="306"/>
      <c r="D20" s="766" t="s">
        <v>214</v>
      </c>
      <c r="E20" s="306"/>
      <c r="F20" s="306"/>
      <c r="G20" s="330"/>
      <c r="H20" s="330"/>
      <c r="I20" s="330"/>
      <c r="J20" s="330"/>
      <c r="K20" s="330"/>
      <c r="L20" s="330"/>
      <c r="M20" s="330"/>
      <c r="N20" s="330"/>
      <c r="O20" s="330"/>
      <c r="P20" s="330"/>
      <c r="Q20" s="330"/>
      <c r="R20" s="330"/>
      <c r="S20" s="330"/>
      <c r="T20" s="330"/>
      <c r="U20" s="330"/>
      <c r="V20" s="330"/>
      <c r="W20" s="330"/>
      <c r="X20" s="330"/>
      <c r="Y20" s="330"/>
      <c r="Z20" s="330"/>
      <c r="AA20" s="330"/>
      <c r="AB20" s="330"/>
    </row>
    <row r="21" spans="2:28" ht="15.75" x14ac:dyDescent="0.25">
      <c r="B21" s="194" t="s">
        <v>23</v>
      </c>
      <c r="C21" s="195" t="s">
        <v>24</v>
      </c>
      <c r="D21" s="180">
        <v>25</v>
      </c>
      <c r="E21" s="196" t="s">
        <v>465</v>
      </c>
      <c r="F21" s="197" t="s">
        <v>25</v>
      </c>
      <c r="G21" s="330"/>
      <c r="H21" s="330"/>
      <c r="I21" s="330"/>
      <c r="J21" s="330"/>
      <c r="K21" s="330"/>
      <c r="L21" s="330"/>
      <c r="M21" s="330"/>
      <c r="N21" s="330"/>
      <c r="O21" s="330"/>
      <c r="P21" s="330"/>
      <c r="Q21" s="330"/>
      <c r="R21" s="330"/>
      <c r="S21" s="330"/>
      <c r="T21" s="330"/>
      <c r="U21" s="330"/>
      <c r="V21" s="330"/>
      <c r="W21" s="330"/>
      <c r="X21" s="330"/>
      <c r="Y21" s="330"/>
      <c r="Z21" s="330"/>
      <c r="AA21" s="330"/>
      <c r="AB21" s="330"/>
    </row>
    <row r="22" spans="2:28" ht="15" x14ac:dyDescent="0.15">
      <c r="B22" s="194" t="s">
        <v>348</v>
      </c>
      <c r="C22" s="195" t="s">
        <v>26</v>
      </c>
      <c r="D22" s="757">
        <v>330</v>
      </c>
      <c r="E22" s="196" t="s">
        <v>27</v>
      </c>
      <c r="F22" s="197" t="s">
        <v>28</v>
      </c>
      <c r="G22" s="330"/>
      <c r="H22" s="345"/>
      <c r="I22" s="778"/>
      <c r="J22" s="778"/>
      <c r="K22" s="778"/>
      <c r="L22" s="778"/>
      <c r="M22" s="778"/>
      <c r="N22" s="778"/>
      <c r="O22" s="778"/>
      <c r="P22" s="330"/>
      <c r="Q22" s="330"/>
      <c r="R22" s="330"/>
      <c r="S22" s="330"/>
      <c r="T22" s="330"/>
      <c r="U22" s="330"/>
      <c r="V22" s="330"/>
      <c r="W22" s="330"/>
      <c r="X22" s="330"/>
      <c r="Y22" s="330"/>
      <c r="Z22" s="330"/>
      <c r="AA22" s="330"/>
      <c r="AB22" s="330"/>
    </row>
    <row r="23" spans="2:28" ht="16.5" x14ac:dyDescent="0.25">
      <c r="B23" s="199" t="s">
        <v>29</v>
      </c>
      <c r="C23" s="195" t="s">
        <v>30</v>
      </c>
      <c r="D23" s="758">
        <v>2</v>
      </c>
      <c r="E23" s="196" t="s">
        <v>29</v>
      </c>
      <c r="F23" s="197" t="s">
        <v>466</v>
      </c>
      <c r="G23" s="330"/>
      <c r="H23" s="330"/>
      <c r="I23" s="330"/>
      <c r="J23" s="330"/>
      <c r="K23" s="330"/>
      <c r="L23" s="330"/>
      <c r="M23" s="779"/>
      <c r="N23" s="330"/>
      <c r="O23" s="330"/>
      <c r="P23" s="330"/>
      <c r="Q23" s="330"/>
      <c r="R23" s="330"/>
      <c r="S23" s="330"/>
      <c r="T23" s="330"/>
      <c r="U23" s="330"/>
      <c r="V23" s="330"/>
      <c r="W23" s="330"/>
      <c r="X23" s="330"/>
      <c r="Y23" s="330"/>
      <c r="Z23" s="330"/>
      <c r="AA23" s="330"/>
      <c r="AB23" s="330"/>
    </row>
    <row r="24" spans="2:28" ht="15" x14ac:dyDescent="0.15">
      <c r="B24" s="159" t="s">
        <v>1589</v>
      </c>
      <c r="C24" s="200" t="s">
        <v>32</v>
      </c>
      <c r="D24" s="759">
        <v>19</v>
      </c>
      <c r="E24" s="201" t="s">
        <v>31</v>
      </c>
      <c r="F24" s="202" t="s">
        <v>33</v>
      </c>
      <c r="G24" s="330"/>
      <c r="H24" s="330"/>
      <c r="I24" s="330"/>
      <c r="J24" s="330"/>
      <c r="K24" s="330"/>
      <c r="L24" s="330"/>
      <c r="M24" s="779"/>
      <c r="N24" s="330"/>
      <c r="O24" s="330"/>
      <c r="P24" s="330"/>
      <c r="Q24" s="330"/>
      <c r="R24" s="330"/>
      <c r="S24" s="330"/>
      <c r="T24" s="330"/>
      <c r="U24" s="330"/>
      <c r="V24" s="330"/>
      <c r="W24" s="330"/>
      <c r="X24" s="330"/>
      <c r="Y24" s="330"/>
      <c r="Z24" s="330"/>
      <c r="AA24" s="330"/>
      <c r="AB24" s="330"/>
    </row>
    <row r="25" spans="2:28" ht="18" x14ac:dyDescent="0.35">
      <c r="B25" s="159" t="str">
        <f>IF(D28="Circular","Outer diameter of the inductor", "Short Side of inductor")</f>
        <v>Outer diameter of the inductor</v>
      </c>
      <c r="C25" s="200" t="s">
        <v>467</v>
      </c>
      <c r="D25" s="760">
        <v>13.9</v>
      </c>
      <c r="E25" s="181" t="s">
        <v>34</v>
      </c>
      <c r="F25" s="202" t="s">
        <v>35</v>
      </c>
      <c r="G25" s="330"/>
      <c r="H25" s="330"/>
      <c r="I25" s="330"/>
      <c r="J25" s="330"/>
      <c r="K25" s="330"/>
      <c r="L25" s="330"/>
      <c r="M25" s="330"/>
      <c r="N25" s="330"/>
      <c r="O25" s="330"/>
      <c r="P25" s="330"/>
      <c r="Q25" s="330"/>
      <c r="R25" s="330"/>
      <c r="S25" s="330"/>
      <c r="T25" s="330"/>
      <c r="U25" s="330"/>
      <c r="V25" s="330"/>
      <c r="W25" s="330"/>
      <c r="X25" s="330"/>
      <c r="Y25" s="330"/>
      <c r="Z25" s="330"/>
      <c r="AA25" s="330"/>
      <c r="AB25" s="330"/>
    </row>
    <row r="26" spans="2:28" ht="15" hidden="1" x14ac:dyDescent="0.15">
      <c r="B26" s="159" t="s">
        <v>1536</v>
      </c>
      <c r="C26" s="200" t="str">
        <f>E25</f>
        <v>mm</v>
      </c>
      <c r="D26" s="761" t="str">
        <f>C26</f>
        <v>mm</v>
      </c>
      <c r="E26" s="752"/>
      <c r="F26" s="202"/>
      <c r="G26" s="330"/>
      <c r="H26" s="330"/>
      <c r="I26" s="330"/>
      <c r="J26" s="330"/>
      <c r="K26" s="330"/>
      <c r="L26" s="330"/>
      <c r="M26" s="330"/>
      <c r="N26" s="330"/>
      <c r="O26" s="330"/>
      <c r="P26" s="330"/>
      <c r="Q26" s="330"/>
      <c r="R26" s="330"/>
      <c r="S26" s="330"/>
      <c r="T26" s="330"/>
      <c r="U26" s="330"/>
      <c r="V26" s="330"/>
      <c r="W26" s="330"/>
      <c r="X26" s="330"/>
      <c r="Y26" s="330"/>
      <c r="Z26" s="330"/>
      <c r="AA26" s="330"/>
      <c r="AB26" s="330"/>
    </row>
    <row r="27" spans="2:28" ht="15" hidden="1" x14ac:dyDescent="0.15">
      <c r="B27" s="159" t="s">
        <v>287</v>
      </c>
      <c r="C27" s="200"/>
      <c r="D27" s="762">
        <f>IF(D26="mm",D25,D25*0.0254)</f>
        <v>13.9</v>
      </c>
      <c r="E27" s="204" t="s">
        <v>34</v>
      </c>
      <c r="F27" s="202"/>
      <c r="G27" s="330"/>
      <c r="H27" s="330"/>
      <c r="I27" s="330"/>
      <c r="J27" s="330"/>
      <c r="K27" s="330"/>
      <c r="L27" s="330"/>
      <c r="M27" s="330"/>
      <c r="N27" s="330"/>
      <c r="O27" s="330"/>
      <c r="P27" s="330"/>
      <c r="Q27" s="330"/>
      <c r="R27" s="330"/>
      <c r="S27" s="330"/>
      <c r="T27" s="330"/>
      <c r="U27" s="330"/>
      <c r="V27" s="330"/>
      <c r="W27" s="330"/>
      <c r="X27" s="330"/>
      <c r="Y27" s="330"/>
      <c r="Z27" s="330"/>
      <c r="AA27" s="330"/>
      <c r="AB27" s="330"/>
    </row>
    <row r="28" spans="2:28" ht="15" x14ac:dyDescent="0.15">
      <c r="B28" s="159" t="s">
        <v>1546</v>
      </c>
      <c r="C28" s="200"/>
      <c r="D28" s="763" t="s">
        <v>695</v>
      </c>
      <c r="E28" s="204"/>
      <c r="F28" s="202"/>
      <c r="G28" s="330"/>
      <c r="H28" s="330"/>
      <c r="I28" s="330"/>
      <c r="J28" s="330"/>
      <c r="K28" s="330"/>
      <c r="L28" s="330"/>
      <c r="M28" s="330"/>
      <c r="N28" s="330"/>
      <c r="O28" s="330"/>
      <c r="P28" s="330"/>
      <c r="Q28" s="330"/>
      <c r="R28" s="330"/>
      <c r="S28" s="330"/>
      <c r="T28" s="330"/>
      <c r="U28" s="330"/>
      <c r="V28" s="330"/>
      <c r="W28" s="330"/>
      <c r="X28" s="330"/>
      <c r="Y28" s="330"/>
      <c r="Z28" s="330"/>
      <c r="AA28" s="330"/>
      <c r="AB28" s="330"/>
    </row>
    <row r="29" spans="2:28" ht="18" x14ac:dyDescent="0.35">
      <c r="B29" s="159" t="s">
        <v>448</v>
      </c>
      <c r="C29" s="200" t="s">
        <v>468</v>
      </c>
      <c r="D29" s="760">
        <v>12</v>
      </c>
      <c r="E29" s="755" t="str">
        <f>E25</f>
        <v>mm</v>
      </c>
      <c r="F29" s="756" t="str">
        <f>IF(D29&lt;D25,"Sensor Long Side must be longer than Short Side","")</f>
        <v>Sensor Long Side must be longer than Short Side</v>
      </c>
      <c r="G29" s="330"/>
      <c r="H29" s="330"/>
      <c r="I29" s="330"/>
      <c r="J29" s="330"/>
      <c r="K29" s="330"/>
      <c r="L29" s="330"/>
      <c r="M29" s="330"/>
      <c r="N29" s="330"/>
      <c r="O29" s="330"/>
      <c r="P29" s="330"/>
      <c r="Q29" s="330"/>
      <c r="R29" s="330"/>
      <c r="S29" s="330"/>
      <c r="T29" s="330"/>
      <c r="U29" s="330"/>
      <c r="V29" s="330"/>
      <c r="W29" s="330"/>
      <c r="X29" s="330"/>
      <c r="Y29" s="330"/>
      <c r="Z29" s="330"/>
      <c r="AA29" s="330"/>
      <c r="AB29" s="330"/>
    </row>
    <row r="30" spans="2:28" ht="15" hidden="1" x14ac:dyDescent="0.15">
      <c r="B30" s="159" t="s">
        <v>1618</v>
      </c>
      <c r="C30" s="200"/>
      <c r="D30" s="761">
        <f>IF(E29="mm",D29,D29*0.0254)</f>
        <v>12</v>
      </c>
      <c r="E30" s="204" t="s">
        <v>34</v>
      </c>
      <c r="F30" s="202"/>
      <c r="G30" s="330"/>
      <c r="H30" s="330"/>
      <c r="I30" s="330"/>
      <c r="J30" s="330"/>
      <c r="K30" s="330"/>
      <c r="L30" s="330"/>
      <c r="M30" s="330"/>
      <c r="N30" s="330"/>
      <c r="O30" s="330"/>
      <c r="P30" s="330"/>
      <c r="Q30" s="330"/>
      <c r="R30" s="330"/>
      <c r="S30" s="330"/>
      <c r="T30" s="330"/>
      <c r="U30" s="330"/>
      <c r="V30" s="330"/>
      <c r="W30" s="330"/>
      <c r="X30" s="330"/>
      <c r="Y30" s="330"/>
      <c r="Z30" s="330"/>
      <c r="AA30" s="330"/>
      <c r="AB30" s="330"/>
    </row>
    <row r="31" spans="2:28" ht="15" hidden="1" x14ac:dyDescent="0.15">
      <c r="B31" s="159" t="s">
        <v>1547</v>
      </c>
      <c r="C31" s="200"/>
      <c r="D31" s="764">
        <f>IF(D28="Circular",1,D30/D27)</f>
        <v>1</v>
      </c>
      <c r="E31" s="204"/>
      <c r="F31" s="202"/>
      <c r="G31" s="330"/>
      <c r="H31" s="330"/>
      <c r="I31" s="330"/>
      <c r="J31" s="330"/>
      <c r="K31" s="330"/>
      <c r="L31" s="330"/>
      <c r="M31" s="330"/>
      <c r="N31" s="330"/>
      <c r="O31" s="330"/>
      <c r="P31" s="330"/>
      <c r="Q31" s="330"/>
      <c r="R31" s="330"/>
      <c r="S31" s="330"/>
      <c r="T31" s="330"/>
      <c r="U31" s="330"/>
      <c r="V31" s="330"/>
      <c r="W31" s="330"/>
      <c r="X31" s="330"/>
      <c r="Y31" s="330"/>
      <c r="Z31" s="330"/>
      <c r="AA31" s="330"/>
      <c r="AB31" s="330"/>
    </row>
    <row r="32" spans="2:28" ht="15" hidden="1" x14ac:dyDescent="0.15">
      <c r="B32" s="159" t="s">
        <v>387</v>
      </c>
      <c r="C32" s="200"/>
      <c r="D32" s="765">
        <f>1+(4*(D31-1)/PI())</f>
        <v>1</v>
      </c>
      <c r="E32" s="204"/>
      <c r="F32" s="202"/>
      <c r="G32" s="330"/>
      <c r="H32" s="330"/>
      <c r="I32" s="330"/>
      <c r="J32" s="330"/>
      <c r="K32" s="330"/>
      <c r="L32" s="330"/>
      <c r="M32" s="330"/>
      <c r="N32" s="330"/>
      <c r="O32" s="330"/>
      <c r="P32" s="330"/>
      <c r="Q32" s="330"/>
      <c r="R32" s="330"/>
      <c r="S32" s="330"/>
      <c r="T32" s="330"/>
      <c r="U32" s="330"/>
      <c r="V32" s="330"/>
      <c r="W32" s="330"/>
      <c r="X32" s="330"/>
      <c r="Y32" s="330"/>
      <c r="Z32" s="330"/>
      <c r="AA32" s="330"/>
      <c r="AB32" s="330"/>
    </row>
    <row r="33" spans="2:28" ht="15" x14ac:dyDescent="0.15">
      <c r="B33" s="159" t="s">
        <v>38</v>
      </c>
      <c r="C33" s="200" t="s">
        <v>39</v>
      </c>
      <c r="D33" s="763">
        <v>6</v>
      </c>
      <c r="E33" s="181" t="s">
        <v>616</v>
      </c>
      <c r="F33" s="202" t="s">
        <v>40</v>
      </c>
      <c r="G33" s="330"/>
      <c r="H33" s="779"/>
      <c r="I33" s="330"/>
      <c r="J33" s="330"/>
      <c r="K33" s="330"/>
      <c r="L33" s="330"/>
      <c r="M33" s="330"/>
      <c r="N33" s="330"/>
      <c r="O33" s="330"/>
      <c r="P33" s="330"/>
      <c r="Q33" s="330"/>
      <c r="R33" s="330"/>
      <c r="S33" s="330"/>
      <c r="T33" s="330"/>
      <c r="U33" s="330"/>
      <c r="V33" s="330"/>
      <c r="W33" s="330"/>
      <c r="X33" s="330"/>
      <c r="Y33" s="330"/>
      <c r="Z33" s="330"/>
      <c r="AA33" s="330"/>
      <c r="AB33" s="330"/>
    </row>
    <row r="34" spans="2:28" ht="15" hidden="1" x14ac:dyDescent="0.15">
      <c r="B34" s="159" t="s">
        <v>1537</v>
      </c>
      <c r="C34" s="200" t="str">
        <f>E33</f>
        <v>mil</v>
      </c>
      <c r="D34" s="762" t="str">
        <f>C34</f>
        <v>mil</v>
      </c>
      <c r="E34" s="750"/>
      <c r="F34" s="202"/>
      <c r="G34" s="330"/>
      <c r="H34" s="779"/>
      <c r="I34" s="330"/>
      <c r="J34" s="330"/>
      <c r="K34" s="330"/>
      <c r="L34" s="330"/>
      <c r="M34" s="330"/>
      <c r="N34" s="330"/>
      <c r="O34" s="330"/>
      <c r="P34" s="330"/>
      <c r="Q34" s="330"/>
      <c r="R34" s="330"/>
      <c r="S34" s="330"/>
      <c r="T34" s="330"/>
      <c r="U34" s="330"/>
      <c r="V34" s="330"/>
      <c r="W34" s="330"/>
      <c r="X34" s="330"/>
      <c r="Y34" s="330"/>
      <c r="Z34" s="330"/>
      <c r="AA34" s="330"/>
      <c r="AB34" s="330"/>
    </row>
    <row r="35" spans="2:28" ht="15" hidden="1" x14ac:dyDescent="0.15">
      <c r="B35" s="159" t="s">
        <v>1539</v>
      </c>
      <c r="C35" s="200"/>
      <c r="D35" s="765">
        <f>IF(D34="mm",D33,D33*0.0254)</f>
        <v>0.15239999999999998</v>
      </c>
      <c r="E35" s="750" t="s">
        <v>34</v>
      </c>
      <c r="F35" s="202"/>
      <c r="G35" s="330"/>
      <c r="H35" s="779"/>
      <c r="I35" s="330"/>
      <c r="J35" s="330"/>
      <c r="K35" s="330"/>
      <c r="L35" s="330"/>
      <c r="M35" s="330"/>
      <c r="N35" s="330"/>
      <c r="O35" s="330"/>
      <c r="P35" s="330"/>
      <c r="Q35" s="330"/>
      <c r="R35" s="330"/>
      <c r="S35" s="330"/>
      <c r="T35" s="330"/>
      <c r="U35" s="330"/>
      <c r="V35" s="330"/>
      <c r="W35" s="330"/>
      <c r="X35" s="330"/>
      <c r="Y35" s="330"/>
      <c r="Z35" s="330"/>
      <c r="AA35" s="330"/>
      <c r="AB35" s="330"/>
    </row>
    <row r="36" spans="2:28" ht="15" x14ac:dyDescent="0.15">
      <c r="B36" s="159" t="s">
        <v>41</v>
      </c>
      <c r="C36" s="200" t="s">
        <v>42</v>
      </c>
      <c r="D36" s="763">
        <v>6</v>
      </c>
      <c r="E36" s="181" t="s">
        <v>616</v>
      </c>
      <c r="F36" s="202" t="s">
        <v>43</v>
      </c>
      <c r="G36" s="330"/>
      <c r="H36" s="330"/>
      <c r="I36" s="330"/>
      <c r="J36" s="330"/>
      <c r="K36" s="330"/>
      <c r="L36" s="330"/>
      <c r="M36" s="330"/>
      <c r="N36" s="330"/>
      <c r="O36" s="330"/>
      <c r="P36" s="330"/>
      <c r="Q36" s="330"/>
      <c r="R36" s="330"/>
      <c r="S36" s="330"/>
      <c r="T36" s="330"/>
      <c r="U36" s="330"/>
      <c r="V36" s="330"/>
      <c r="W36" s="330"/>
      <c r="X36" s="330"/>
      <c r="Y36" s="330"/>
      <c r="Z36" s="330"/>
      <c r="AA36" s="330"/>
      <c r="AB36" s="330"/>
    </row>
    <row r="37" spans="2:28" hidden="1" x14ac:dyDescent="0.15">
      <c r="B37" s="159" t="s">
        <v>1540</v>
      </c>
      <c r="C37" s="200" t="str">
        <f>E36</f>
        <v>mil</v>
      </c>
      <c r="D37" s="657" t="str">
        <f>C37</f>
        <v>mil</v>
      </c>
      <c r="E37" s="750"/>
      <c r="F37" s="202"/>
      <c r="G37" s="330"/>
      <c r="H37" s="330"/>
      <c r="I37" s="330"/>
      <c r="J37" s="330"/>
      <c r="K37" s="330"/>
      <c r="L37" s="330"/>
      <c r="M37" s="330"/>
      <c r="N37" s="330"/>
      <c r="O37" s="330"/>
      <c r="P37" s="330"/>
      <c r="Q37" s="330"/>
      <c r="R37" s="330"/>
      <c r="S37" s="330"/>
      <c r="T37" s="330"/>
      <c r="U37" s="330"/>
      <c r="V37" s="330"/>
      <c r="W37" s="330"/>
      <c r="X37" s="330"/>
      <c r="Y37" s="330"/>
      <c r="Z37" s="330"/>
      <c r="AA37" s="330"/>
      <c r="AB37" s="330"/>
    </row>
    <row r="38" spans="2:28" ht="14.25" hidden="1" x14ac:dyDescent="0.15">
      <c r="B38" s="159" t="s">
        <v>1538</v>
      </c>
      <c r="C38" s="200"/>
      <c r="D38" s="753">
        <f>IF(D37="mm",D36,D36*0.0254)</f>
        <v>0.15239999999999998</v>
      </c>
      <c r="E38" s="750" t="s">
        <v>34</v>
      </c>
      <c r="F38" s="202"/>
      <c r="G38" s="330"/>
      <c r="H38" s="330"/>
      <c r="I38" s="330"/>
      <c r="J38" s="330"/>
      <c r="K38" s="330"/>
      <c r="L38" s="330"/>
      <c r="M38" s="330"/>
      <c r="N38" s="330"/>
      <c r="O38" s="330"/>
      <c r="P38" s="330"/>
      <c r="Q38" s="330"/>
      <c r="R38" s="330"/>
      <c r="S38" s="330"/>
      <c r="T38" s="330"/>
      <c r="U38" s="330"/>
      <c r="V38" s="330"/>
      <c r="W38" s="330"/>
      <c r="X38" s="330"/>
      <c r="Y38" s="330"/>
      <c r="Z38" s="330"/>
      <c r="AA38" s="330"/>
      <c r="AB38" s="330"/>
    </row>
    <row r="39" spans="2:28" x14ac:dyDescent="0.15">
      <c r="B39" s="159" t="s">
        <v>184</v>
      </c>
      <c r="C39" s="200" t="s">
        <v>191</v>
      </c>
      <c r="D39" s="384">
        <v>60</v>
      </c>
      <c r="E39" s="750" t="s">
        <v>616</v>
      </c>
      <c r="F39" s="202" t="s">
        <v>44</v>
      </c>
      <c r="G39" s="330"/>
      <c r="H39" s="330"/>
      <c r="I39" s="330"/>
      <c r="J39" s="330"/>
      <c r="K39" s="330"/>
      <c r="L39" s="330"/>
      <c r="M39" s="330"/>
      <c r="N39" s="330"/>
      <c r="O39" s="330"/>
      <c r="P39" s="330"/>
      <c r="Q39" s="330"/>
      <c r="R39" s="330"/>
      <c r="S39" s="330"/>
      <c r="T39" s="330"/>
      <c r="U39" s="330"/>
      <c r="V39" s="330"/>
      <c r="W39" s="330"/>
      <c r="X39" s="330"/>
      <c r="Y39" s="330"/>
      <c r="Z39" s="330"/>
      <c r="AA39" s="330"/>
      <c r="AB39" s="330"/>
    </row>
    <row r="40" spans="2:28" x14ac:dyDescent="0.15">
      <c r="B40" s="159" t="s">
        <v>185</v>
      </c>
      <c r="C40" s="200" t="s">
        <v>192</v>
      </c>
      <c r="D40" s="384">
        <v>30</v>
      </c>
      <c r="E40" s="203" t="str">
        <f>E39</f>
        <v>mil</v>
      </c>
      <c r="F40" s="202" t="s">
        <v>45</v>
      </c>
      <c r="G40" s="330"/>
      <c r="H40" s="330"/>
      <c r="I40" s="330"/>
      <c r="J40" s="330"/>
      <c r="K40" s="330"/>
      <c r="L40" s="330"/>
      <c r="M40" s="330"/>
      <c r="N40" s="330"/>
      <c r="O40" s="330"/>
      <c r="P40" s="330"/>
      <c r="Q40" s="330"/>
      <c r="R40" s="330"/>
      <c r="S40" s="330"/>
      <c r="T40" s="330"/>
      <c r="U40" s="330"/>
      <c r="V40" s="330"/>
      <c r="W40" s="330"/>
      <c r="X40" s="330"/>
      <c r="Y40" s="330"/>
      <c r="Z40" s="330"/>
      <c r="AA40" s="330"/>
      <c r="AB40" s="330"/>
    </row>
    <row r="41" spans="2:28" x14ac:dyDescent="0.15">
      <c r="B41" s="159" t="s">
        <v>186</v>
      </c>
      <c r="C41" s="200" t="s">
        <v>193</v>
      </c>
      <c r="D41" s="384">
        <v>8</v>
      </c>
      <c r="E41" s="203" t="str">
        <f t="shared" ref="E41:E45" si="0">E40</f>
        <v>mil</v>
      </c>
      <c r="F41" s="202" t="s">
        <v>46</v>
      </c>
      <c r="G41" s="330"/>
      <c r="H41" s="330"/>
      <c r="I41" s="330"/>
      <c r="J41" s="330"/>
      <c r="K41" s="330"/>
      <c r="L41" s="330"/>
      <c r="M41" s="330"/>
      <c r="N41" s="330"/>
      <c r="O41" s="330"/>
      <c r="P41" s="330"/>
      <c r="Q41" s="330"/>
      <c r="R41" s="330"/>
      <c r="S41" s="330"/>
      <c r="T41" s="330"/>
      <c r="U41" s="330"/>
      <c r="V41" s="330"/>
      <c r="W41" s="330"/>
      <c r="X41" s="330"/>
      <c r="Y41" s="330"/>
      <c r="Z41" s="330"/>
      <c r="AA41" s="330"/>
      <c r="AB41" s="330"/>
    </row>
    <row r="42" spans="2:28" x14ac:dyDescent="0.15">
      <c r="B42" s="159" t="s">
        <v>187</v>
      </c>
      <c r="C42" s="200" t="s">
        <v>194</v>
      </c>
      <c r="D42" s="384">
        <v>8</v>
      </c>
      <c r="E42" s="203" t="str">
        <f t="shared" si="0"/>
        <v>mil</v>
      </c>
      <c r="F42" s="202" t="s">
        <v>47</v>
      </c>
      <c r="G42" s="330"/>
      <c r="H42" s="330"/>
      <c r="I42" s="330"/>
      <c r="J42" s="330"/>
      <c r="K42" s="330"/>
      <c r="L42" s="330"/>
      <c r="M42" s="330"/>
      <c r="N42" s="330"/>
      <c r="O42" s="330"/>
      <c r="P42" s="330"/>
      <c r="Q42" s="330"/>
      <c r="R42" s="330"/>
      <c r="S42" s="330"/>
      <c r="T42" s="330"/>
      <c r="U42" s="330"/>
      <c r="V42" s="330"/>
      <c r="W42" s="330"/>
      <c r="X42" s="330"/>
      <c r="Y42" s="330"/>
      <c r="Z42" s="330"/>
      <c r="AA42" s="330"/>
      <c r="AB42" s="330"/>
    </row>
    <row r="43" spans="2:28" x14ac:dyDescent="0.15">
      <c r="B43" s="159" t="s">
        <v>188</v>
      </c>
      <c r="C43" s="200" t="s">
        <v>195</v>
      </c>
      <c r="D43" s="384">
        <v>8</v>
      </c>
      <c r="E43" s="203" t="str">
        <f t="shared" si="0"/>
        <v>mil</v>
      </c>
      <c r="F43" s="202" t="s">
        <v>48</v>
      </c>
      <c r="G43" s="330"/>
      <c r="H43" s="330"/>
      <c r="I43" s="330"/>
      <c r="J43" s="330"/>
      <c r="K43" s="330"/>
      <c r="L43" s="330"/>
      <c r="M43" s="330"/>
      <c r="N43" s="330"/>
      <c r="O43" s="330"/>
      <c r="P43" s="330"/>
      <c r="Q43" s="330"/>
      <c r="R43" s="330"/>
      <c r="S43" s="330"/>
      <c r="T43" s="330"/>
      <c r="U43" s="330"/>
      <c r="V43" s="330"/>
      <c r="W43" s="330"/>
      <c r="X43" s="330"/>
      <c r="Y43" s="330"/>
      <c r="Z43" s="330"/>
      <c r="AA43" s="330"/>
      <c r="AB43" s="330"/>
    </row>
    <row r="44" spans="2:28" ht="15.6" customHeight="1" x14ac:dyDescent="0.15">
      <c r="B44" s="159" t="s">
        <v>189</v>
      </c>
      <c r="C44" s="200" t="s">
        <v>196</v>
      </c>
      <c r="D44" s="384">
        <f>62*0.0254</f>
        <v>1.5748</v>
      </c>
      <c r="E44" s="203" t="str">
        <f t="shared" si="0"/>
        <v>mil</v>
      </c>
      <c r="F44" s="202" t="s">
        <v>49</v>
      </c>
      <c r="G44" s="330"/>
      <c r="H44" s="330"/>
      <c r="I44" s="330"/>
      <c r="J44" s="330"/>
      <c r="K44" s="330"/>
      <c r="L44" s="330"/>
      <c r="M44" s="330"/>
      <c r="N44" s="330"/>
      <c r="O44" s="330"/>
      <c r="P44" s="330"/>
      <c r="Q44" s="330"/>
      <c r="R44" s="330"/>
      <c r="S44" s="330"/>
      <c r="T44" s="330"/>
      <c r="U44" s="330"/>
      <c r="V44" s="330"/>
      <c r="W44" s="330"/>
      <c r="X44" s="330"/>
      <c r="Y44" s="330"/>
      <c r="Z44" s="330"/>
      <c r="AA44" s="330"/>
      <c r="AB44" s="330"/>
    </row>
    <row r="45" spans="2:28" x14ac:dyDescent="0.15">
      <c r="B45" s="159" t="s">
        <v>190</v>
      </c>
      <c r="C45" s="200" t="s">
        <v>197</v>
      </c>
      <c r="D45" s="384">
        <f>62*0.0254</f>
        <v>1.5748</v>
      </c>
      <c r="E45" s="203" t="str">
        <f t="shared" si="0"/>
        <v>mil</v>
      </c>
      <c r="F45" s="202" t="s">
        <v>50</v>
      </c>
      <c r="G45" s="330"/>
      <c r="H45" s="330"/>
      <c r="I45" s="330"/>
      <c r="J45" s="330"/>
      <c r="K45" s="330"/>
      <c r="L45" s="330"/>
      <c r="M45" s="330"/>
      <c r="N45" s="330"/>
      <c r="O45" s="330"/>
      <c r="P45" s="330"/>
      <c r="Q45" s="330"/>
      <c r="R45" s="330"/>
      <c r="S45" s="330"/>
      <c r="T45" s="330"/>
      <c r="U45" s="330"/>
      <c r="V45" s="330"/>
      <c r="W45" s="330"/>
      <c r="X45" s="330"/>
      <c r="Y45" s="330"/>
      <c r="Z45" s="330"/>
      <c r="AA45" s="330"/>
      <c r="AB45" s="330"/>
    </row>
    <row r="46" spans="2:28" x14ac:dyDescent="0.15">
      <c r="B46" s="159" t="s">
        <v>51</v>
      </c>
      <c r="C46" s="200" t="s">
        <v>52</v>
      </c>
      <c r="D46" s="183">
        <v>1</v>
      </c>
      <c r="E46" s="181" t="s">
        <v>53</v>
      </c>
      <c r="F46" s="202" t="s">
        <v>54</v>
      </c>
      <c r="G46" s="330"/>
      <c r="H46" s="330"/>
      <c r="I46" s="330"/>
      <c r="J46" s="330"/>
      <c r="K46" s="330"/>
      <c r="L46" s="330"/>
      <c r="M46" s="330"/>
      <c r="N46" s="330"/>
      <c r="O46" s="330"/>
      <c r="P46" s="330"/>
      <c r="Q46" s="330"/>
      <c r="R46" s="330"/>
      <c r="S46" s="330"/>
      <c r="T46" s="330"/>
      <c r="U46" s="330"/>
      <c r="V46" s="330"/>
      <c r="W46" s="330"/>
      <c r="X46" s="330"/>
      <c r="Y46" s="330"/>
      <c r="Z46" s="330"/>
      <c r="AA46" s="330"/>
      <c r="AB46" s="330"/>
    </row>
    <row r="47" spans="2:28" hidden="1" x14ac:dyDescent="0.15">
      <c r="B47" s="159" t="s">
        <v>1542</v>
      </c>
      <c r="C47" s="200" t="str">
        <f>E46</f>
        <v>oz-Cu</v>
      </c>
      <c r="D47" s="384" t="str">
        <f>C47</f>
        <v>oz-Cu</v>
      </c>
      <c r="E47" s="750"/>
      <c r="F47" s="202"/>
      <c r="G47" s="330"/>
      <c r="H47" s="330"/>
      <c r="I47" s="330"/>
      <c r="J47" s="330"/>
      <c r="K47" s="330"/>
      <c r="L47" s="330"/>
      <c r="M47" s="330"/>
      <c r="N47" s="330"/>
      <c r="O47" s="330"/>
      <c r="P47" s="330"/>
      <c r="Q47" s="330"/>
      <c r="R47" s="330"/>
      <c r="S47" s="330"/>
      <c r="T47" s="330"/>
      <c r="U47" s="330"/>
      <c r="V47" s="330"/>
      <c r="W47" s="330"/>
      <c r="X47" s="330"/>
      <c r="Y47" s="330"/>
      <c r="Z47" s="330"/>
      <c r="AA47" s="330"/>
      <c r="AB47" s="330"/>
    </row>
    <row r="48" spans="2:28" hidden="1" x14ac:dyDescent="0.15">
      <c r="B48" s="159" t="s">
        <v>1541</v>
      </c>
      <c r="C48" s="200"/>
      <c r="D48" s="751">
        <f>IF(D47="mm",D46, IF(D47="mil",D46*0.0254,D46*0.0347))</f>
        <v>3.4700000000000002E-2</v>
      </c>
      <c r="E48" s="750" t="s">
        <v>34</v>
      </c>
      <c r="F48" s="202"/>
      <c r="G48" s="330"/>
      <c r="H48" s="330"/>
      <c r="I48" s="330"/>
      <c r="J48" s="330"/>
      <c r="K48" s="330"/>
      <c r="L48" s="330"/>
      <c r="M48" s="330"/>
      <c r="N48" s="330"/>
      <c r="O48" s="330"/>
      <c r="P48" s="330"/>
      <c r="Q48" s="330"/>
      <c r="R48" s="330"/>
      <c r="S48" s="330"/>
      <c r="T48" s="330"/>
      <c r="U48" s="330"/>
      <c r="V48" s="330"/>
      <c r="W48" s="330"/>
      <c r="X48" s="330"/>
      <c r="Y48" s="330"/>
      <c r="Z48" s="330"/>
      <c r="AA48" s="330"/>
      <c r="AB48" s="330"/>
    </row>
    <row r="49" spans="1:28" ht="15" customHeight="1" x14ac:dyDescent="0.2">
      <c r="B49" s="334" t="s">
        <v>593</v>
      </c>
      <c r="C49" s="335" t="s">
        <v>55</v>
      </c>
      <c r="D49" s="336">
        <v>1.6800000000000002E-8</v>
      </c>
      <c r="E49" s="337" t="s">
        <v>594</v>
      </c>
      <c r="F49" s="338" t="s">
        <v>592</v>
      </c>
      <c r="G49" s="330"/>
      <c r="H49" s="330"/>
      <c r="I49" s="330"/>
      <c r="J49" s="330"/>
      <c r="K49" s="330"/>
      <c r="L49" s="330"/>
      <c r="M49" s="330"/>
      <c r="N49" s="330"/>
      <c r="O49" s="330"/>
      <c r="P49" s="330"/>
      <c r="Q49" s="330"/>
      <c r="R49" s="330"/>
      <c r="S49" s="330"/>
      <c r="T49" s="330"/>
      <c r="U49" s="330"/>
      <c r="V49" s="330"/>
      <c r="W49" s="330"/>
      <c r="X49" s="330"/>
      <c r="Y49" s="330"/>
      <c r="Z49" s="330"/>
      <c r="AA49" s="330"/>
      <c r="AB49" s="330"/>
    </row>
    <row r="50" spans="1:28" ht="14.25" x14ac:dyDescent="0.2">
      <c r="B50" s="334" t="s">
        <v>255</v>
      </c>
      <c r="C50" s="335" t="s">
        <v>56</v>
      </c>
      <c r="D50" s="339">
        <v>0.39300000000000002</v>
      </c>
      <c r="E50" s="337" t="s">
        <v>595</v>
      </c>
      <c r="F50" s="338" t="s">
        <v>591</v>
      </c>
      <c r="G50" s="330"/>
      <c r="H50" s="330"/>
      <c r="I50" s="330"/>
      <c r="J50" s="330"/>
      <c r="K50" s="330"/>
      <c r="L50" s="330"/>
      <c r="M50" s="330"/>
      <c r="N50" s="330"/>
      <c r="O50" s="330"/>
      <c r="P50" s="330"/>
      <c r="Q50" s="330"/>
      <c r="R50" s="330"/>
      <c r="S50" s="330"/>
      <c r="T50" s="330"/>
      <c r="U50" s="330"/>
      <c r="V50" s="330"/>
      <c r="W50" s="330"/>
      <c r="X50" s="330"/>
      <c r="Y50" s="330"/>
      <c r="Z50" s="330"/>
      <c r="AA50" s="330"/>
      <c r="AB50" s="330"/>
    </row>
    <row r="51" spans="1:28" ht="15" x14ac:dyDescent="0.25">
      <c r="B51" s="334" t="s">
        <v>57</v>
      </c>
      <c r="C51" s="340" t="s">
        <v>596</v>
      </c>
      <c r="D51" s="341">
        <v>1</v>
      </c>
      <c r="E51" s="337"/>
      <c r="F51" s="338" t="s">
        <v>597</v>
      </c>
      <c r="G51" s="330"/>
      <c r="H51" s="330"/>
      <c r="I51" s="330"/>
      <c r="J51" s="330"/>
      <c r="K51" s="330"/>
      <c r="L51" s="330"/>
      <c r="M51" s="330"/>
      <c r="N51" s="330"/>
      <c r="O51" s="330"/>
      <c r="P51" s="330"/>
      <c r="Q51" s="330"/>
      <c r="R51" s="330"/>
      <c r="S51" s="330"/>
      <c r="T51" s="330"/>
      <c r="U51" s="330"/>
      <c r="V51" s="330"/>
      <c r="W51" s="330"/>
      <c r="X51" s="330"/>
      <c r="Y51" s="330"/>
      <c r="Z51" s="330"/>
      <c r="AA51" s="330"/>
      <c r="AB51" s="330"/>
    </row>
    <row r="52" spans="1:28" x14ac:dyDescent="0.15">
      <c r="B52" s="334" t="s">
        <v>58</v>
      </c>
      <c r="C52" s="335" t="s">
        <v>59</v>
      </c>
      <c r="D52" s="342">
        <v>4</v>
      </c>
      <c r="E52" s="337" t="s">
        <v>27</v>
      </c>
      <c r="F52" s="338" t="s">
        <v>60</v>
      </c>
      <c r="G52" s="330"/>
      <c r="H52" s="330"/>
      <c r="I52" s="330"/>
      <c r="J52" s="330"/>
      <c r="K52" s="330"/>
      <c r="L52" s="330"/>
      <c r="M52" s="330"/>
      <c r="N52" s="330"/>
      <c r="O52" s="330"/>
      <c r="P52" s="330"/>
      <c r="Q52" s="330"/>
      <c r="R52" s="330"/>
      <c r="S52" s="330"/>
      <c r="T52" s="330"/>
      <c r="U52" s="330"/>
      <c r="V52" s="330"/>
      <c r="W52" s="330"/>
      <c r="X52" s="330"/>
      <c r="Y52" s="330"/>
      <c r="Z52" s="330"/>
      <c r="AA52" s="330"/>
      <c r="AB52" s="330"/>
    </row>
    <row r="53" spans="1:28" x14ac:dyDescent="0.15">
      <c r="B53" s="205" t="s">
        <v>61</v>
      </c>
      <c r="C53" s="206" t="s">
        <v>62</v>
      </c>
      <c r="D53" s="207">
        <f>D49*(1+(D50/100)*(D21-20))</f>
        <v>1.713012E-8</v>
      </c>
      <c r="E53" s="208" t="s">
        <v>469</v>
      </c>
      <c r="F53" s="209"/>
      <c r="G53" s="330"/>
      <c r="H53" s="330"/>
      <c r="I53" s="330"/>
      <c r="J53" s="330"/>
      <c r="K53" s="330"/>
      <c r="L53" s="330"/>
      <c r="M53" s="330"/>
      <c r="N53" s="330"/>
      <c r="O53" s="330"/>
      <c r="P53" s="330"/>
      <c r="Q53" s="330"/>
      <c r="R53" s="330"/>
      <c r="S53" s="330"/>
      <c r="T53" s="330"/>
      <c r="U53" s="330"/>
      <c r="V53" s="330"/>
      <c r="W53" s="330"/>
      <c r="X53" s="330"/>
      <c r="Y53" s="330"/>
      <c r="Z53" s="330"/>
      <c r="AA53" s="330"/>
      <c r="AB53" s="330"/>
    </row>
    <row r="54" spans="1:28" x14ac:dyDescent="0.15">
      <c r="A54" s="210"/>
      <c r="B54" s="211" t="s">
        <v>286</v>
      </c>
      <c r="C54" s="212" t="s">
        <v>288</v>
      </c>
      <c r="D54" s="213">
        <f>D57/D27</f>
        <v>0.16673381294964046</v>
      </c>
      <c r="E54" s="204"/>
      <c r="F54" s="808" t="s">
        <v>1650</v>
      </c>
      <c r="G54" s="330"/>
      <c r="H54" s="330"/>
      <c r="I54" s="330"/>
      <c r="J54" s="330"/>
      <c r="K54" s="330"/>
      <c r="L54" s="330"/>
      <c r="M54" s="330"/>
      <c r="N54" s="330"/>
      <c r="O54" s="330"/>
      <c r="P54" s="330"/>
      <c r="Q54" s="330"/>
      <c r="R54" s="330"/>
      <c r="S54" s="330"/>
      <c r="T54" s="330"/>
      <c r="U54" s="330"/>
      <c r="V54" s="330"/>
      <c r="W54" s="330"/>
      <c r="X54" s="330"/>
      <c r="Y54" s="330"/>
      <c r="Z54" s="330"/>
      <c r="AA54" s="330"/>
      <c r="AB54" s="330"/>
    </row>
    <row r="55" spans="1:28" hidden="1" x14ac:dyDescent="0.15">
      <c r="A55" s="210"/>
      <c r="B55" s="205" t="s">
        <v>63</v>
      </c>
      <c r="C55" s="206" t="s">
        <v>64</v>
      </c>
      <c r="D55" s="214">
        <f>MAX(0,D32*(D57+D27)/2)</f>
        <v>8.1088000000000022</v>
      </c>
      <c r="E55" s="215" t="s">
        <v>34</v>
      </c>
      <c r="F55" s="209"/>
      <c r="G55" s="330"/>
      <c r="H55" s="330"/>
      <c r="I55" s="330"/>
      <c r="J55" s="330"/>
      <c r="K55" s="330"/>
      <c r="L55" s="330"/>
      <c r="M55" s="330"/>
      <c r="N55" s="330"/>
      <c r="O55" s="330"/>
      <c r="P55" s="330"/>
      <c r="Q55" s="330"/>
      <c r="R55" s="330"/>
      <c r="S55" s="330"/>
      <c r="T55" s="330"/>
      <c r="U55" s="330"/>
      <c r="V55" s="330"/>
      <c r="W55" s="330"/>
      <c r="X55" s="330"/>
      <c r="Y55" s="330"/>
      <c r="Z55" s="330"/>
      <c r="AA55" s="330"/>
      <c r="AB55" s="330"/>
    </row>
    <row r="56" spans="1:28" hidden="1" x14ac:dyDescent="0.15">
      <c r="A56" s="210"/>
      <c r="B56" s="205" t="s">
        <v>65</v>
      </c>
      <c r="C56" s="206" t="s">
        <v>66</v>
      </c>
      <c r="D56" s="216">
        <f>(D27-D57)/(D27+D57)</f>
        <v>0.71418705603788446</v>
      </c>
      <c r="E56" s="215"/>
      <c r="F56" s="209"/>
      <c r="G56" s="330"/>
      <c r="H56" s="330"/>
      <c r="I56" s="330"/>
      <c r="J56" s="330"/>
      <c r="K56" s="330"/>
      <c r="L56" s="330"/>
      <c r="M56" s="330"/>
      <c r="N56" s="330"/>
      <c r="O56" s="330"/>
      <c r="P56" s="330"/>
      <c r="Q56" s="330"/>
      <c r="R56" s="330"/>
      <c r="S56" s="330"/>
      <c r="T56" s="330"/>
      <c r="U56" s="330"/>
      <c r="V56" s="330"/>
      <c r="W56" s="330"/>
      <c r="X56" s="330"/>
      <c r="Y56" s="330"/>
      <c r="Z56" s="330"/>
      <c r="AA56" s="330"/>
      <c r="AB56" s="330"/>
    </row>
    <row r="57" spans="1:28" hidden="1" x14ac:dyDescent="0.15">
      <c r="A57" s="210"/>
      <c r="B57" s="205" t="s">
        <v>1535</v>
      </c>
      <c r="C57" s="206"/>
      <c r="D57" s="216">
        <f>D27-(2*D24+1)*D38-(2*D24-1)*D35</f>
        <v>2.3176000000000023</v>
      </c>
      <c r="E57" s="215" t="s">
        <v>34</v>
      </c>
      <c r="F57" s="209"/>
      <c r="G57" s="330"/>
      <c r="H57" s="330"/>
      <c r="I57" s="330"/>
      <c r="J57" s="330"/>
      <c r="K57" s="330"/>
      <c r="L57" s="330"/>
      <c r="M57" s="330"/>
      <c r="N57" s="330"/>
      <c r="O57" s="330"/>
      <c r="P57" s="330"/>
      <c r="Q57" s="330"/>
      <c r="R57" s="330"/>
      <c r="S57" s="330"/>
      <c r="T57" s="330"/>
      <c r="U57" s="330"/>
      <c r="V57" s="330"/>
      <c r="W57" s="330"/>
      <c r="X57" s="330"/>
      <c r="Y57" s="330"/>
      <c r="Z57" s="330"/>
      <c r="AA57" s="330"/>
      <c r="AB57" s="330"/>
    </row>
    <row r="58" spans="1:28" hidden="1" x14ac:dyDescent="0.15">
      <c r="A58" s="210"/>
      <c r="B58" s="205" t="s">
        <v>1543</v>
      </c>
      <c r="C58" s="206" t="str">
        <f>E59</f>
        <v>mm</v>
      </c>
      <c r="D58" s="216" t="str">
        <f>C58</f>
        <v>mm</v>
      </c>
      <c r="E58" s="215"/>
      <c r="F58" s="209"/>
      <c r="G58" s="330"/>
      <c r="H58" s="330"/>
      <c r="I58" s="330"/>
      <c r="J58" s="330"/>
      <c r="K58" s="330"/>
      <c r="L58" s="330"/>
      <c r="M58" s="330"/>
      <c r="N58" s="330"/>
      <c r="O58" s="330"/>
      <c r="P58" s="330"/>
      <c r="Q58" s="330"/>
      <c r="R58" s="330"/>
      <c r="S58" s="330"/>
      <c r="T58" s="330"/>
      <c r="U58" s="330"/>
      <c r="V58" s="330"/>
      <c r="W58" s="330"/>
      <c r="X58" s="330"/>
      <c r="Y58" s="330"/>
      <c r="Z58" s="330"/>
      <c r="AA58" s="330"/>
      <c r="AB58" s="330"/>
    </row>
    <row r="59" spans="1:28" x14ac:dyDescent="0.15">
      <c r="A59" s="210"/>
      <c r="B59" s="205" t="s">
        <v>67</v>
      </c>
      <c r="C59" s="206" t="s">
        <v>36</v>
      </c>
      <c r="D59" s="217">
        <f>IF(D58="mm",D57,D57/0.0254)</f>
        <v>2.3176000000000023</v>
      </c>
      <c r="E59" s="181" t="s">
        <v>34</v>
      </c>
      <c r="F59" s="202" t="s">
        <v>37</v>
      </c>
      <c r="G59" s="330"/>
      <c r="H59" s="485"/>
      <c r="I59" s="330"/>
      <c r="J59" s="330"/>
      <c r="K59" s="330"/>
      <c r="L59" s="330"/>
      <c r="M59" s="330"/>
      <c r="N59" s="330"/>
      <c r="O59" s="330"/>
      <c r="P59" s="330"/>
      <c r="Q59" s="330"/>
      <c r="R59" s="330"/>
      <c r="S59" s="330"/>
      <c r="T59" s="330"/>
      <c r="U59" s="330"/>
      <c r="V59" s="330"/>
      <c r="W59" s="330"/>
      <c r="X59" s="330"/>
      <c r="Y59" s="330"/>
      <c r="Z59" s="330"/>
      <c r="AA59" s="330"/>
      <c r="AB59" s="330"/>
    </row>
    <row r="60" spans="1:28" ht="14.25" x14ac:dyDescent="0.2">
      <c r="A60" s="210"/>
      <c r="B60" s="211" t="s">
        <v>68</v>
      </c>
      <c r="C60" s="212" t="s">
        <v>69</v>
      </c>
      <c r="D60" s="219">
        <f>0.5*4*PI()*0.0001*D24*D24*D55*(LN(2.46/D56)+0.2*D56*D56)</f>
        <v>2.4623755225842094</v>
      </c>
      <c r="E60" s="201" t="s">
        <v>470</v>
      </c>
      <c r="F60" s="220"/>
      <c r="G60" s="330"/>
      <c r="H60" s="330"/>
      <c r="I60" s="330"/>
      <c r="J60" s="330"/>
      <c r="K60" s="330"/>
      <c r="L60" s="330"/>
      <c r="M60" s="330"/>
      <c r="N60" s="330"/>
      <c r="O60" s="330"/>
      <c r="P60" s="330"/>
      <c r="Q60" s="330"/>
      <c r="R60" s="330"/>
      <c r="S60" s="330"/>
      <c r="T60" s="330"/>
      <c r="U60" s="330"/>
      <c r="V60" s="330"/>
      <c r="W60" s="330"/>
      <c r="X60" s="330"/>
      <c r="Y60" s="330"/>
      <c r="Z60" s="330"/>
      <c r="AA60" s="330"/>
      <c r="AB60" s="330"/>
    </row>
    <row r="61" spans="1:28" hidden="1" x14ac:dyDescent="0.15">
      <c r="A61" s="210"/>
      <c r="B61" s="748"/>
      <c r="C61" s="212"/>
      <c r="D61" s="219"/>
      <c r="E61" s="201"/>
      <c r="F61" s="220"/>
      <c r="G61" s="330"/>
      <c r="H61" s="330"/>
      <c r="I61" s="330"/>
      <c r="J61" s="330"/>
      <c r="K61" s="330"/>
      <c r="L61" s="330"/>
      <c r="M61" s="330"/>
      <c r="N61" s="330"/>
      <c r="O61" s="330"/>
      <c r="P61" s="330"/>
      <c r="Q61" s="330"/>
      <c r="R61" s="330"/>
      <c r="S61" s="330"/>
      <c r="T61" s="330"/>
      <c r="U61" s="330"/>
      <c r="V61" s="330"/>
      <c r="W61" s="330"/>
      <c r="X61" s="330"/>
      <c r="Y61" s="330"/>
      <c r="Z61" s="330"/>
      <c r="AA61" s="330"/>
      <c r="AB61" s="330"/>
    </row>
    <row r="62" spans="1:28" hidden="1" x14ac:dyDescent="0.15">
      <c r="A62" s="210"/>
      <c r="C62" s="747"/>
      <c r="D62" s="749"/>
      <c r="E62" s="660"/>
      <c r="F62" s="220"/>
      <c r="G62" s="330"/>
      <c r="H62" s="330"/>
      <c r="I62" s="330"/>
      <c r="J62" s="330"/>
      <c r="K62" s="330"/>
      <c r="L62" s="330"/>
      <c r="M62" s="330"/>
      <c r="N62" s="330"/>
      <c r="O62" s="330"/>
      <c r="P62" s="330"/>
      <c r="Q62" s="330"/>
      <c r="R62" s="330"/>
      <c r="S62" s="330"/>
      <c r="T62" s="330"/>
      <c r="U62" s="330"/>
      <c r="V62" s="330"/>
      <c r="W62" s="330"/>
      <c r="X62" s="330"/>
      <c r="Y62" s="330"/>
      <c r="Z62" s="330"/>
      <c r="AA62" s="330"/>
      <c r="AB62" s="330"/>
    </row>
    <row r="63" spans="1:28" hidden="1" x14ac:dyDescent="0.15">
      <c r="A63" s="210"/>
      <c r="B63" s="803" t="s">
        <v>1626</v>
      </c>
      <c r="C63" s="747"/>
      <c r="D63" s="749">
        <f>IF(E39="mm",D39,D39*0.0254)</f>
        <v>1.524</v>
      </c>
      <c r="E63" s="660" t="s">
        <v>34</v>
      </c>
      <c r="F63" s="220"/>
      <c r="G63" s="330"/>
      <c r="H63" s="330"/>
      <c r="I63" s="330"/>
      <c r="J63" s="330"/>
      <c r="K63" s="330"/>
      <c r="L63" s="330"/>
      <c r="M63" s="330"/>
      <c r="N63" s="330"/>
      <c r="O63" s="330"/>
      <c r="P63" s="330"/>
      <c r="Q63" s="330"/>
      <c r="R63" s="330"/>
      <c r="S63" s="330"/>
      <c r="T63" s="330"/>
      <c r="U63" s="330"/>
      <c r="V63" s="330"/>
      <c r="W63" s="330"/>
      <c r="X63" s="330"/>
      <c r="Y63" s="330"/>
      <c r="Z63" s="330"/>
      <c r="AA63" s="330"/>
      <c r="AB63" s="330"/>
    </row>
    <row r="64" spans="1:28" hidden="1" x14ac:dyDescent="0.15">
      <c r="A64" s="210"/>
      <c r="B64" s="803" t="s">
        <v>1627</v>
      </c>
      <c r="C64" s="747"/>
      <c r="D64" s="749">
        <f t="shared" ref="D64:D69" si="1">IF(E40="mm",D40,D40*0.0254)</f>
        <v>0.76200000000000001</v>
      </c>
      <c r="E64" s="660" t="s">
        <v>34</v>
      </c>
      <c r="F64" s="220"/>
      <c r="G64" s="330"/>
      <c r="H64" s="330"/>
      <c r="I64" s="330"/>
      <c r="J64" s="330"/>
      <c r="K64" s="330"/>
      <c r="L64" s="330"/>
      <c r="M64" s="330"/>
      <c r="N64" s="330"/>
      <c r="O64" s="330"/>
      <c r="P64" s="330"/>
      <c r="Q64" s="330"/>
      <c r="R64" s="330"/>
      <c r="S64" s="330"/>
      <c r="T64" s="330"/>
      <c r="U64" s="330"/>
      <c r="V64" s="330"/>
      <c r="W64" s="330"/>
      <c r="X64" s="330"/>
      <c r="Y64" s="330"/>
      <c r="Z64" s="330"/>
      <c r="AA64" s="330"/>
      <c r="AB64" s="330"/>
    </row>
    <row r="65" spans="1:28" hidden="1" x14ac:dyDescent="0.15">
      <c r="A65" s="210"/>
      <c r="B65" s="803" t="s">
        <v>1628</v>
      </c>
      <c r="C65" s="747"/>
      <c r="D65" s="749">
        <f t="shared" si="1"/>
        <v>0.20319999999999999</v>
      </c>
      <c r="E65" s="660" t="s">
        <v>34</v>
      </c>
      <c r="F65" s="220"/>
      <c r="G65" s="330"/>
      <c r="H65" s="330"/>
      <c r="I65" s="330"/>
      <c r="J65" s="330"/>
      <c r="K65" s="330"/>
      <c r="L65" s="330"/>
      <c r="M65" s="330"/>
      <c r="N65" s="330"/>
      <c r="O65" s="330"/>
      <c r="P65" s="330"/>
      <c r="Q65" s="330"/>
      <c r="R65" s="330"/>
      <c r="S65" s="330"/>
      <c r="T65" s="330"/>
      <c r="U65" s="330"/>
      <c r="V65" s="330"/>
      <c r="W65" s="330"/>
      <c r="X65" s="330"/>
      <c r="Y65" s="330"/>
      <c r="Z65" s="330"/>
      <c r="AA65" s="330"/>
      <c r="AB65" s="330"/>
    </row>
    <row r="66" spans="1:28" hidden="1" x14ac:dyDescent="0.15">
      <c r="A66" s="210"/>
      <c r="B66" s="803" t="s">
        <v>1629</v>
      </c>
      <c r="C66" s="747"/>
      <c r="D66" s="749">
        <f t="shared" si="1"/>
        <v>0.20319999999999999</v>
      </c>
      <c r="E66" s="660" t="s">
        <v>34</v>
      </c>
      <c r="F66" s="220"/>
      <c r="G66" s="330"/>
      <c r="H66" s="330"/>
      <c r="I66" s="330"/>
      <c r="J66" s="330"/>
      <c r="K66" s="330"/>
      <c r="L66" s="330"/>
      <c r="M66" s="330"/>
      <c r="N66" s="330"/>
      <c r="O66" s="330"/>
      <c r="P66" s="330"/>
      <c r="Q66" s="330"/>
      <c r="R66" s="330"/>
      <c r="S66" s="330"/>
      <c r="T66" s="330"/>
      <c r="U66" s="330"/>
      <c r="V66" s="330"/>
      <c r="W66" s="330"/>
      <c r="X66" s="330"/>
      <c r="Y66" s="330"/>
      <c r="Z66" s="330"/>
      <c r="AA66" s="330"/>
      <c r="AB66" s="330"/>
    </row>
    <row r="67" spans="1:28" hidden="1" x14ac:dyDescent="0.15">
      <c r="A67" s="210"/>
      <c r="B67" s="803" t="s">
        <v>1630</v>
      </c>
      <c r="C67" s="747"/>
      <c r="D67" s="749">
        <f t="shared" si="1"/>
        <v>0.20319999999999999</v>
      </c>
      <c r="E67" s="660" t="s">
        <v>34</v>
      </c>
      <c r="F67" s="220"/>
      <c r="G67" s="330"/>
      <c r="H67" s="330"/>
      <c r="I67" s="330"/>
      <c r="J67" s="330"/>
      <c r="K67" s="330"/>
      <c r="L67" s="330"/>
      <c r="M67" s="330"/>
      <c r="N67" s="330"/>
      <c r="O67" s="330"/>
      <c r="P67" s="330"/>
      <c r="Q67" s="330"/>
      <c r="R67" s="330"/>
      <c r="S67" s="330"/>
      <c r="T67" s="330"/>
      <c r="U67" s="330"/>
      <c r="V67" s="330"/>
      <c r="W67" s="330"/>
      <c r="X67" s="330"/>
      <c r="Y67" s="330"/>
      <c r="Z67" s="330"/>
      <c r="AA67" s="330"/>
      <c r="AB67" s="330"/>
    </row>
    <row r="68" spans="1:28" hidden="1" x14ac:dyDescent="0.15">
      <c r="A68" s="210"/>
      <c r="B68" s="803" t="s">
        <v>1631</v>
      </c>
      <c r="C68" s="747"/>
      <c r="D68" s="749">
        <f t="shared" si="1"/>
        <v>3.9999919999999994E-2</v>
      </c>
      <c r="E68" s="660" t="s">
        <v>34</v>
      </c>
      <c r="F68" s="220"/>
      <c r="G68" s="330"/>
      <c r="H68" s="330"/>
      <c r="I68" s="330"/>
      <c r="J68" s="330"/>
      <c r="K68" s="330"/>
      <c r="L68" s="330"/>
      <c r="M68" s="330"/>
      <c r="N68" s="330"/>
      <c r="O68" s="330"/>
      <c r="P68" s="330"/>
      <c r="Q68" s="330"/>
      <c r="R68" s="330"/>
      <c r="S68" s="330"/>
      <c r="T68" s="330"/>
      <c r="U68" s="330"/>
      <c r="V68" s="330"/>
      <c r="W68" s="330"/>
      <c r="X68" s="330"/>
      <c r="Y68" s="330"/>
      <c r="Z68" s="330"/>
      <c r="AA68" s="330"/>
      <c r="AB68" s="330"/>
    </row>
    <row r="69" spans="1:28" hidden="1" x14ac:dyDescent="0.15">
      <c r="A69" s="210"/>
      <c r="B69" s="803" t="s">
        <v>1632</v>
      </c>
      <c r="D69" s="749">
        <f t="shared" si="1"/>
        <v>3.9999919999999994E-2</v>
      </c>
      <c r="E69" s="660" t="s">
        <v>34</v>
      </c>
      <c r="F69" s="220"/>
      <c r="G69" s="330"/>
      <c r="H69" s="330"/>
      <c r="I69" s="330"/>
      <c r="J69" s="330"/>
      <c r="K69" s="330"/>
      <c r="L69" s="330"/>
      <c r="M69" s="330"/>
      <c r="N69" s="330"/>
      <c r="O69" s="330"/>
      <c r="P69" s="330"/>
      <c r="Q69" s="330"/>
      <c r="R69" s="330"/>
      <c r="S69" s="330"/>
      <c r="T69" s="330"/>
      <c r="U69" s="330"/>
      <c r="V69" s="330"/>
      <c r="W69" s="330"/>
      <c r="X69" s="330"/>
      <c r="Y69" s="330"/>
      <c r="Z69" s="330"/>
      <c r="AA69" s="330"/>
      <c r="AB69" s="330"/>
    </row>
    <row r="70" spans="1:28" hidden="1" x14ac:dyDescent="0.15">
      <c r="A70" s="210"/>
      <c r="B70" s="803"/>
      <c r="D70" s="749"/>
      <c r="E70" s="8"/>
      <c r="F70" s="220"/>
      <c r="G70" s="330"/>
      <c r="H70" s="330"/>
      <c r="I70" s="330"/>
      <c r="J70" s="330"/>
      <c r="K70" s="330"/>
      <c r="L70" s="330"/>
      <c r="M70" s="330"/>
      <c r="N70" s="330"/>
      <c r="O70" s="330"/>
      <c r="P70" s="330"/>
      <c r="Q70" s="330"/>
      <c r="R70" s="330"/>
      <c r="S70" s="330"/>
      <c r="T70" s="330"/>
      <c r="U70" s="330"/>
      <c r="V70" s="330"/>
      <c r="W70" s="330"/>
      <c r="X70" s="330"/>
      <c r="Y70" s="330"/>
      <c r="Z70" s="330"/>
      <c r="AA70" s="330"/>
      <c r="AB70" s="330"/>
    </row>
    <row r="71" spans="1:28" hidden="1" x14ac:dyDescent="0.15">
      <c r="A71" s="210"/>
      <c r="B71" s="803"/>
      <c r="C71" s="8"/>
      <c r="D71" s="749">
        <f>IF(E46="mm",D46,D46*0.0254)</f>
        <v>2.5399999999999999E-2</v>
      </c>
      <c r="E71" s="8"/>
      <c r="F71" s="220"/>
      <c r="G71" s="330"/>
      <c r="H71" s="330"/>
      <c r="I71" s="330"/>
      <c r="J71" s="330"/>
      <c r="K71" s="330"/>
      <c r="L71" s="330"/>
      <c r="M71" s="330"/>
      <c r="N71" s="330"/>
      <c r="O71" s="330"/>
      <c r="P71" s="330"/>
      <c r="Q71" s="330"/>
      <c r="R71" s="330"/>
      <c r="S71" s="330"/>
      <c r="T71" s="330"/>
      <c r="U71" s="330"/>
      <c r="V71" s="330"/>
      <c r="W71" s="330"/>
      <c r="X71" s="330"/>
      <c r="Y71" s="330"/>
      <c r="Z71" s="330"/>
      <c r="AA71" s="330"/>
      <c r="AB71" s="330"/>
    </row>
    <row r="72" spans="1:28" hidden="1" x14ac:dyDescent="0.15">
      <c r="A72" s="210"/>
      <c r="B72" s="8" t="s">
        <v>1226</v>
      </c>
      <c r="D72" s="683">
        <f>D24</f>
        <v>19</v>
      </c>
      <c r="E72" s="8"/>
      <c r="F72" s="220"/>
      <c r="G72" s="330"/>
      <c r="H72" s="330"/>
      <c r="I72" s="330"/>
      <c r="J72" s="330"/>
      <c r="K72" s="330"/>
      <c r="L72" s="330"/>
      <c r="M72" s="330"/>
      <c r="N72" s="330"/>
      <c r="O72" s="330"/>
      <c r="P72" s="330"/>
      <c r="Q72" s="330"/>
      <c r="R72" s="330"/>
      <c r="S72" s="330"/>
      <c r="T72" s="330"/>
      <c r="U72" s="330"/>
      <c r="V72" s="330"/>
      <c r="W72" s="330"/>
      <c r="X72" s="330"/>
      <c r="Y72" s="330"/>
      <c r="Z72" s="330"/>
      <c r="AA72" s="330"/>
      <c r="AB72" s="330"/>
    </row>
    <row r="73" spans="1:28" ht="14.25" hidden="1" x14ac:dyDescent="0.2">
      <c r="A73" s="210"/>
      <c r="B73" s="8" t="s">
        <v>1227</v>
      </c>
      <c r="D73" s="684">
        <f>D60</f>
        <v>2.4623755225842094</v>
      </c>
      <c r="E73" s="23" t="s">
        <v>96</v>
      </c>
      <c r="F73" s="220"/>
      <c r="G73" s="330"/>
      <c r="H73" s="330"/>
      <c r="I73" s="330"/>
      <c r="J73" s="330"/>
      <c r="K73" s="330"/>
      <c r="L73" s="330"/>
      <c r="M73" s="330"/>
      <c r="N73" s="330"/>
      <c r="O73" s="330"/>
      <c r="P73" s="330"/>
      <c r="Q73" s="330"/>
      <c r="R73" s="330"/>
      <c r="S73" s="330"/>
      <c r="T73" s="330"/>
      <c r="U73" s="330"/>
      <c r="V73" s="330"/>
      <c r="W73" s="330"/>
      <c r="X73" s="330"/>
      <c r="Y73" s="330"/>
      <c r="Z73" s="330"/>
      <c r="AA73" s="330"/>
      <c r="AB73" s="330"/>
    </row>
    <row r="74" spans="1:28" hidden="1" x14ac:dyDescent="0.15">
      <c r="A74" s="210"/>
      <c r="B74" s="8" t="s">
        <v>1126</v>
      </c>
      <c r="D74" s="685">
        <f>D23</f>
        <v>2</v>
      </c>
      <c r="E74" s="8"/>
      <c r="F74" s="220"/>
      <c r="G74" s="330"/>
      <c r="H74" s="330"/>
      <c r="I74" s="330"/>
      <c r="J74" s="330"/>
      <c r="K74" s="330"/>
      <c r="L74" s="330"/>
      <c r="M74" s="330"/>
      <c r="N74" s="330"/>
      <c r="O74" s="330"/>
      <c r="P74" s="330"/>
      <c r="Q74" s="330"/>
      <c r="R74" s="330"/>
      <c r="S74" s="330"/>
      <c r="T74" s="330"/>
      <c r="U74" s="330"/>
      <c r="V74" s="330"/>
      <c r="W74" s="330"/>
      <c r="X74" s="330"/>
      <c r="Y74" s="330"/>
      <c r="Z74" s="330"/>
      <c r="AA74" s="330"/>
      <c r="AB74" s="330"/>
    </row>
    <row r="75" spans="1:28" hidden="1" x14ac:dyDescent="0.15">
      <c r="A75" s="210"/>
      <c r="B75" s="8" t="s">
        <v>1228</v>
      </c>
      <c r="D75" s="701">
        <f>D208</f>
        <v>1.5</v>
      </c>
      <c r="E75" s="8" t="s">
        <v>34</v>
      </c>
      <c r="F75" s="220"/>
      <c r="G75" s="330"/>
      <c r="H75" s="330"/>
      <c r="I75" s="330"/>
      <c r="J75" s="330"/>
      <c r="K75" s="330"/>
      <c r="L75" s="330"/>
      <c r="M75" s="330"/>
      <c r="N75" s="330"/>
      <c r="O75" s="330"/>
      <c r="P75" s="330"/>
      <c r="Q75" s="330"/>
      <c r="R75" s="330"/>
      <c r="S75" s="330"/>
      <c r="T75" s="330"/>
      <c r="U75" s="330"/>
      <c r="V75" s="330"/>
      <c r="W75" s="330"/>
      <c r="X75" s="330"/>
      <c r="Y75" s="330"/>
      <c r="Z75" s="330"/>
      <c r="AA75" s="330"/>
      <c r="AB75" s="330"/>
    </row>
    <row r="76" spans="1:28" hidden="1" x14ac:dyDescent="0.15">
      <c r="A76" s="210"/>
      <c r="B76" s="8" t="s">
        <v>1229</v>
      </c>
      <c r="D76" s="702">
        <f>D63</f>
        <v>1.524</v>
      </c>
      <c r="E76" s="8" t="s">
        <v>34</v>
      </c>
      <c r="F76" s="220"/>
      <c r="G76" s="330"/>
      <c r="H76" s="330"/>
      <c r="I76" s="330"/>
      <c r="J76" s="330"/>
      <c r="K76" s="330"/>
      <c r="L76" s="330"/>
      <c r="M76" s="330"/>
      <c r="N76" s="330"/>
      <c r="O76" s="330"/>
      <c r="P76" s="330"/>
      <c r="Q76" s="330"/>
      <c r="R76" s="330"/>
      <c r="S76" s="330"/>
      <c r="T76" s="330"/>
      <c r="U76" s="330"/>
      <c r="V76" s="330"/>
      <c r="W76" s="330"/>
      <c r="X76" s="330"/>
      <c r="Y76" s="330"/>
      <c r="Z76" s="330"/>
      <c r="AA76" s="330"/>
      <c r="AB76" s="330"/>
    </row>
    <row r="77" spans="1:28" hidden="1" x14ac:dyDescent="0.15">
      <c r="A77" s="210"/>
      <c r="B77" s="8" t="s">
        <v>1230</v>
      </c>
      <c r="D77" s="702">
        <f>D89</f>
        <v>3.9999919999999994E-2</v>
      </c>
      <c r="E77" s="8" t="s">
        <v>34</v>
      </c>
      <c r="F77" s="220"/>
      <c r="G77" s="330"/>
      <c r="H77" s="330"/>
      <c r="I77" s="330"/>
      <c r="J77" s="330"/>
      <c r="K77" s="330"/>
      <c r="L77" s="330"/>
      <c r="M77" s="330"/>
      <c r="N77" s="330"/>
      <c r="O77" s="330"/>
      <c r="P77" s="330"/>
      <c r="Q77" s="330"/>
      <c r="R77" s="330"/>
      <c r="S77" s="330"/>
      <c r="T77" s="330"/>
      <c r="U77" s="330"/>
      <c r="V77" s="330"/>
      <c r="W77" s="330"/>
      <c r="X77" s="330"/>
      <c r="Y77" s="330"/>
      <c r="Z77" s="330"/>
      <c r="AA77" s="330"/>
      <c r="AB77" s="330"/>
    </row>
    <row r="78" spans="1:28" hidden="1" x14ac:dyDescent="0.15">
      <c r="A78" s="210"/>
      <c r="B78" s="8" t="s">
        <v>1231</v>
      </c>
      <c r="D78" s="702">
        <f>D88</f>
        <v>0.20319999999999999</v>
      </c>
      <c r="E78" s="8" t="s">
        <v>34</v>
      </c>
      <c r="F78" s="220"/>
      <c r="G78" s="330"/>
      <c r="H78" s="330"/>
      <c r="I78" s="330"/>
      <c r="J78" s="330"/>
      <c r="K78" s="330"/>
      <c r="L78" s="330"/>
      <c r="M78" s="330"/>
      <c r="N78" s="330"/>
      <c r="O78" s="330"/>
      <c r="P78" s="330"/>
      <c r="Q78" s="330"/>
      <c r="R78" s="330"/>
      <c r="S78" s="330"/>
      <c r="T78" s="330"/>
      <c r="U78" s="330"/>
      <c r="V78" s="330"/>
      <c r="W78" s="330"/>
      <c r="X78" s="330"/>
      <c r="Y78" s="330"/>
      <c r="Z78" s="330"/>
      <c r="AA78" s="330"/>
      <c r="AB78" s="330"/>
    </row>
    <row r="79" spans="1:28" hidden="1" x14ac:dyDescent="0.15">
      <c r="A79" s="210"/>
      <c r="B79" s="8" t="s">
        <v>1232</v>
      </c>
      <c r="D79" s="702">
        <f>D87</f>
        <v>0.20319999999999999</v>
      </c>
      <c r="E79" s="8" t="s">
        <v>34</v>
      </c>
      <c r="F79" s="220"/>
      <c r="G79" s="330"/>
      <c r="H79" s="330"/>
      <c r="I79" s="330"/>
      <c r="J79" s="330"/>
      <c r="K79" s="330"/>
      <c r="L79" s="330"/>
      <c r="M79" s="330"/>
      <c r="N79" s="330"/>
      <c r="O79" s="330"/>
      <c r="P79" s="330"/>
      <c r="Q79" s="330"/>
      <c r="R79" s="330"/>
      <c r="S79" s="330"/>
      <c r="T79" s="330"/>
      <c r="U79" s="330"/>
      <c r="V79" s="330"/>
      <c r="W79" s="330"/>
      <c r="X79" s="330"/>
      <c r="Y79" s="330"/>
      <c r="Z79" s="330"/>
      <c r="AA79" s="330"/>
      <c r="AB79" s="330"/>
    </row>
    <row r="80" spans="1:28" hidden="1" x14ac:dyDescent="0.15">
      <c r="A80" s="210"/>
      <c r="B80" s="8" t="s">
        <v>1233</v>
      </c>
      <c r="D80" s="702">
        <f>D86</f>
        <v>0.20319999999999999</v>
      </c>
      <c r="E80" s="8" t="s">
        <v>34</v>
      </c>
      <c r="F80" s="220"/>
      <c r="G80" s="330"/>
      <c r="H80" s="330"/>
      <c r="I80" s="330"/>
      <c r="J80" s="330"/>
      <c r="K80" s="330"/>
      <c r="L80" s="330"/>
      <c r="M80" s="330"/>
      <c r="N80" s="330"/>
      <c r="O80" s="330"/>
      <c r="P80" s="330"/>
      <c r="Q80" s="330"/>
      <c r="R80" s="330"/>
      <c r="S80" s="330"/>
      <c r="T80" s="330"/>
      <c r="U80" s="330"/>
      <c r="V80" s="330"/>
      <c r="W80" s="330"/>
      <c r="X80" s="330"/>
      <c r="Y80" s="330"/>
      <c r="Z80" s="330"/>
      <c r="AA80" s="330"/>
      <c r="AB80" s="330"/>
    </row>
    <row r="81" spans="1:28" hidden="1" x14ac:dyDescent="0.15">
      <c r="A81" s="210"/>
      <c r="B81" s="8" t="s">
        <v>1234</v>
      </c>
      <c r="D81" s="702">
        <f>D85</f>
        <v>0.76200000000000001</v>
      </c>
      <c r="E81" s="8" t="s">
        <v>34</v>
      </c>
      <c r="F81" s="220"/>
      <c r="G81" s="330"/>
      <c r="H81" s="330"/>
      <c r="I81" s="330"/>
      <c r="J81" s="330"/>
      <c r="K81" s="330"/>
      <c r="L81" s="330"/>
      <c r="M81" s="330"/>
      <c r="N81" s="330"/>
      <c r="O81" s="330"/>
      <c r="P81" s="330"/>
      <c r="Q81" s="330"/>
      <c r="R81" s="330"/>
      <c r="S81" s="330"/>
      <c r="T81" s="330"/>
      <c r="U81" s="330"/>
      <c r="V81" s="330"/>
      <c r="W81" s="330"/>
      <c r="X81" s="330"/>
      <c r="Y81" s="330"/>
      <c r="Z81" s="330"/>
      <c r="AA81" s="330"/>
      <c r="AB81" s="330"/>
    </row>
    <row r="82" spans="1:28" hidden="1" x14ac:dyDescent="0.15">
      <c r="A82" s="210"/>
      <c r="B82" s="8" t="s">
        <v>1235</v>
      </c>
      <c r="D82" s="702">
        <f>D84</f>
        <v>1.524</v>
      </c>
      <c r="E82" s="8" t="s">
        <v>34</v>
      </c>
      <c r="F82" s="220"/>
      <c r="G82" s="330"/>
      <c r="H82" s="330"/>
      <c r="I82" s="330"/>
      <c r="J82" s="330"/>
      <c r="K82" s="330"/>
      <c r="L82" s="330"/>
      <c r="M82" s="330"/>
      <c r="N82" s="330"/>
      <c r="O82" s="330"/>
      <c r="P82" s="330"/>
      <c r="Q82" s="330"/>
      <c r="R82" s="330"/>
      <c r="S82" s="330"/>
      <c r="T82" s="330"/>
      <c r="U82" s="330"/>
      <c r="V82" s="330"/>
      <c r="W82" s="330"/>
      <c r="X82" s="330"/>
      <c r="Y82" s="330"/>
      <c r="Z82" s="330"/>
      <c r="AA82" s="330"/>
      <c r="AB82" s="330"/>
    </row>
    <row r="83" spans="1:28" hidden="1" x14ac:dyDescent="0.15">
      <c r="A83" s="210"/>
      <c r="B83" s="8" t="s">
        <v>1236</v>
      </c>
      <c r="D83" s="703">
        <f>2*D75</f>
        <v>3</v>
      </c>
      <c r="E83" s="8" t="s">
        <v>34</v>
      </c>
      <c r="F83" s="220"/>
      <c r="G83" s="330"/>
      <c r="H83" s="330"/>
      <c r="I83" s="330"/>
      <c r="J83" s="330"/>
      <c r="K83" s="330"/>
      <c r="L83" s="330"/>
      <c r="M83" s="330"/>
      <c r="N83" s="330"/>
      <c r="O83" s="330"/>
      <c r="P83" s="330"/>
      <c r="Q83" s="330"/>
      <c r="R83" s="330"/>
      <c r="S83" s="330"/>
      <c r="T83" s="330"/>
      <c r="U83" s="330"/>
      <c r="V83" s="330"/>
      <c r="W83" s="330"/>
      <c r="X83" s="330"/>
      <c r="Y83" s="330"/>
      <c r="Z83" s="330"/>
      <c r="AA83" s="330"/>
      <c r="AB83" s="330"/>
    </row>
    <row r="84" spans="1:28" hidden="1" x14ac:dyDescent="0.15">
      <c r="A84" s="210"/>
      <c r="B84" s="8" t="s">
        <v>1237</v>
      </c>
      <c r="D84" s="684">
        <f>D63</f>
        <v>1.524</v>
      </c>
      <c r="E84" s="8" t="s">
        <v>34</v>
      </c>
      <c r="F84" s="220"/>
      <c r="G84" s="330"/>
      <c r="H84" s="330"/>
      <c r="I84" s="330"/>
      <c r="J84" s="330"/>
      <c r="K84" s="330"/>
      <c r="L84" s="330"/>
      <c r="M84" s="330"/>
      <c r="N84" s="330"/>
      <c r="O84" s="330"/>
      <c r="P84" s="330"/>
      <c r="Q84" s="330"/>
      <c r="R84" s="330"/>
      <c r="S84" s="330"/>
      <c r="T84" s="330"/>
      <c r="U84" s="330"/>
      <c r="V84" s="330"/>
      <c r="W84" s="330"/>
      <c r="X84" s="330"/>
      <c r="Y84" s="330"/>
      <c r="Z84" s="330"/>
      <c r="AA84" s="330"/>
      <c r="AB84" s="330"/>
    </row>
    <row r="85" spans="1:28" hidden="1" x14ac:dyDescent="0.15">
      <c r="A85" s="210"/>
      <c r="B85" s="8" t="s">
        <v>1238</v>
      </c>
      <c r="D85" s="684">
        <f t="shared" ref="D85:D90" si="2">D64</f>
        <v>0.76200000000000001</v>
      </c>
      <c r="E85" s="8" t="s">
        <v>34</v>
      </c>
      <c r="F85" s="220"/>
      <c r="G85" s="330"/>
      <c r="H85" s="330"/>
      <c r="I85" s="330"/>
      <c r="J85" s="330"/>
      <c r="K85" s="330"/>
      <c r="L85" s="330"/>
      <c r="M85" s="330"/>
      <c r="N85" s="330"/>
      <c r="O85" s="330"/>
      <c r="P85" s="330"/>
      <c r="Q85" s="330"/>
      <c r="R85" s="330"/>
      <c r="S85" s="330"/>
      <c r="T85" s="330"/>
      <c r="U85" s="330"/>
      <c r="V85" s="330"/>
      <c r="W85" s="330"/>
      <c r="X85" s="330"/>
      <c r="Y85" s="330"/>
      <c r="Z85" s="330"/>
      <c r="AA85" s="330"/>
      <c r="AB85" s="330"/>
    </row>
    <row r="86" spans="1:28" hidden="1" x14ac:dyDescent="0.15">
      <c r="A86" s="210"/>
      <c r="B86" s="8" t="s">
        <v>1239</v>
      </c>
      <c r="D86" s="684">
        <f t="shared" si="2"/>
        <v>0.20319999999999999</v>
      </c>
      <c r="E86" s="8" t="s">
        <v>34</v>
      </c>
      <c r="F86" s="220"/>
      <c r="G86" s="330"/>
      <c r="H86" s="330"/>
      <c r="I86" s="330"/>
      <c r="J86" s="330"/>
      <c r="K86" s="330"/>
      <c r="L86" s="330"/>
      <c r="M86" s="330"/>
      <c r="N86" s="330"/>
      <c r="O86" s="330"/>
      <c r="P86" s="330"/>
      <c r="Q86" s="330"/>
      <c r="R86" s="330"/>
      <c r="S86" s="330"/>
      <c r="T86" s="330"/>
      <c r="U86" s="330"/>
      <c r="V86" s="330"/>
      <c r="W86" s="330"/>
      <c r="X86" s="330"/>
      <c r="Y86" s="330"/>
      <c r="Z86" s="330"/>
      <c r="AA86" s="330"/>
      <c r="AB86" s="330"/>
    </row>
    <row r="87" spans="1:28" hidden="1" x14ac:dyDescent="0.15">
      <c r="A87" s="210"/>
      <c r="B87" s="8" t="s">
        <v>1240</v>
      </c>
      <c r="D87" s="684">
        <f t="shared" si="2"/>
        <v>0.20319999999999999</v>
      </c>
      <c r="E87" s="8" t="s">
        <v>34</v>
      </c>
      <c r="F87" s="220"/>
      <c r="G87" s="330"/>
      <c r="H87" s="330"/>
      <c r="I87" s="330"/>
      <c r="J87" s="330"/>
      <c r="K87" s="330"/>
      <c r="L87" s="330"/>
      <c r="M87" s="330"/>
      <c r="N87" s="330"/>
      <c r="O87" s="330"/>
      <c r="P87" s="330"/>
      <c r="Q87" s="330"/>
      <c r="R87" s="330"/>
      <c r="S87" s="330"/>
      <c r="T87" s="330"/>
      <c r="U87" s="330"/>
      <c r="V87" s="330"/>
      <c r="W87" s="330"/>
      <c r="X87" s="330"/>
      <c r="Y87" s="330"/>
      <c r="Z87" s="330"/>
      <c r="AA87" s="330"/>
      <c r="AB87" s="330"/>
    </row>
    <row r="88" spans="1:28" hidden="1" x14ac:dyDescent="0.15">
      <c r="A88" s="210"/>
      <c r="B88" s="8" t="s">
        <v>1241</v>
      </c>
      <c r="D88" s="684">
        <f t="shared" si="2"/>
        <v>0.20319999999999999</v>
      </c>
      <c r="E88" s="8" t="s">
        <v>34</v>
      </c>
      <c r="F88" s="220"/>
      <c r="G88" s="330"/>
      <c r="H88" s="330"/>
      <c r="I88" s="330"/>
      <c r="J88" s="330"/>
      <c r="K88" s="330"/>
      <c r="L88" s="330"/>
      <c r="M88" s="330"/>
      <c r="N88" s="330"/>
      <c r="O88" s="330"/>
      <c r="P88" s="330"/>
      <c r="Q88" s="330"/>
      <c r="R88" s="330"/>
      <c r="S88" s="330"/>
      <c r="T88" s="330"/>
      <c r="U88" s="330"/>
      <c r="V88" s="330"/>
      <c r="W88" s="330"/>
      <c r="X88" s="330"/>
      <c r="Y88" s="330"/>
      <c r="Z88" s="330"/>
      <c r="AA88" s="330"/>
      <c r="AB88" s="330"/>
    </row>
    <row r="89" spans="1:28" hidden="1" x14ac:dyDescent="0.15">
      <c r="A89" s="210"/>
      <c r="B89" s="8" t="s">
        <v>1242</v>
      </c>
      <c r="D89" s="684">
        <f t="shared" si="2"/>
        <v>3.9999919999999994E-2</v>
      </c>
      <c r="E89" s="8" t="s">
        <v>34</v>
      </c>
      <c r="F89" s="220"/>
      <c r="G89" s="330"/>
      <c r="H89" s="330"/>
      <c r="I89" s="330"/>
      <c r="J89" s="330"/>
      <c r="K89" s="330"/>
      <c r="L89" s="330"/>
      <c r="M89" s="330"/>
      <c r="N89" s="330"/>
      <c r="O89" s="330"/>
      <c r="P89" s="330"/>
      <c r="Q89" s="330"/>
      <c r="R89" s="330"/>
      <c r="S89" s="330"/>
      <c r="T89" s="330"/>
      <c r="U89" s="330"/>
      <c r="V89" s="330"/>
      <c r="W89" s="330"/>
      <c r="X89" s="330"/>
      <c r="Y89" s="330"/>
      <c r="Z89" s="330"/>
      <c r="AA89" s="330"/>
      <c r="AB89" s="330"/>
    </row>
    <row r="90" spans="1:28" hidden="1" x14ac:dyDescent="0.15">
      <c r="A90" s="210"/>
      <c r="B90" s="8" t="s">
        <v>1243</v>
      </c>
      <c r="D90" s="684">
        <f t="shared" si="2"/>
        <v>3.9999919999999994E-2</v>
      </c>
      <c r="E90" s="8" t="s">
        <v>34</v>
      </c>
      <c r="F90" s="220"/>
      <c r="G90" s="330"/>
      <c r="H90" s="330"/>
      <c r="I90" s="330"/>
      <c r="J90" s="330"/>
      <c r="K90" s="330"/>
      <c r="L90" s="330"/>
      <c r="M90" s="330"/>
      <c r="N90" s="330"/>
      <c r="O90" s="330"/>
      <c r="P90" s="330"/>
      <c r="Q90" s="330"/>
      <c r="R90" s="330"/>
      <c r="S90" s="330"/>
      <c r="T90" s="330"/>
      <c r="U90" s="330"/>
      <c r="V90" s="330"/>
      <c r="W90" s="330"/>
      <c r="X90" s="330"/>
      <c r="Y90" s="330"/>
      <c r="Z90" s="330"/>
      <c r="AA90" s="330"/>
      <c r="AB90" s="330"/>
    </row>
    <row r="91" spans="1:28" hidden="1" x14ac:dyDescent="0.15">
      <c r="A91" s="210"/>
      <c r="B91" s="8" t="s">
        <v>1244</v>
      </c>
      <c r="D91" s="684">
        <f>1.5625*D72^2/(1.67*D72^2-5.84*D72+65)</f>
        <v>1.0128431883069076</v>
      </c>
      <c r="E91" s="8"/>
      <c r="F91" s="220"/>
      <c r="G91" s="330"/>
      <c r="H91" s="330"/>
      <c r="I91" s="330"/>
      <c r="J91" s="330"/>
      <c r="K91" s="330"/>
      <c r="L91" s="330"/>
      <c r="M91" s="330"/>
      <c r="N91" s="330"/>
      <c r="O91" s="330"/>
      <c r="P91" s="330"/>
      <c r="Q91" s="330"/>
      <c r="R91" s="330"/>
      <c r="S91" s="330"/>
      <c r="T91" s="330"/>
      <c r="U91" s="330"/>
      <c r="V91" s="330"/>
      <c r="W91" s="330"/>
      <c r="X91" s="330"/>
      <c r="Y91" s="330"/>
      <c r="Z91" s="330"/>
      <c r="AA91" s="330"/>
      <c r="AB91" s="330"/>
    </row>
    <row r="92" spans="1:28" hidden="1" x14ac:dyDescent="0.15">
      <c r="A92" s="210"/>
      <c r="B92" s="8" t="s">
        <v>1245</v>
      </c>
      <c r="D92" s="687">
        <f>(2*SUM(D99:D126))</f>
        <v>0.9926311669877298</v>
      </c>
      <c r="E92" s="8"/>
      <c r="F92" s="220"/>
      <c r="G92" s="330"/>
      <c r="H92" s="330"/>
      <c r="I92" s="330"/>
      <c r="J92" s="330"/>
      <c r="K92" s="330"/>
      <c r="L92" s="330"/>
      <c r="M92" s="330"/>
      <c r="N92" s="330"/>
      <c r="O92" s="330"/>
      <c r="P92" s="330"/>
      <c r="Q92" s="330"/>
      <c r="R92" s="330"/>
      <c r="S92" s="330"/>
      <c r="T92" s="330"/>
      <c r="U92" s="330"/>
      <c r="V92" s="330"/>
      <c r="W92" s="330"/>
      <c r="X92" s="330"/>
      <c r="Y92" s="330"/>
      <c r="Z92" s="330"/>
      <c r="AA92" s="330"/>
      <c r="AB92" s="330"/>
    </row>
    <row r="93" spans="1:28" hidden="1" x14ac:dyDescent="0.15">
      <c r="A93" s="210"/>
      <c r="B93" s="8" t="s">
        <v>1246</v>
      </c>
      <c r="D93" s="687">
        <f>D92*D91+D74</f>
        <v>3.0053797159846587</v>
      </c>
      <c r="E93" s="8"/>
      <c r="F93" s="220"/>
      <c r="G93" s="330"/>
      <c r="H93" s="330"/>
      <c r="I93" s="330"/>
      <c r="J93" s="330"/>
      <c r="K93" s="330"/>
      <c r="L93" s="330"/>
      <c r="M93" s="330"/>
      <c r="N93" s="330"/>
      <c r="O93" s="330"/>
      <c r="P93" s="330"/>
      <c r="Q93" s="330"/>
      <c r="R93" s="330"/>
      <c r="S93" s="330"/>
      <c r="T93" s="330"/>
      <c r="U93" s="330"/>
      <c r="V93" s="330"/>
      <c r="W93" s="330"/>
      <c r="X93" s="330"/>
      <c r="Y93" s="330"/>
      <c r="Z93" s="330"/>
      <c r="AA93" s="330"/>
      <c r="AB93" s="330"/>
    </row>
    <row r="94" spans="1:28" hidden="1" x14ac:dyDescent="0.15">
      <c r="A94" s="210"/>
      <c r="B94" s="688" t="s">
        <v>1247</v>
      </c>
      <c r="D94" s="689">
        <f>D93*D73</f>
        <v>7.400373448711707</v>
      </c>
      <c r="E94" s="8"/>
      <c r="F94" s="220"/>
      <c r="G94" s="330"/>
      <c r="H94" s="330"/>
      <c r="I94" s="330"/>
      <c r="J94" s="330"/>
      <c r="K94" s="330"/>
      <c r="L94" s="330"/>
      <c r="M94" s="330"/>
      <c r="N94" s="330"/>
      <c r="O94" s="330"/>
      <c r="P94" s="330"/>
      <c r="Q94" s="330"/>
      <c r="R94" s="330"/>
      <c r="S94" s="330"/>
      <c r="T94" s="330"/>
      <c r="U94" s="330"/>
      <c r="V94" s="330"/>
      <c r="W94" s="330"/>
      <c r="X94" s="330"/>
      <c r="Y94" s="330"/>
      <c r="Z94" s="330"/>
      <c r="AA94" s="330"/>
      <c r="AB94" s="330"/>
    </row>
    <row r="95" spans="1:28" hidden="1" x14ac:dyDescent="0.15">
      <c r="A95" s="210"/>
      <c r="B95" s="8" t="s">
        <v>1248</v>
      </c>
      <c r="D95" s="687">
        <f>SUM(D128:D190)</f>
        <v>-0.43103278398873712</v>
      </c>
      <c r="E95" s="8"/>
      <c r="F95" s="220"/>
      <c r="G95" s="330"/>
      <c r="H95" s="330"/>
      <c r="I95" s="330"/>
      <c r="J95" s="330"/>
      <c r="K95" s="330"/>
      <c r="L95" s="330"/>
      <c r="M95" s="330"/>
      <c r="N95" s="330"/>
      <c r="O95" s="330"/>
      <c r="P95" s="330"/>
      <c r="Q95" s="330"/>
      <c r="R95" s="330"/>
      <c r="S95" s="330"/>
      <c r="T95" s="330"/>
      <c r="U95" s="330"/>
      <c r="V95" s="330"/>
      <c r="W95" s="330"/>
      <c r="X95" s="330"/>
      <c r="Y95" s="330"/>
      <c r="Z95" s="330"/>
      <c r="AA95" s="330"/>
      <c r="AB95" s="330"/>
    </row>
    <row r="96" spans="1:28" hidden="1" x14ac:dyDescent="0.15">
      <c r="A96" s="210"/>
      <c r="B96" s="8" t="s">
        <v>1249</v>
      </c>
      <c r="D96" s="687">
        <f>(D92+D95)*D91+D74</f>
        <v>2.5688110967847035</v>
      </c>
      <c r="E96" s="8"/>
      <c r="F96" s="220"/>
      <c r="G96" s="330"/>
      <c r="H96" s="330"/>
      <c r="I96" s="330"/>
      <c r="J96" s="330"/>
      <c r="K96" s="330"/>
      <c r="L96" s="330"/>
      <c r="M96" s="330"/>
      <c r="N96" s="330"/>
      <c r="O96" s="330"/>
      <c r="P96" s="330"/>
      <c r="Q96" s="330"/>
      <c r="R96" s="330"/>
      <c r="S96" s="330"/>
      <c r="T96" s="330"/>
      <c r="U96" s="330"/>
      <c r="V96" s="330"/>
      <c r="W96" s="330"/>
      <c r="X96" s="330"/>
      <c r="Y96" s="330"/>
      <c r="Z96" s="330"/>
      <c r="AA96" s="330"/>
      <c r="AB96" s="330"/>
    </row>
    <row r="97" spans="1:28" hidden="1" x14ac:dyDescent="0.15">
      <c r="A97" s="210"/>
      <c r="B97" s="688" t="s">
        <v>1250</v>
      </c>
      <c r="D97" s="689">
        <f>D96*D73</f>
        <v>6.3253775668653507</v>
      </c>
      <c r="E97" s="8"/>
      <c r="F97" s="220"/>
      <c r="G97" s="330"/>
      <c r="H97" s="330"/>
      <c r="I97" s="330"/>
      <c r="J97" s="330"/>
      <c r="K97" s="330"/>
      <c r="L97" s="330"/>
      <c r="M97" s="330"/>
      <c r="N97" s="330"/>
      <c r="O97" s="330"/>
      <c r="P97" s="330"/>
      <c r="Q97" s="330"/>
      <c r="R97" s="330"/>
      <c r="S97" s="330"/>
      <c r="T97" s="330"/>
      <c r="U97" s="330"/>
      <c r="V97" s="330"/>
      <c r="W97" s="330"/>
      <c r="X97" s="330"/>
      <c r="Y97" s="330"/>
      <c r="Z97" s="330"/>
      <c r="AA97" s="330"/>
      <c r="AB97" s="330"/>
    </row>
    <row r="98" spans="1:28" hidden="1" x14ac:dyDescent="0.15">
      <c r="A98" s="210"/>
      <c r="B98" s="8"/>
      <c r="D98" s="687"/>
      <c r="E98" s="8"/>
      <c r="F98" s="220"/>
      <c r="G98" s="330"/>
      <c r="H98" s="330"/>
      <c r="I98" s="330"/>
      <c r="J98" s="330"/>
      <c r="K98" s="330"/>
      <c r="L98" s="330"/>
      <c r="M98" s="330"/>
      <c r="N98" s="330"/>
      <c r="O98" s="330"/>
      <c r="P98" s="330"/>
      <c r="Q98" s="330"/>
      <c r="R98" s="330"/>
      <c r="S98" s="330"/>
      <c r="T98" s="330"/>
      <c r="U98" s="330"/>
      <c r="V98" s="330"/>
      <c r="W98" s="330"/>
      <c r="X98" s="330"/>
      <c r="Y98" s="330"/>
      <c r="Z98" s="330"/>
      <c r="AA98" s="330"/>
      <c r="AB98" s="330"/>
    </row>
    <row r="99" spans="1:28" hidden="1" x14ac:dyDescent="0.15">
      <c r="A99" s="210"/>
      <c r="B99" s="8" t="s">
        <v>1251</v>
      </c>
      <c r="D99" s="687">
        <f>IF(2&gt;D74,0,1/((0.184*ABS(SUM(D84:D84))^3-0.525*(SUM(D84:D84))^2+1.038*ABS(SUM(D84:D84))+1.001)))</f>
        <v>0.4963155834938649</v>
      </c>
      <c r="E99" s="8"/>
      <c r="F99" s="220"/>
      <c r="G99" s="330"/>
      <c r="H99" s="330"/>
      <c r="I99" s="330"/>
      <c r="J99" s="330"/>
      <c r="K99" s="330"/>
      <c r="L99" s="330"/>
      <c r="M99" s="330"/>
      <c r="N99" s="330"/>
      <c r="O99" s="330"/>
      <c r="P99" s="330"/>
      <c r="Q99" s="330"/>
      <c r="R99" s="330"/>
      <c r="S99" s="330"/>
      <c r="T99" s="330"/>
      <c r="U99" s="330"/>
      <c r="V99" s="330"/>
      <c r="W99" s="330"/>
      <c r="X99" s="330"/>
      <c r="Y99" s="330"/>
      <c r="Z99" s="330"/>
      <c r="AA99" s="330"/>
      <c r="AB99" s="330"/>
    </row>
    <row r="100" spans="1:28" hidden="1" x14ac:dyDescent="0.15">
      <c r="A100" s="210"/>
      <c r="B100" s="8" t="s">
        <v>1252</v>
      </c>
      <c r="D100" s="687">
        <f>IF(3&gt;D74,0,1/((0.184*ABS(SUM(D84:D85))^3-0.525*(SUM(D84:D85))^2+1.038*ABS(SUM(D84:D85))+1.001)))</f>
        <v>0</v>
      </c>
      <c r="E100" s="8"/>
      <c r="F100" s="22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row>
    <row r="101" spans="1:28" hidden="1" x14ac:dyDescent="0.15">
      <c r="A101" s="210"/>
      <c r="B101" s="8" t="s">
        <v>1253</v>
      </c>
      <c r="D101" s="687">
        <f>IF(4&gt;D74,0,1/((0.184*ABS(SUM(D84:D86))^3-0.525*(SUM(D84:D86))^2+1.038*ABS(SUM(D84:D86))+1.001)))</f>
        <v>0</v>
      </c>
      <c r="E101" s="8"/>
      <c r="F101" s="22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row>
    <row r="102" spans="1:28" hidden="1" x14ac:dyDescent="0.15">
      <c r="A102" s="210"/>
      <c r="B102" s="8" t="s">
        <v>1254</v>
      </c>
      <c r="D102" s="687">
        <f>IF(5&gt;D74,0,1/((0.184*ABS(SUM(D84:D87))^3-0.525*(SUM(D84:D87))^2+1.038*ABS(SUM(D84:D87))+1.001)))</f>
        <v>0</v>
      </c>
      <c r="E102" s="8"/>
      <c r="F102" s="22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row>
    <row r="103" spans="1:28" hidden="1" x14ac:dyDescent="0.15">
      <c r="A103" s="210"/>
      <c r="B103" s="8" t="s">
        <v>1255</v>
      </c>
      <c r="D103" s="687">
        <f>IF(6&gt;D74,0,1/((0.184*ABS(SUM(D84:D88))^3-0.525*(SUM(D84:D88))^2+1.038*ABS(SUM(D84:D88))+1.001)))</f>
        <v>0</v>
      </c>
      <c r="E103" s="8"/>
      <c r="F103" s="22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row>
    <row r="104" spans="1:28" hidden="1" x14ac:dyDescent="0.15">
      <c r="A104" s="210"/>
      <c r="B104" s="8" t="s">
        <v>1256</v>
      </c>
      <c r="D104" s="687">
        <f>IF(7&gt;D74,0,1/((0.184*ABS(SUM(D84:D89))^3-0.525*(SUM(D84:D89))^2+1.038*ABS(SUM(D84:D89))+1.001)))</f>
        <v>0</v>
      </c>
      <c r="E104" s="8"/>
      <c r="F104" s="22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row>
    <row r="105" spans="1:28" hidden="1" x14ac:dyDescent="0.15">
      <c r="A105" s="210"/>
      <c r="B105" s="8" t="s">
        <v>1257</v>
      </c>
      <c r="D105" s="687">
        <f>IF(8&gt;D74,0,1/((0.184*ABS(SUM(D84:D90))^3-0.525*(SUM(D84:D90))^2+1.038*ABS(SUM(D84:D90))+1.001)))</f>
        <v>0</v>
      </c>
      <c r="E105" s="8"/>
      <c r="F105" s="22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row>
    <row r="106" spans="1:28" hidden="1" x14ac:dyDescent="0.15">
      <c r="A106" s="210"/>
      <c r="B106" s="8" t="s">
        <v>1258</v>
      </c>
      <c r="D106" s="687">
        <f>IF(3&gt;D74,0,1/((0.184*ABS(SUM(D85:D85))^3-0.525*(SUM(D85:D85))^2+1.038*ABS(SUM(D85:D85))+1.001)))</f>
        <v>0</v>
      </c>
      <c r="E106" s="8"/>
      <c r="F106" s="22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row>
    <row r="107" spans="1:28" hidden="1" x14ac:dyDescent="0.15">
      <c r="A107" s="210"/>
      <c r="B107" s="8" t="s">
        <v>1259</v>
      </c>
      <c r="D107" s="687">
        <f>IF(4&gt;D74,0,1/((0.184*ABS(SUM(D85:D86))^3-0.525*(SUM(D85:D86))^2+1.038*ABS(SUM(D85:D86))+1.001)))</f>
        <v>0</v>
      </c>
      <c r="E107" s="8"/>
      <c r="F107" s="22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row>
    <row r="108" spans="1:28" hidden="1" x14ac:dyDescent="0.15">
      <c r="A108" s="210"/>
      <c r="B108" s="8" t="s">
        <v>1260</v>
      </c>
      <c r="D108" s="687">
        <f>IF(5&gt;D74,0,1/((0.184*ABS(SUM(D85:D87))^3-0.525*(SUM(D85:D87))^2+1.038*ABS(SUM(D85:D87))+1.001)))</f>
        <v>0</v>
      </c>
      <c r="E108" s="8"/>
      <c r="F108" s="22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row>
    <row r="109" spans="1:28" hidden="1" x14ac:dyDescent="0.15">
      <c r="A109" s="210"/>
      <c r="B109" s="8" t="s">
        <v>1261</v>
      </c>
      <c r="D109" s="687">
        <f>IF(6&gt;D74,0,1/((0.184*ABS(SUM(D85:D88))^3-0.525*(SUM(D85:D88))^2+1.038*ABS(SUM(D85:D88))+1.001)))</f>
        <v>0</v>
      </c>
      <c r="E109" s="8"/>
      <c r="F109" s="22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row>
    <row r="110" spans="1:28" hidden="1" x14ac:dyDescent="0.15">
      <c r="A110" s="210"/>
      <c r="B110" s="8" t="s">
        <v>1262</v>
      </c>
      <c r="D110" s="687">
        <f>IF(7&gt;D74,0,1/((0.184*ABS(SUM(D85:D89))^3-0.525*(SUM(D85:D89))^2+1.038*ABS(SUM(D85:D89))+1.001)))</f>
        <v>0</v>
      </c>
      <c r="E110" s="8"/>
      <c r="F110" s="22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row>
    <row r="111" spans="1:28" hidden="1" x14ac:dyDescent="0.15">
      <c r="A111" s="210"/>
      <c r="B111" s="8" t="s">
        <v>1263</v>
      </c>
      <c r="D111" s="687">
        <f>IF(8&gt;D74,0,1/((0.184*ABS(SUM(D85:D90))^3-0.525*(SUM(D85:D90))^2+1.038*ABS(SUM(D85:D90))+1.001)))</f>
        <v>0</v>
      </c>
      <c r="E111" s="8"/>
      <c r="F111" s="22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row>
    <row r="112" spans="1:28" hidden="1" x14ac:dyDescent="0.15">
      <c r="A112" s="210"/>
      <c r="B112" s="8" t="s">
        <v>1264</v>
      </c>
      <c r="D112" s="687">
        <f>IF(4&gt;D74,0,1/((0.184*ABS(SUM(D86:D86))^3-0.525*(SUM(D86:D86))^2+1.038*ABS(SUM(D86:D86))+1.001)))</f>
        <v>0</v>
      </c>
      <c r="E112" s="8"/>
      <c r="F112" s="22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row>
    <row r="113" spans="1:28" hidden="1" x14ac:dyDescent="0.15">
      <c r="A113" s="210"/>
      <c r="B113" s="8" t="s">
        <v>1265</v>
      </c>
      <c r="D113" s="687">
        <f>IF(5&gt;D74,0,1/((0.184*ABS(SUM(D86:D87))^3-0.525*(SUM(D86:D87))^2+1.038*ABS(SUM(D86:D87))+1.001)))</f>
        <v>0</v>
      </c>
      <c r="E113" s="8"/>
      <c r="F113" s="22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row>
    <row r="114" spans="1:28" hidden="1" x14ac:dyDescent="0.15">
      <c r="A114" s="210"/>
      <c r="B114" s="8" t="s">
        <v>1266</v>
      </c>
      <c r="D114" s="687">
        <f>IF(6&gt;D74,0,1/((0.184*ABS(SUM(D86:D88))^3-0.525*(SUM(D86:D88))^2+1.038*ABS(SUM(D86:D88))+1.001)))</f>
        <v>0</v>
      </c>
      <c r="E114" s="8"/>
      <c r="F114" s="22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row>
    <row r="115" spans="1:28" hidden="1" x14ac:dyDescent="0.15">
      <c r="A115" s="210"/>
      <c r="B115" s="8" t="s">
        <v>1267</v>
      </c>
      <c r="D115" s="687">
        <f>IF(7&gt;D74,0,1/((0.184*ABS(SUM(D86:D89))^3-0.525*(SUM(D86:D89))^2+1.038*ABS(SUM(D86:D89))+1.001)))</f>
        <v>0</v>
      </c>
      <c r="E115" s="8"/>
      <c r="F115" s="22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row>
    <row r="116" spans="1:28" hidden="1" x14ac:dyDescent="0.15">
      <c r="A116" s="210"/>
      <c r="B116" s="8" t="s">
        <v>1268</v>
      </c>
      <c r="D116" s="687">
        <f>IF(8&gt;D74,0,1/((0.184*ABS(SUM(D86:D90))^3-0.525*(SUM(D86:D90))^2+1.038*ABS(SUM(D86:D90))+1.001)))</f>
        <v>0</v>
      </c>
      <c r="E116" s="8"/>
      <c r="F116" s="22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row>
    <row r="117" spans="1:28" hidden="1" x14ac:dyDescent="0.15">
      <c r="A117" s="210"/>
      <c r="B117" s="8" t="s">
        <v>1269</v>
      </c>
      <c r="D117" s="687">
        <f>IF(5&gt;D74,0,1/((0.184*ABS(SUM(D87:D87))^3-0.525*(SUM(D87:D87))^2+1.038*ABS(SUM(D87:D87))+1.001)))</f>
        <v>0</v>
      </c>
      <c r="E117" s="8"/>
      <c r="F117" s="22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row>
    <row r="118" spans="1:28" hidden="1" x14ac:dyDescent="0.15">
      <c r="A118" s="210"/>
      <c r="B118" s="8" t="s">
        <v>1270</v>
      </c>
      <c r="D118" s="687">
        <f>IF(6&gt;D74,0,1/((0.184*ABS(SUM(D87:D88))^3-0.525*(SUM(D87:D88))^2+1.038*ABS(SUM(D87:D88))+1.001)))</f>
        <v>0</v>
      </c>
      <c r="E118" s="8"/>
      <c r="F118" s="22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row>
    <row r="119" spans="1:28" hidden="1" x14ac:dyDescent="0.15">
      <c r="A119" s="210"/>
      <c r="B119" s="8" t="s">
        <v>1271</v>
      </c>
      <c r="D119" s="687">
        <f>IF(7&gt;D74,0,1/((0.184*ABS(SUM(D87:D89))^3-0.525*(SUM(D87:D89))^2+1.038*ABS(SUM(D87:D89))+1.001)))</f>
        <v>0</v>
      </c>
      <c r="E119" s="8"/>
      <c r="F119" s="22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row>
    <row r="120" spans="1:28" hidden="1" x14ac:dyDescent="0.15">
      <c r="A120" s="210"/>
      <c r="B120" s="8" t="s">
        <v>1272</v>
      </c>
      <c r="D120" s="687">
        <f>IF(8&gt;D74,0,1/((0.184*ABS(SUM(D87:D90))^3-0.525*(SUM(D87:D90))^2+1.038*ABS(SUM(D87:D90))+1.001)))</f>
        <v>0</v>
      </c>
      <c r="E120" s="8"/>
      <c r="F120" s="22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row>
    <row r="121" spans="1:28" hidden="1" x14ac:dyDescent="0.15">
      <c r="A121" s="210"/>
      <c r="B121" s="8" t="s">
        <v>1273</v>
      </c>
      <c r="D121" s="687">
        <f>IF(6&gt;D74,0,1/((0.184*ABS(SUM(D88:D88))^3-0.525*(SUM(D88:D88))^2+1.038*ABS(SUM(D88:D88))+1.001)))</f>
        <v>0</v>
      </c>
      <c r="E121" s="8"/>
      <c r="F121" s="22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row>
    <row r="122" spans="1:28" hidden="1" x14ac:dyDescent="0.15">
      <c r="A122" s="210"/>
      <c r="B122" s="8" t="s">
        <v>1274</v>
      </c>
      <c r="D122" s="687">
        <f>IF(7&gt;D74,0,1/((0.184*ABS(SUM(D88:D89))^3-0.525*(SUM(D88:D89))^2+1.038*ABS(SUM(D88:D89))+1.001)))</f>
        <v>0</v>
      </c>
      <c r="E122" s="8"/>
      <c r="F122" s="22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row>
    <row r="123" spans="1:28" hidden="1" x14ac:dyDescent="0.15">
      <c r="A123" s="210"/>
      <c r="B123" s="8" t="s">
        <v>1275</v>
      </c>
      <c r="D123" s="687">
        <f>IF(8&gt;D74,0,1/((0.184*ABS(SUM(D88:D90))^3-0.525*(SUM(D88:D90))^2+1.038*ABS(SUM(D88:D90))+1.001)))</f>
        <v>0</v>
      </c>
      <c r="E123" s="8"/>
      <c r="F123" s="22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row>
    <row r="124" spans="1:28" hidden="1" x14ac:dyDescent="0.15">
      <c r="A124" s="210"/>
      <c r="B124" s="8" t="s">
        <v>1276</v>
      </c>
      <c r="D124" s="687">
        <f>IF(7&gt;D74,0,1/((0.184*ABS(SUM(D89:D89))^3-0.525*(SUM(D89:D89))^2+1.038*ABS(SUM(D89:D89))+1.001)))</f>
        <v>0</v>
      </c>
      <c r="E124" s="8"/>
      <c r="F124" s="22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row>
    <row r="125" spans="1:28" hidden="1" x14ac:dyDescent="0.15">
      <c r="A125" s="210"/>
      <c r="B125" s="8" t="s">
        <v>1277</v>
      </c>
      <c r="D125" s="687">
        <f>IF(8&gt;D74,0,1/((0.184*ABS(SUM(D89:D90))^3-0.525*(SUM(D89:D90))^2+1.038*ABS(SUM(D89:D90))+1.001)))</f>
        <v>0</v>
      </c>
      <c r="E125" s="8"/>
      <c r="F125" s="22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row>
    <row r="126" spans="1:28" hidden="1" x14ac:dyDescent="0.15">
      <c r="A126" s="210"/>
      <c r="B126" s="8" t="s">
        <v>1278</v>
      </c>
      <c r="D126" s="687">
        <f>IF(8&gt;D74,0,1/((0.184*ABS(SUM(D90:D90))^3-0.525*(SUM(D90:D90))^2+1.038*ABS(SUM(D90:D90))+1.001)))</f>
        <v>0</v>
      </c>
      <c r="E126" s="8"/>
      <c r="F126" s="220"/>
      <c r="G126" s="330"/>
      <c r="H126" s="330"/>
      <c r="I126" s="330"/>
      <c r="J126" s="330"/>
      <c r="K126" s="330"/>
      <c r="L126" s="330"/>
      <c r="M126" s="330"/>
      <c r="N126" s="330"/>
      <c r="O126" s="330"/>
      <c r="P126" s="330"/>
      <c r="Q126" s="330"/>
      <c r="R126" s="330"/>
      <c r="S126" s="330"/>
      <c r="T126" s="330"/>
      <c r="U126" s="330"/>
      <c r="V126" s="330"/>
      <c r="W126" s="330"/>
      <c r="X126" s="330"/>
      <c r="Y126" s="330"/>
      <c r="Z126" s="330"/>
      <c r="AA126" s="330"/>
      <c r="AB126" s="330"/>
    </row>
    <row r="127" spans="1:28" hidden="1" x14ac:dyDescent="0.15">
      <c r="A127" s="210"/>
      <c r="B127" s="8"/>
      <c r="D127" s="687"/>
      <c r="E127" s="8"/>
      <c r="F127" s="22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row>
    <row r="128" spans="1:28" hidden="1" x14ac:dyDescent="0.15">
      <c r="A128" s="210"/>
      <c r="B128" s="8" t="s">
        <v>1279</v>
      </c>
      <c r="D128" s="687">
        <f>IF(1&gt;D74,0,-1/((0.184*ABS(SUM(D83:D83))^3-0.525*(SUM(D83:D83))^2+1.038*ABS(SUM(D83:D83))+1.001)))</f>
        <v>-0.22946305644791196</v>
      </c>
      <c r="E128" s="8"/>
      <c r="F128" s="22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row>
    <row r="129" spans="1:28" hidden="1" x14ac:dyDescent="0.15">
      <c r="A129" s="210"/>
      <c r="B129" s="8" t="s">
        <v>1280</v>
      </c>
      <c r="D129" s="687">
        <f>IF(2&gt;D74,0,-1/((0.184*ABS(SUM(D83:D84))^3-0.525*(SUM(D83:D84))^2+1.038*ABS(SUM(D83:D84))+1.001)))</f>
        <v>-8.3412123538167376E-2</v>
      </c>
      <c r="E129" s="8"/>
      <c r="F129" s="220"/>
      <c r="G129" s="330"/>
      <c r="H129" s="330"/>
      <c r="I129" s="330"/>
      <c r="J129" s="330"/>
      <c r="K129" s="330"/>
      <c r="L129" s="330"/>
      <c r="M129" s="330"/>
      <c r="N129" s="330"/>
      <c r="O129" s="330"/>
      <c r="P129" s="330"/>
      <c r="Q129" s="330"/>
      <c r="R129" s="330"/>
      <c r="S129" s="330"/>
      <c r="T129" s="330"/>
      <c r="U129" s="330"/>
      <c r="V129" s="330"/>
      <c r="W129" s="330"/>
      <c r="X129" s="330"/>
      <c r="Y129" s="330"/>
      <c r="Z129" s="330"/>
      <c r="AA129" s="330"/>
      <c r="AB129" s="330"/>
    </row>
    <row r="130" spans="1:28" hidden="1" x14ac:dyDescent="0.15">
      <c r="A130" s="210"/>
      <c r="B130" s="8" t="s">
        <v>1281</v>
      </c>
      <c r="D130" s="687">
        <f>IF(3&gt;D74,0,-1/((0.184*ABS(SUM(D83:D85))^3-0.525*(SUM(D83:D85))^2+1.038*ABS(SUM(D83:D85))+1.001)))</f>
        <v>0</v>
      </c>
      <c r="E130" s="8"/>
      <c r="F130" s="22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row>
    <row r="131" spans="1:28" hidden="1" x14ac:dyDescent="0.15">
      <c r="A131" s="210"/>
      <c r="B131" s="8" t="s">
        <v>1282</v>
      </c>
      <c r="D131" s="687">
        <f>IF(4&gt;D74,0,-1/((0.184*ABS(SUM(D83:D86))^3-0.525*(SUM(D83:D86))^2+1.038*ABS(SUM(D83:D86))+1.001)))</f>
        <v>0</v>
      </c>
      <c r="E131" s="8"/>
      <c r="F131" s="22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row>
    <row r="132" spans="1:28" hidden="1" x14ac:dyDescent="0.15">
      <c r="A132" s="210"/>
      <c r="B132" s="8" t="s">
        <v>1283</v>
      </c>
      <c r="D132" s="687">
        <f>IF(5&gt;D74,0,-1/((0.184*ABS(SUM(D83:D87))^3-0.525*(SUM(D83:D87))^2+1.038*ABS(SUM(D83:D87))+1.001)))</f>
        <v>0</v>
      </c>
      <c r="E132" s="8"/>
      <c r="F132" s="220"/>
      <c r="G132" s="330"/>
      <c r="H132" s="330"/>
      <c r="I132" s="330"/>
      <c r="J132" s="330"/>
      <c r="K132" s="330"/>
      <c r="L132" s="330"/>
      <c r="M132" s="330"/>
      <c r="N132" s="330"/>
      <c r="O132" s="330"/>
      <c r="P132" s="330"/>
      <c r="Q132" s="330"/>
      <c r="R132" s="330"/>
      <c r="S132" s="330"/>
      <c r="T132" s="330"/>
      <c r="U132" s="330"/>
      <c r="V132" s="330"/>
      <c r="W132" s="330"/>
      <c r="X132" s="330"/>
      <c r="Y132" s="330"/>
      <c r="Z132" s="330"/>
      <c r="AA132" s="330"/>
      <c r="AB132" s="330"/>
    </row>
    <row r="133" spans="1:28" hidden="1" x14ac:dyDescent="0.15">
      <c r="A133" s="210"/>
      <c r="B133" s="8" t="s">
        <v>1284</v>
      </c>
      <c r="D133" s="687">
        <f>IF(6&gt;D74,0,-1/((0.184*ABS(SUM(D83:D88))^3-0.525*(SUM(D83:D88))^2+1.038*ABS(SUM(D83:D88))+1.001)))</f>
        <v>0</v>
      </c>
      <c r="E133" s="8"/>
      <c r="F133" s="220"/>
      <c r="G133" s="330"/>
      <c r="H133" s="330"/>
      <c r="I133" s="330"/>
      <c r="J133" s="330"/>
      <c r="K133" s="330"/>
      <c r="L133" s="330"/>
      <c r="M133" s="330"/>
      <c r="N133" s="330"/>
      <c r="O133" s="330"/>
      <c r="P133" s="330"/>
      <c r="Q133" s="330"/>
      <c r="R133" s="330"/>
      <c r="S133" s="330"/>
      <c r="T133" s="330"/>
      <c r="U133" s="330"/>
      <c r="V133" s="330"/>
      <c r="W133" s="330"/>
      <c r="X133" s="330"/>
      <c r="Y133" s="330"/>
      <c r="Z133" s="330"/>
      <c r="AA133" s="330"/>
      <c r="AB133" s="330"/>
    </row>
    <row r="134" spans="1:28" hidden="1" x14ac:dyDescent="0.15">
      <c r="A134" s="210"/>
      <c r="B134" s="8" t="s">
        <v>1285</v>
      </c>
      <c r="D134" s="687">
        <f>IF(7&gt;D74,0,-1/((0.184*ABS(SUM(D83:D89))^3-0.525*(SUM(D83:D89))^2+1.038*ABS(SUM(D83:D89))+1.001)))</f>
        <v>0</v>
      </c>
      <c r="E134" s="8"/>
      <c r="F134" s="22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row>
    <row r="135" spans="1:28" hidden="1" x14ac:dyDescent="0.15">
      <c r="A135" s="210"/>
      <c r="B135" s="8" t="s">
        <v>1286</v>
      </c>
      <c r="D135" s="687">
        <f>IF(8&gt;D74,0,-1/((0.184*ABS(SUM(D83:D90))^3-0.525*(SUM(D83:D90))^2+1.038*ABS(SUM(D83:D90))+1.001)))</f>
        <v>0</v>
      </c>
      <c r="E135" s="8"/>
      <c r="F135" s="220"/>
      <c r="G135" s="330"/>
      <c r="H135" s="330"/>
      <c r="I135" s="330"/>
      <c r="J135" s="330"/>
      <c r="K135" s="330"/>
      <c r="L135" s="330"/>
      <c r="M135" s="330"/>
      <c r="N135" s="330"/>
      <c r="O135" s="330"/>
      <c r="P135" s="330"/>
      <c r="Q135" s="330"/>
      <c r="R135" s="330"/>
      <c r="S135" s="330"/>
      <c r="T135" s="330"/>
      <c r="U135" s="330"/>
      <c r="V135" s="330"/>
      <c r="W135" s="330"/>
      <c r="X135" s="330"/>
      <c r="Y135" s="330"/>
      <c r="Z135" s="330"/>
      <c r="AA135" s="330"/>
      <c r="AB135" s="330"/>
    </row>
    <row r="136" spans="1:28" hidden="1" x14ac:dyDescent="0.15">
      <c r="A136" s="210"/>
      <c r="B136" s="8" t="s">
        <v>1287</v>
      </c>
      <c r="D136" s="687">
        <f>IF(2&gt;D74,0,-1/((0.184*ABS(SUM(D82:D83))^3-0.525*(SUM(D82:D83))^2+1.038*ABS(SUM(D82:D83))+1.001)))</f>
        <v>-8.3412123538167376E-2</v>
      </c>
      <c r="E136" s="8"/>
      <c r="F136" s="22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row>
    <row r="137" spans="1:28" hidden="1" x14ac:dyDescent="0.15">
      <c r="A137" s="210"/>
      <c r="B137" s="8" t="s">
        <v>1288</v>
      </c>
      <c r="D137" s="687">
        <f>IF(2&gt;D74,0,-1/((0.184*ABS(SUM(D82:D84))^3-0.525*(SUM(D82:D84))^2+1.038*ABS(SUM(D82:D84))+1.001)))</f>
        <v>-3.4745480464490441E-2</v>
      </c>
      <c r="E137" s="8"/>
      <c r="F137" s="22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row>
    <row r="138" spans="1:28" hidden="1" x14ac:dyDescent="0.15">
      <c r="A138" s="210"/>
      <c r="B138" s="8" t="s">
        <v>1289</v>
      </c>
      <c r="D138" s="687">
        <f>IF(3&gt;D74,0,-1/((0.184*ABS(SUM(D82:D85))^3-0.525*(SUM(D82:D85))^2+1.038*ABS(SUM(D82:D85))+1.001)))</f>
        <v>0</v>
      </c>
      <c r="E138" s="8"/>
      <c r="F138" s="220"/>
      <c r="G138" s="330"/>
      <c r="H138" s="330"/>
      <c r="I138" s="330"/>
      <c r="J138" s="330"/>
      <c r="K138" s="330"/>
      <c r="L138" s="330"/>
      <c r="M138" s="330"/>
      <c r="N138" s="330"/>
      <c r="O138" s="330"/>
      <c r="P138" s="330"/>
      <c r="Q138" s="330"/>
      <c r="R138" s="330"/>
      <c r="S138" s="330"/>
      <c r="T138" s="330"/>
      <c r="U138" s="330"/>
      <c r="V138" s="330"/>
      <c r="W138" s="330"/>
      <c r="X138" s="330"/>
      <c r="Y138" s="330"/>
      <c r="Z138" s="330"/>
      <c r="AA138" s="330"/>
      <c r="AB138" s="330"/>
    </row>
    <row r="139" spans="1:28" hidden="1" x14ac:dyDescent="0.15">
      <c r="A139" s="210"/>
      <c r="B139" s="8" t="s">
        <v>1290</v>
      </c>
      <c r="D139" s="687">
        <f>IF(4&gt;D74,0,-1/((0.184*ABS(SUM(D82:D86))^3-0.525*(SUM(D82:D86))^2+1.038*ABS(SUM(D82:D86))+1.001)))</f>
        <v>0</v>
      </c>
      <c r="E139" s="8"/>
      <c r="F139" s="220"/>
      <c r="G139" s="330"/>
      <c r="H139" s="330"/>
      <c r="I139" s="330"/>
      <c r="J139" s="330"/>
      <c r="K139" s="330"/>
      <c r="L139" s="330"/>
      <c r="M139" s="330"/>
      <c r="N139" s="330"/>
      <c r="O139" s="330"/>
      <c r="P139" s="330"/>
      <c r="Q139" s="330"/>
      <c r="R139" s="330"/>
      <c r="S139" s="330"/>
      <c r="T139" s="330"/>
      <c r="U139" s="330"/>
      <c r="V139" s="330"/>
      <c r="W139" s="330"/>
      <c r="X139" s="330"/>
      <c r="Y139" s="330"/>
      <c r="Z139" s="330"/>
      <c r="AA139" s="330"/>
      <c r="AB139" s="330"/>
    </row>
    <row r="140" spans="1:28" hidden="1" x14ac:dyDescent="0.15">
      <c r="A140" s="210"/>
      <c r="B140" s="8" t="s">
        <v>1291</v>
      </c>
      <c r="D140" s="687">
        <f>IF(5&gt;D74,0,-1/((0.184*ABS(SUM(D82:D87))^3-0.525*(SUM(D82:D87))^2+1.038*ABS(SUM(D82:D87))+1.001)))</f>
        <v>0</v>
      </c>
      <c r="E140" s="8"/>
      <c r="F140" s="220"/>
      <c r="G140" s="330"/>
      <c r="H140" s="330"/>
      <c r="I140" s="330"/>
      <c r="J140" s="330"/>
      <c r="K140" s="330"/>
      <c r="L140" s="330"/>
      <c r="M140" s="330"/>
      <c r="N140" s="330"/>
      <c r="O140" s="330"/>
      <c r="P140" s="330"/>
      <c r="Q140" s="330"/>
      <c r="R140" s="330"/>
      <c r="S140" s="330"/>
      <c r="T140" s="330"/>
      <c r="U140" s="330"/>
      <c r="V140" s="330"/>
      <c r="W140" s="330"/>
      <c r="X140" s="330"/>
      <c r="Y140" s="330"/>
      <c r="Z140" s="330"/>
      <c r="AA140" s="330"/>
      <c r="AB140" s="330"/>
    </row>
    <row r="141" spans="1:28" hidden="1" x14ac:dyDescent="0.15">
      <c r="A141" s="210"/>
      <c r="B141" s="8" t="s">
        <v>1292</v>
      </c>
      <c r="D141" s="687">
        <f>IF(6&gt;D74,0,-1/((0.184*ABS(SUM(D82:D88))^3-0.525*(SUM(D82:D88))^2+1.038*ABS(SUM(D82:D88))+1.001)))</f>
        <v>0</v>
      </c>
      <c r="E141" s="8"/>
      <c r="F141" s="220"/>
      <c r="G141" s="330"/>
      <c r="H141" s="330"/>
      <c r="I141" s="330"/>
      <c r="J141" s="330"/>
      <c r="K141" s="330"/>
      <c r="L141" s="330"/>
      <c r="M141" s="330"/>
      <c r="N141" s="330"/>
      <c r="O141" s="330"/>
      <c r="P141" s="330"/>
      <c r="Q141" s="330"/>
      <c r="R141" s="330"/>
      <c r="S141" s="330"/>
      <c r="T141" s="330"/>
      <c r="U141" s="330"/>
      <c r="V141" s="330"/>
      <c r="W141" s="330"/>
      <c r="X141" s="330"/>
      <c r="Y141" s="330"/>
      <c r="Z141" s="330"/>
      <c r="AA141" s="330"/>
      <c r="AB141" s="330"/>
    </row>
    <row r="142" spans="1:28" hidden="1" x14ac:dyDescent="0.15">
      <c r="A142" s="210"/>
      <c r="B142" s="8" t="s">
        <v>1293</v>
      </c>
      <c r="D142" s="687">
        <f>IF(7&gt;D74,0,-1/((0.184*ABS(SUM(D82:D89))^3-0.525*(SUM(D82:D89))^2+1.038*ABS(SUM(D82:D89))+1.001)))</f>
        <v>0</v>
      </c>
      <c r="E142" s="8"/>
      <c r="F142" s="22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row>
    <row r="143" spans="1:28" hidden="1" x14ac:dyDescent="0.15">
      <c r="A143" s="210"/>
      <c r="B143" s="8" t="s">
        <v>1294</v>
      </c>
      <c r="D143" s="687">
        <f>IF(8&gt;D74,0,-1/((0.184*ABS(SUM(D82:D90))^3-0.525*(SUM(D82:D90))^2+1.038*ABS(SUM(D82:D90))+1.001)))</f>
        <v>0</v>
      </c>
      <c r="E143" s="8"/>
      <c r="F143" s="220"/>
      <c r="G143" s="330"/>
      <c r="H143" s="330"/>
      <c r="I143" s="330"/>
      <c r="J143" s="330"/>
      <c r="K143" s="330"/>
      <c r="L143" s="330"/>
      <c r="M143" s="330"/>
      <c r="N143" s="330"/>
      <c r="O143" s="330"/>
      <c r="P143" s="330"/>
      <c r="Q143" s="330"/>
      <c r="R143" s="330"/>
      <c r="S143" s="330"/>
      <c r="T143" s="330"/>
      <c r="U143" s="330"/>
      <c r="V143" s="330"/>
      <c r="W143" s="330"/>
      <c r="X143" s="330"/>
      <c r="Y143" s="330"/>
      <c r="Z143" s="330"/>
      <c r="AA143" s="330"/>
      <c r="AB143" s="330"/>
    </row>
    <row r="144" spans="1:28" hidden="1" x14ac:dyDescent="0.15">
      <c r="A144" s="210"/>
      <c r="B144" s="8" t="s">
        <v>1295</v>
      </c>
      <c r="D144" s="687">
        <f>IF(3&gt;D74,0,-1/((0.184*ABS(SUM(D81:D83))^3-0.525*(SUM(D81:D83))^2+1.038*ABS(SUM(D81:D83))+1.001)))</f>
        <v>0</v>
      </c>
      <c r="E144" s="8"/>
      <c r="F144" s="22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row>
    <row r="145" spans="1:28" hidden="1" x14ac:dyDescent="0.15">
      <c r="A145" s="210"/>
      <c r="B145" s="8" t="s">
        <v>1296</v>
      </c>
      <c r="D145" s="687">
        <f>IF(3&gt;D74,0,-1/((0.184*ABS(SUM(D81:D84))^3-0.525*(SUM(D81:D84))^2+1.038*ABS(SUM(D81:D84))+1.001)))</f>
        <v>0</v>
      </c>
      <c r="E145" s="8"/>
      <c r="F145" s="220"/>
      <c r="G145" s="330"/>
      <c r="H145" s="330"/>
      <c r="I145" s="330"/>
      <c r="J145" s="330"/>
      <c r="K145" s="330"/>
      <c r="L145" s="330"/>
      <c r="M145" s="330"/>
      <c r="N145" s="330"/>
      <c r="O145" s="330"/>
      <c r="P145" s="330"/>
      <c r="Q145" s="330"/>
      <c r="R145" s="330"/>
      <c r="S145" s="330"/>
      <c r="T145" s="330"/>
      <c r="U145" s="330"/>
      <c r="V145" s="330"/>
      <c r="W145" s="330"/>
      <c r="X145" s="330"/>
      <c r="Y145" s="330"/>
      <c r="Z145" s="330"/>
      <c r="AA145" s="330"/>
      <c r="AB145" s="330"/>
    </row>
    <row r="146" spans="1:28" hidden="1" x14ac:dyDescent="0.15">
      <c r="A146" s="210"/>
      <c r="B146" s="8" t="s">
        <v>1297</v>
      </c>
      <c r="D146" s="687">
        <f>IF(3&gt;D74,0,-1/((0.184*ABS(SUM(D81:D85))^3-0.525*(SUM(D81:D85))^2+1.038*ABS(SUM(D81:D85))+1.001)))</f>
        <v>0</v>
      </c>
      <c r="E146" s="8"/>
      <c r="F146" s="220"/>
      <c r="G146" s="330"/>
      <c r="H146" s="330"/>
      <c r="I146" s="330"/>
      <c r="J146" s="330"/>
      <c r="K146" s="330"/>
      <c r="L146" s="330"/>
      <c r="M146" s="330"/>
      <c r="N146" s="330"/>
      <c r="O146" s="330"/>
      <c r="P146" s="330"/>
      <c r="Q146" s="330"/>
      <c r="R146" s="330"/>
      <c r="S146" s="330"/>
      <c r="T146" s="330"/>
      <c r="U146" s="330"/>
      <c r="V146" s="330"/>
      <c r="W146" s="330"/>
      <c r="X146" s="330"/>
      <c r="Y146" s="330"/>
      <c r="Z146" s="330"/>
      <c r="AA146" s="330"/>
      <c r="AB146" s="330"/>
    </row>
    <row r="147" spans="1:28" hidden="1" x14ac:dyDescent="0.15">
      <c r="A147" s="210"/>
      <c r="B147" s="8" t="s">
        <v>1298</v>
      </c>
      <c r="D147" s="687">
        <f>IF(4&gt;D74,0,-1/((0.184*ABS(SUM(D81:D86))^3-0.525*(SUM(D81:D86))^2+1.038*ABS(SUM(D81:D86))+1.001)))</f>
        <v>0</v>
      </c>
      <c r="E147" s="8"/>
      <c r="F147" s="22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row>
    <row r="148" spans="1:28" hidden="1" x14ac:dyDescent="0.15">
      <c r="A148" s="210"/>
      <c r="B148" s="8" t="s">
        <v>1299</v>
      </c>
      <c r="D148" s="687">
        <f>IF(5&gt;D74,0,-1/((0.184*ABS(SUM(D81:D87))^3-0.525*(SUM(D81:D87))^2+1.038*ABS(SUM(D81:D87))+1.001)))</f>
        <v>0</v>
      </c>
      <c r="E148" s="8"/>
      <c r="F148" s="220"/>
      <c r="G148" s="330"/>
      <c r="H148" s="330"/>
      <c r="I148" s="330"/>
      <c r="J148" s="330"/>
      <c r="K148" s="330"/>
      <c r="L148" s="330"/>
      <c r="M148" s="330"/>
      <c r="N148" s="330"/>
      <c r="O148" s="330"/>
      <c r="P148" s="330"/>
      <c r="Q148" s="330"/>
      <c r="R148" s="330"/>
      <c r="S148" s="330"/>
      <c r="T148" s="330"/>
      <c r="U148" s="330"/>
      <c r="V148" s="330"/>
      <c r="W148" s="330"/>
      <c r="X148" s="330"/>
      <c r="Y148" s="330"/>
      <c r="Z148" s="330"/>
      <c r="AA148" s="330"/>
      <c r="AB148" s="330"/>
    </row>
    <row r="149" spans="1:28" hidden="1" x14ac:dyDescent="0.15">
      <c r="A149" s="210"/>
      <c r="B149" s="8" t="s">
        <v>1300</v>
      </c>
      <c r="D149" s="687">
        <f>IF(6&gt;D74,0,-1/((0.184*ABS(SUM(D81:D88))^3-0.525*(SUM(D81:D88))^2+1.038*ABS(SUM(D81:D88))+1.001)))</f>
        <v>0</v>
      </c>
      <c r="E149" s="8"/>
      <c r="F149" s="22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row>
    <row r="150" spans="1:28" hidden="1" x14ac:dyDescent="0.15">
      <c r="A150" s="210"/>
      <c r="B150" s="8" t="s">
        <v>1301</v>
      </c>
      <c r="D150" s="687">
        <f>IF(7&gt;D74,0,-1/((0.184*ABS(SUM(D81:D89))^3-0.525*(SUM(D81:D89))^2+1.038*ABS(SUM(D81:D89))+1.001)))</f>
        <v>0</v>
      </c>
      <c r="E150" s="8"/>
      <c r="F150" s="220"/>
      <c r="G150" s="330"/>
      <c r="H150" s="330"/>
      <c r="I150" s="330"/>
      <c r="J150" s="330"/>
      <c r="K150" s="330"/>
      <c r="L150" s="330"/>
      <c r="M150" s="330"/>
      <c r="N150" s="330"/>
      <c r="O150" s="330"/>
      <c r="P150" s="330"/>
      <c r="Q150" s="330"/>
      <c r="R150" s="330"/>
      <c r="S150" s="330"/>
      <c r="T150" s="330"/>
      <c r="U150" s="330"/>
      <c r="V150" s="330"/>
      <c r="W150" s="330"/>
      <c r="X150" s="330"/>
      <c r="Y150" s="330"/>
      <c r="Z150" s="330"/>
      <c r="AA150" s="330"/>
      <c r="AB150" s="330"/>
    </row>
    <row r="151" spans="1:28" hidden="1" x14ac:dyDescent="0.15">
      <c r="A151" s="210"/>
      <c r="B151" s="8" t="s">
        <v>1302</v>
      </c>
      <c r="D151" s="687">
        <f>IF(8&gt;D74,0,-1/((0.184*ABS(SUM(D81:D90))^3-0.525*(SUM(D81:D90))^2+1.038*ABS(SUM(D81:D90))+1.001)))</f>
        <v>0</v>
      </c>
      <c r="E151" s="8"/>
      <c r="F151" s="220"/>
      <c r="G151" s="330"/>
      <c r="H151" s="330"/>
      <c r="I151" s="330"/>
      <c r="J151" s="330"/>
      <c r="K151" s="330"/>
      <c r="L151" s="330"/>
      <c r="M151" s="330"/>
      <c r="N151" s="330"/>
      <c r="O151" s="330"/>
      <c r="P151" s="330"/>
      <c r="Q151" s="330"/>
      <c r="R151" s="330"/>
      <c r="S151" s="330"/>
      <c r="T151" s="330"/>
      <c r="U151" s="330"/>
      <c r="V151" s="330"/>
      <c r="W151" s="330"/>
      <c r="X151" s="330"/>
      <c r="Y151" s="330"/>
      <c r="Z151" s="330"/>
      <c r="AA151" s="330"/>
      <c r="AB151" s="330"/>
    </row>
    <row r="152" spans="1:28" hidden="1" x14ac:dyDescent="0.15">
      <c r="A152" s="210"/>
      <c r="B152" s="8" t="s">
        <v>1303</v>
      </c>
      <c r="D152" s="687">
        <f>IF(4&gt;D74,0,-1/((0.184*ABS(SUM(D80:D83))^3-0.525*(SUM(D80:D83))^2+1.038*ABS(SUM(D80:D83))+1.001)))</f>
        <v>0</v>
      </c>
      <c r="E152" s="8"/>
      <c r="F152" s="22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row>
    <row r="153" spans="1:28" hidden="1" x14ac:dyDescent="0.15">
      <c r="A153" s="210"/>
      <c r="B153" s="8" t="s">
        <v>1304</v>
      </c>
      <c r="D153" s="687">
        <f>IF(4&gt;D74,0,-1/((0.184*ABS(SUM(D80:D84))^3-0.525*(SUM(D80:D84))^2+1.038*ABS(SUM(D80:D84))+1.001)))</f>
        <v>0</v>
      </c>
      <c r="E153" s="8"/>
      <c r="F153" s="22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row>
    <row r="154" spans="1:28" hidden="1" x14ac:dyDescent="0.15">
      <c r="A154" s="210"/>
      <c r="B154" s="8" t="s">
        <v>1305</v>
      </c>
      <c r="D154" s="687">
        <f>IF(4&gt;D74,0,-1/((0.184*ABS(SUM(D80:D85))^3-0.525*(SUM(D80:D85))^2+1.038*ABS(SUM(D80:D85))+1.001)))</f>
        <v>0</v>
      </c>
      <c r="E154" s="8"/>
      <c r="F154" s="220"/>
      <c r="G154" s="330"/>
      <c r="H154" s="330"/>
      <c r="I154" s="330"/>
      <c r="J154" s="330"/>
      <c r="K154" s="330"/>
      <c r="L154" s="330"/>
      <c r="M154" s="330"/>
      <c r="N154" s="330"/>
      <c r="O154" s="330"/>
      <c r="P154" s="330"/>
      <c r="Q154" s="330"/>
      <c r="R154" s="330"/>
      <c r="S154" s="330"/>
      <c r="T154" s="330"/>
      <c r="U154" s="330"/>
      <c r="V154" s="330"/>
      <c r="W154" s="330"/>
      <c r="X154" s="330"/>
      <c r="Y154" s="330"/>
      <c r="Z154" s="330"/>
      <c r="AA154" s="330"/>
      <c r="AB154" s="330"/>
    </row>
    <row r="155" spans="1:28" hidden="1" x14ac:dyDescent="0.15">
      <c r="A155" s="210"/>
      <c r="B155" s="8" t="s">
        <v>1306</v>
      </c>
      <c r="D155" s="687">
        <f>IF(4&gt;D74,0,-1/((0.184*ABS(SUM(D80:D86))^3-0.525*(SUM(D80:D86))^2+1.038*ABS(SUM(D80:D86))+1.001)))</f>
        <v>0</v>
      </c>
      <c r="E155" s="8"/>
      <c r="F155" s="220"/>
      <c r="G155" s="330"/>
      <c r="H155" s="330"/>
      <c r="I155" s="330"/>
      <c r="J155" s="330"/>
      <c r="K155" s="330"/>
      <c r="L155" s="330"/>
      <c r="M155" s="330"/>
      <c r="N155" s="330"/>
      <c r="O155" s="330"/>
      <c r="P155" s="330"/>
      <c r="Q155" s="330"/>
      <c r="R155" s="330"/>
      <c r="S155" s="330"/>
      <c r="T155" s="330"/>
      <c r="U155" s="330"/>
      <c r="V155" s="330"/>
      <c r="W155" s="330"/>
      <c r="X155" s="330"/>
      <c r="Y155" s="330"/>
      <c r="Z155" s="330"/>
      <c r="AA155" s="330"/>
      <c r="AB155" s="330"/>
    </row>
    <row r="156" spans="1:28" hidden="1" x14ac:dyDescent="0.15">
      <c r="A156" s="210"/>
      <c r="B156" s="8" t="s">
        <v>1307</v>
      </c>
      <c r="D156" s="687">
        <f>IF(5&gt;D74,0,-1/((0.184*ABS(SUM(D80:D87))^3-0.525*(SUM(D80:D87))^2+1.038*ABS(SUM(D80:D87))+1.001)))</f>
        <v>0</v>
      </c>
      <c r="E156" s="8"/>
      <c r="F156" s="22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row>
    <row r="157" spans="1:28" hidden="1" x14ac:dyDescent="0.15">
      <c r="A157" s="210"/>
      <c r="B157" s="8" t="s">
        <v>1308</v>
      </c>
      <c r="D157" s="687">
        <f>IF(6&gt;D74,0,-1/((0.184*ABS(SUM(D80:D88))^3-0.525*(SUM(D80:D88))^2+1.038*ABS(SUM(D80:D88))+1.001)))</f>
        <v>0</v>
      </c>
      <c r="E157" s="8"/>
      <c r="F157" s="22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row>
    <row r="158" spans="1:28" hidden="1" x14ac:dyDescent="0.15">
      <c r="A158" s="210"/>
      <c r="B158" s="8" t="s">
        <v>1309</v>
      </c>
      <c r="D158" s="687">
        <f>IF(7&gt;D74,0,-1/((0.184*ABS(SUM(D80:D89))^3-0.525*(SUM(D80:D89))^2+1.038*ABS(SUM(D80:D89))+1.001)))</f>
        <v>0</v>
      </c>
      <c r="E158" s="8"/>
      <c r="F158" s="22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row>
    <row r="159" spans="1:28" hidden="1" x14ac:dyDescent="0.15">
      <c r="A159" s="210"/>
      <c r="B159" s="8" t="s">
        <v>1310</v>
      </c>
      <c r="D159" s="687">
        <f>IF(8&gt;D74,0,-1/((0.184*ABS(SUM(D80:D90))^3-0.525*(SUM(D80:D90))^2+1.038*ABS(SUM(D80:D90))+1.001)))</f>
        <v>0</v>
      </c>
      <c r="E159" s="8"/>
      <c r="F159" s="220"/>
      <c r="G159" s="330"/>
      <c r="H159" s="330"/>
      <c r="I159" s="330"/>
      <c r="J159" s="330"/>
      <c r="K159" s="330"/>
      <c r="L159" s="330"/>
      <c r="M159" s="330"/>
      <c r="N159" s="330"/>
      <c r="O159" s="330"/>
      <c r="P159" s="330"/>
      <c r="Q159" s="330"/>
      <c r="R159" s="330"/>
      <c r="S159" s="330"/>
      <c r="T159" s="330"/>
      <c r="U159" s="330"/>
      <c r="V159" s="330"/>
      <c r="W159" s="330"/>
      <c r="X159" s="330"/>
      <c r="Y159" s="330"/>
      <c r="Z159" s="330"/>
      <c r="AA159" s="330"/>
      <c r="AB159" s="330"/>
    </row>
    <row r="160" spans="1:28" hidden="1" x14ac:dyDescent="0.15">
      <c r="A160" s="210"/>
      <c r="B160" s="8" t="s">
        <v>1311</v>
      </c>
      <c r="D160" s="687">
        <f>IF(5&gt;D74,0,-1/((0.184*ABS(SUM(D79:D83))^3-0.525*(SUM(D79:D83))^2+1.038*ABS(SUM(D79:D83))+1.001)))</f>
        <v>0</v>
      </c>
      <c r="E160" s="8"/>
      <c r="F160" s="22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row>
    <row r="161" spans="1:28" hidden="1" x14ac:dyDescent="0.15">
      <c r="A161" s="210"/>
      <c r="B161" s="8" t="s">
        <v>1312</v>
      </c>
      <c r="D161" s="687">
        <f>IF(5&gt;D74,0,-1/((0.184*ABS(SUM(D79:D84))^3-0.525*(SUM(D79:D84))^2+1.038*ABS(SUM(D79:D84))+1.001)))</f>
        <v>0</v>
      </c>
      <c r="E161" s="8"/>
      <c r="F161" s="22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row>
    <row r="162" spans="1:28" hidden="1" x14ac:dyDescent="0.15">
      <c r="A162" s="210"/>
      <c r="B162" s="8" t="s">
        <v>1313</v>
      </c>
      <c r="D162" s="687">
        <f>IF(5&gt;D74,0,-1/((0.184*ABS(SUM(D79:D85))^3-0.525*(SUM(D79:D85))^2+1.038*ABS(SUM(D79:D85))+1.001)))</f>
        <v>0</v>
      </c>
      <c r="E162" s="8"/>
      <c r="F162" s="22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row>
    <row r="163" spans="1:28" hidden="1" x14ac:dyDescent="0.15">
      <c r="A163" s="210"/>
      <c r="B163" s="8" t="s">
        <v>1314</v>
      </c>
      <c r="D163" s="686">
        <f>IF(5&gt;D74,0,-1/((0.184*ABS(SUM(D79:D86))^3-0.525*(SUM(D79:D86))^2+1.038*ABS(SUM(D79:D86))+1.001)))</f>
        <v>0</v>
      </c>
      <c r="E163" s="8"/>
      <c r="F163" s="22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row>
    <row r="164" spans="1:28" hidden="1" x14ac:dyDescent="0.15">
      <c r="A164" s="210"/>
      <c r="B164" s="8" t="s">
        <v>1315</v>
      </c>
      <c r="D164" s="686">
        <f>IF(5&gt;D74,0,-1/((0.184*ABS(SUM(D79:D87))^3-0.525*(SUM(D79:D87))^2+1.038*ABS(SUM(D79:D87))+1.001)))</f>
        <v>0</v>
      </c>
      <c r="E164" s="8"/>
      <c r="F164" s="220"/>
      <c r="G164" s="330"/>
      <c r="H164" s="330"/>
      <c r="I164" s="330"/>
      <c r="J164" s="330"/>
      <c r="K164" s="330"/>
      <c r="L164" s="330"/>
      <c r="M164" s="330"/>
      <c r="N164" s="330"/>
      <c r="O164" s="330"/>
      <c r="P164" s="330"/>
      <c r="Q164" s="330"/>
      <c r="R164" s="330"/>
      <c r="S164" s="330"/>
      <c r="T164" s="330"/>
      <c r="U164" s="330"/>
      <c r="V164" s="330"/>
      <c r="W164" s="330"/>
      <c r="X164" s="330"/>
      <c r="Y164" s="330"/>
      <c r="Z164" s="330"/>
      <c r="AA164" s="330"/>
      <c r="AB164" s="330"/>
    </row>
    <row r="165" spans="1:28" hidden="1" x14ac:dyDescent="0.15">
      <c r="A165" s="210"/>
      <c r="B165" s="8" t="s">
        <v>1316</v>
      </c>
      <c r="D165" s="686">
        <f>IF(6&gt;D74,0,-1/((0.184*ABS(SUM(D79:D88))^3-0.525*(SUM(D79:D88))^2+1.038*ABS(SUM(D79:D88))+1.001)))</f>
        <v>0</v>
      </c>
      <c r="E165" s="8"/>
      <c r="F165" s="22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row>
    <row r="166" spans="1:28" hidden="1" x14ac:dyDescent="0.15">
      <c r="A166" s="210"/>
      <c r="B166" s="8" t="s">
        <v>1317</v>
      </c>
      <c r="D166" s="686">
        <f>IF(7&gt;D74,0,-1/((0.184*ABS(SUM(D79:D89))^3-0.525*(SUM(D79:D89))^2+1.038*ABS(SUM(D79:D89))+1.001)))</f>
        <v>0</v>
      </c>
      <c r="E166" s="8"/>
      <c r="F166" s="220"/>
      <c r="G166" s="330"/>
      <c r="H166" s="330"/>
      <c r="I166" s="330"/>
      <c r="J166" s="330"/>
      <c r="K166" s="330"/>
      <c r="L166" s="330"/>
      <c r="M166" s="330"/>
      <c r="N166" s="330"/>
      <c r="O166" s="330"/>
      <c r="P166" s="330"/>
      <c r="Q166" s="330"/>
      <c r="R166" s="330"/>
      <c r="S166" s="330"/>
      <c r="T166" s="330"/>
      <c r="U166" s="330"/>
      <c r="V166" s="330"/>
      <c r="W166" s="330"/>
      <c r="X166" s="330"/>
      <c r="Y166" s="330"/>
      <c r="Z166" s="330"/>
      <c r="AA166" s="330"/>
      <c r="AB166" s="330"/>
    </row>
    <row r="167" spans="1:28" hidden="1" x14ac:dyDescent="0.15">
      <c r="A167" s="210"/>
      <c r="B167" s="8" t="s">
        <v>1318</v>
      </c>
      <c r="D167" s="686">
        <f>IF(8&gt;D74,0,-1/((0.184*ABS(SUM(D79:D90))^3-0.525*(SUM(D79:D90))^2+1.038*ABS(SUM(D79:D90))+1.001)))</f>
        <v>0</v>
      </c>
      <c r="E167" s="8"/>
      <c r="F167" s="220"/>
      <c r="G167" s="330"/>
      <c r="H167" s="330"/>
      <c r="I167" s="330"/>
      <c r="J167" s="330"/>
      <c r="K167" s="330"/>
      <c r="L167" s="330"/>
      <c r="M167" s="330"/>
      <c r="N167" s="330"/>
      <c r="O167" s="330"/>
      <c r="P167" s="330"/>
      <c r="Q167" s="330"/>
      <c r="R167" s="330"/>
      <c r="S167" s="330"/>
      <c r="T167" s="330"/>
      <c r="U167" s="330"/>
      <c r="V167" s="330"/>
      <c r="W167" s="330"/>
      <c r="X167" s="330"/>
      <c r="Y167" s="330"/>
      <c r="Z167" s="330"/>
      <c r="AA167" s="330"/>
      <c r="AB167" s="330"/>
    </row>
    <row r="168" spans="1:28" hidden="1" x14ac:dyDescent="0.15">
      <c r="A168" s="210"/>
      <c r="B168" s="8" t="s">
        <v>1319</v>
      </c>
      <c r="D168" s="686">
        <f>IF(6&gt;D74,0,-1/((0.184*ABS(SUM(D78:D83))^3-0.525*(SUM(D78:D83))^2+1.038*ABS(SUM(D78:D83))+1.001)))</f>
        <v>0</v>
      </c>
      <c r="E168" s="8"/>
      <c r="F168" s="22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row>
    <row r="169" spans="1:28" hidden="1" x14ac:dyDescent="0.15">
      <c r="A169" s="210"/>
      <c r="B169" s="8" t="s">
        <v>1320</v>
      </c>
      <c r="D169" s="686">
        <f>IF(6&gt;D74,0,-1/((0.184*ABS(SUM(D78:D84))^3-0.525*(SUM(D78:D84))^2+1.038*ABS(SUM(D78:D84))+1.001)))</f>
        <v>0</v>
      </c>
      <c r="E169" s="8"/>
      <c r="F169" s="22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row>
    <row r="170" spans="1:28" hidden="1" x14ac:dyDescent="0.15">
      <c r="A170" s="210"/>
      <c r="B170" s="8" t="s">
        <v>1321</v>
      </c>
      <c r="D170" s="686">
        <f>IF(6&gt;D74,0,-1/((0.184*ABS(SUM(D78:D85))^3-0.525*(SUM(D78:D85))^2+1.038*ABS(SUM(D78:D85))+1.001)))</f>
        <v>0</v>
      </c>
      <c r="E170" s="8"/>
      <c r="F170" s="22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row>
    <row r="171" spans="1:28" hidden="1" x14ac:dyDescent="0.15">
      <c r="A171" s="210"/>
      <c r="B171" s="8" t="s">
        <v>1322</v>
      </c>
      <c r="D171" s="686">
        <f>IF(6&gt;D74,0,-1/((0.184*ABS(SUM(D78:D86))^3-0.525*(SUM(D78:D86))^2+1.038*ABS(SUM(D78:D86))+1.001)))</f>
        <v>0</v>
      </c>
      <c r="E171" s="8"/>
      <c r="F171" s="220"/>
      <c r="G171" s="330"/>
      <c r="H171" s="330"/>
      <c r="I171" s="330"/>
      <c r="J171" s="330"/>
      <c r="K171" s="330"/>
      <c r="L171" s="330"/>
      <c r="M171" s="330"/>
      <c r="N171" s="330"/>
      <c r="O171" s="330"/>
      <c r="P171" s="330"/>
      <c r="Q171" s="330"/>
      <c r="R171" s="330"/>
      <c r="S171" s="330"/>
      <c r="T171" s="330"/>
      <c r="U171" s="330"/>
      <c r="V171" s="330"/>
      <c r="W171" s="330"/>
      <c r="X171" s="330"/>
      <c r="Y171" s="330"/>
      <c r="Z171" s="330"/>
      <c r="AA171" s="330"/>
      <c r="AB171" s="330"/>
    </row>
    <row r="172" spans="1:28" hidden="1" x14ac:dyDescent="0.15">
      <c r="A172" s="210"/>
      <c r="B172" s="8" t="s">
        <v>1323</v>
      </c>
      <c r="D172" s="686">
        <f>IF(6&gt;D74,0,-1/((0.184*ABS(SUM(D78:D87))^3-0.525*(SUM(D78:D87))^2+1.038*ABS(SUM(D78:D87))+1.001)))</f>
        <v>0</v>
      </c>
      <c r="E172" s="8"/>
      <c r="F172" s="220"/>
      <c r="G172" s="330"/>
      <c r="H172" s="330"/>
      <c r="I172" s="330"/>
      <c r="J172" s="330"/>
      <c r="K172" s="330"/>
      <c r="L172" s="330"/>
      <c r="M172" s="330"/>
      <c r="N172" s="330"/>
      <c r="O172" s="330"/>
      <c r="P172" s="330"/>
      <c r="Q172" s="330"/>
      <c r="R172" s="330"/>
      <c r="S172" s="330"/>
      <c r="T172" s="330"/>
      <c r="U172" s="330"/>
      <c r="V172" s="330"/>
      <c r="W172" s="330"/>
      <c r="X172" s="330"/>
      <c r="Y172" s="330"/>
      <c r="Z172" s="330"/>
      <c r="AA172" s="330"/>
      <c r="AB172" s="330"/>
    </row>
    <row r="173" spans="1:28" hidden="1" x14ac:dyDescent="0.15">
      <c r="A173" s="210"/>
      <c r="B173" s="8" t="s">
        <v>1324</v>
      </c>
      <c r="D173" s="686">
        <f>IF(6&gt;D74,0,-1/((0.184*ABS(SUM(D78:D88))^3-0.525*(SUM(D78:D88))^2+1.038*ABS(SUM(D78:D88))+1.001)))</f>
        <v>0</v>
      </c>
      <c r="E173" s="8"/>
      <c r="F173" s="220"/>
      <c r="G173" s="330"/>
      <c r="H173" s="330"/>
      <c r="I173" s="330"/>
      <c r="J173" s="330"/>
      <c r="K173" s="330"/>
      <c r="L173" s="330"/>
      <c r="M173" s="330"/>
      <c r="N173" s="330"/>
      <c r="O173" s="330"/>
      <c r="P173" s="330"/>
      <c r="Q173" s="330"/>
      <c r="R173" s="330"/>
      <c r="S173" s="330"/>
      <c r="T173" s="330"/>
      <c r="U173" s="330"/>
      <c r="V173" s="330"/>
      <c r="W173" s="330"/>
      <c r="X173" s="330"/>
      <c r="Y173" s="330"/>
      <c r="Z173" s="330"/>
      <c r="AA173" s="330"/>
      <c r="AB173" s="330"/>
    </row>
    <row r="174" spans="1:28" hidden="1" x14ac:dyDescent="0.15">
      <c r="A174" s="210"/>
      <c r="B174" s="8" t="s">
        <v>1325</v>
      </c>
      <c r="D174" s="686">
        <f>IF(7&gt;D74,0,-1/((0.184*ABS(SUM(D78:D89))^3-0.525*(SUM(D78:D89))^2+1.038*ABS(SUM(D78:D89))+1.001)))</f>
        <v>0</v>
      </c>
      <c r="E174" s="8"/>
      <c r="F174" s="22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row>
    <row r="175" spans="1:28" hidden="1" x14ac:dyDescent="0.15">
      <c r="A175" s="210"/>
      <c r="B175" s="8" t="s">
        <v>1326</v>
      </c>
      <c r="D175" s="686">
        <f>IF(8&gt;D74,0,-1/((0.184*ABS(SUM(D78:D90))^3-0.525*(SUM(D78:D90))^2+1.038*ABS(SUM(D78:D90))+1.001)))</f>
        <v>0</v>
      </c>
      <c r="E175" s="8"/>
      <c r="F175" s="220"/>
      <c r="G175" s="330"/>
      <c r="H175" s="330"/>
      <c r="I175" s="330"/>
      <c r="J175" s="330"/>
      <c r="K175" s="330"/>
      <c r="L175" s="330"/>
      <c r="M175" s="330"/>
      <c r="N175" s="330"/>
      <c r="O175" s="330"/>
      <c r="P175" s="330"/>
      <c r="Q175" s="330"/>
      <c r="R175" s="330"/>
      <c r="S175" s="330"/>
      <c r="T175" s="330"/>
      <c r="U175" s="330"/>
      <c r="V175" s="330"/>
      <c r="W175" s="330"/>
      <c r="X175" s="330"/>
      <c r="Y175" s="330"/>
      <c r="Z175" s="330"/>
      <c r="AA175" s="330"/>
      <c r="AB175" s="330"/>
    </row>
    <row r="176" spans="1:28" hidden="1" x14ac:dyDescent="0.15">
      <c r="A176" s="210"/>
      <c r="B176" s="8" t="s">
        <v>1327</v>
      </c>
      <c r="D176" s="686">
        <f>IF(7&gt;D74,0,-1/((0.184*ABS(SUM(D77:D83))^3-0.525*(SUM(D77:D83))^2+1.038*ABS(SUM(D77:D83))+1.001)))</f>
        <v>0</v>
      </c>
      <c r="E176" s="8"/>
      <c r="F176" s="220"/>
      <c r="G176" s="330"/>
      <c r="H176" s="330"/>
      <c r="I176" s="330"/>
      <c r="J176" s="330"/>
      <c r="K176" s="330"/>
      <c r="L176" s="330"/>
      <c r="M176" s="330"/>
      <c r="N176" s="330"/>
      <c r="O176" s="330"/>
      <c r="P176" s="330"/>
      <c r="Q176" s="330"/>
      <c r="R176" s="330"/>
      <c r="S176" s="330"/>
      <c r="T176" s="330"/>
      <c r="U176" s="330"/>
      <c r="V176" s="330"/>
      <c r="W176" s="330"/>
      <c r="X176" s="330"/>
      <c r="Y176" s="330"/>
      <c r="Z176" s="330"/>
      <c r="AA176" s="330"/>
      <c r="AB176" s="330"/>
    </row>
    <row r="177" spans="1:28" hidden="1" x14ac:dyDescent="0.15">
      <c r="A177" s="210"/>
      <c r="B177" s="8" t="s">
        <v>1328</v>
      </c>
      <c r="D177" s="686">
        <f>IF(7&gt;D74,0,-1/((0.184*ABS(SUM(D77:D84))^3-0.525*(SUM(D77:D84))^2+1.038*ABS(SUM(D77:D84))+1.001)))</f>
        <v>0</v>
      </c>
      <c r="E177" s="8"/>
      <c r="F177" s="22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row>
    <row r="178" spans="1:28" hidden="1" x14ac:dyDescent="0.15">
      <c r="A178" s="210"/>
      <c r="B178" s="8" t="s">
        <v>1329</v>
      </c>
      <c r="D178" s="686">
        <f>IF(7&gt;D74,0,-1/((0.184*ABS(SUM(D77:D85))^3-0.525*(SUM(D77:D85))^2+1.038*ABS(SUM(D77:D85))+1.001)))</f>
        <v>0</v>
      </c>
      <c r="E178" s="8"/>
      <c r="F178" s="22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row>
    <row r="179" spans="1:28" hidden="1" x14ac:dyDescent="0.15">
      <c r="A179" s="210"/>
      <c r="B179" s="8" t="s">
        <v>1330</v>
      </c>
      <c r="D179" s="686">
        <f>IF(7&gt;D74,0,-1/((0.184*ABS(SUM(D77:D86))^3-0.525*(SUM(D77:D86))^2+1.038*ABS(SUM(D77:D86))+1.001)))</f>
        <v>0</v>
      </c>
      <c r="E179" s="8"/>
      <c r="F179" s="220"/>
      <c r="G179" s="330"/>
      <c r="H179" s="330"/>
      <c r="I179" s="330"/>
      <c r="J179" s="330"/>
      <c r="K179" s="330"/>
      <c r="L179" s="330"/>
      <c r="M179" s="330"/>
      <c r="N179" s="330"/>
      <c r="O179" s="330"/>
      <c r="P179" s="330"/>
      <c r="Q179" s="330"/>
      <c r="R179" s="330"/>
      <c r="S179" s="330"/>
      <c r="T179" s="330"/>
      <c r="U179" s="330"/>
      <c r="V179" s="330"/>
      <c r="W179" s="330"/>
      <c r="X179" s="330"/>
      <c r="Y179" s="330"/>
      <c r="Z179" s="330"/>
      <c r="AA179" s="330"/>
      <c r="AB179" s="330"/>
    </row>
    <row r="180" spans="1:28" hidden="1" x14ac:dyDescent="0.15">
      <c r="A180" s="210"/>
      <c r="B180" s="8" t="s">
        <v>1331</v>
      </c>
      <c r="D180" s="686">
        <f>IF(7&gt;D74,0,-1/((0.184*ABS(SUM(D77:D87))^3-0.525*(SUM(D77:D87))^2+1.038*ABS(SUM(D77:D87))+1.001)))</f>
        <v>0</v>
      </c>
      <c r="E180" s="8"/>
      <c r="F180" s="22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row>
    <row r="181" spans="1:28" hidden="1" x14ac:dyDescent="0.15">
      <c r="A181" s="210"/>
      <c r="B181" s="8" t="s">
        <v>1332</v>
      </c>
      <c r="D181" s="686">
        <f>IF(7&gt;D74,0,-1/((0.184*ABS(SUM(D77:D88))^3-0.525*(SUM(D77:D88))^2+1.038*ABS(SUM(D77:D88))+1.001)))</f>
        <v>0</v>
      </c>
      <c r="E181" s="8"/>
      <c r="F181" s="220"/>
      <c r="G181" s="330"/>
      <c r="H181" s="330"/>
      <c r="I181" s="330"/>
      <c r="J181" s="330"/>
      <c r="K181" s="330"/>
      <c r="L181" s="330"/>
      <c r="M181" s="330"/>
      <c r="N181" s="330"/>
      <c r="O181" s="330"/>
      <c r="P181" s="330"/>
      <c r="Q181" s="330"/>
      <c r="R181" s="330"/>
      <c r="S181" s="330"/>
      <c r="T181" s="330"/>
      <c r="U181" s="330"/>
      <c r="V181" s="330"/>
      <c r="W181" s="330"/>
      <c r="X181" s="330"/>
      <c r="Y181" s="330"/>
      <c r="Z181" s="330"/>
      <c r="AA181" s="330"/>
      <c r="AB181" s="330"/>
    </row>
    <row r="182" spans="1:28" hidden="1" x14ac:dyDescent="0.15">
      <c r="A182" s="210"/>
      <c r="B182" s="8" t="s">
        <v>1333</v>
      </c>
      <c r="D182" s="686">
        <f>IF(7&gt;D74,0,-1/((0.184*ABS(SUM(D77:D89))^3-0.525*(SUM(D77:D89))^2+1.038*ABS(SUM(D77:D89))+1.001)))</f>
        <v>0</v>
      </c>
      <c r="E182" s="8"/>
      <c r="F182" s="22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row>
    <row r="183" spans="1:28" hidden="1" x14ac:dyDescent="0.15">
      <c r="A183" s="210"/>
      <c r="B183" s="8" t="s">
        <v>1334</v>
      </c>
      <c r="D183" s="686">
        <f>IF(8&gt;D74,0,-1/((0.184*ABS(SUM(D77:D90))^3-0.525*(SUM(D77:D90))^2+1.038*ABS(SUM(D77:D90))+1.001)))</f>
        <v>0</v>
      </c>
      <c r="E183" s="8"/>
      <c r="F183" s="220"/>
      <c r="G183" s="330"/>
      <c r="H183" s="330"/>
      <c r="I183" s="330"/>
      <c r="J183" s="330"/>
      <c r="K183" s="330"/>
      <c r="L183" s="330"/>
      <c r="M183" s="330"/>
      <c r="N183" s="330"/>
      <c r="O183" s="330"/>
      <c r="P183" s="330"/>
      <c r="Q183" s="330"/>
      <c r="R183" s="330"/>
      <c r="S183" s="330"/>
      <c r="T183" s="330"/>
      <c r="U183" s="330"/>
      <c r="V183" s="330"/>
      <c r="W183" s="330"/>
      <c r="X183" s="330"/>
      <c r="Y183" s="330"/>
      <c r="Z183" s="330"/>
      <c r="AA183" s="330"/>
      <c r="AB183" s="330"/>
    </row>
    <row r="184" spans="1:28" hidden="1" x14ac:dyDescent="0.15">
      <c r="A184" s="210"/>
      <c r="B184" s="8" t="s">
        <v>1335</v>
      </c>
      <c r="D184" s="686">
        <f>IF(8&gt;D74,0,-1/((0.184*ABS(SUM(D76:D84))^3-0.525*(SUM(D76:D84))^2+1.038*ABS(SUM(D76:D84))+1.001)))</f>
        <v>0</v>
      </c>
      <c r="E184" s="8"/>
      <c r="F184" s="220"/>
      <c r="G184" s="330"/>
      <c r="H184" s="330"/>
      <c r="I184" s="330"/>
      <c r="J184" s="330"/>
      <c r="K184" s="330"/>
      <c r="L184" s="330"/>
      <c r="M184" s="330"/>
      <c r="N184" s="330"/>
      <c r="O184" s="330"/>
      <c r="P184" s="330"/>
      <c r="Q184" s="330"/>
      <c r="R184" s="330"/>
      <c r="S184" s="330"/>
      <c r="T184" s="330"/>
      <c r="U184" s="330"/>
      <c r="V184" s="330"/>
      <c r="W184" s="330"/>
      <c r="X184" s="330"/>
      <c r="Y184" s="330"/>
      <c r="Z184" s="330"/>
      <c r="AA184" s="330"/>
      <c r="AB184" s="330"/>
    </row>
    <row r="185" spans="1:28" hidden="1" x14ac:dyDescent="0.15">
      <c r="A185" s="210"/>
      <c r="B185" s="8" t="s">
        <v>1336</v>
      </c>
      <c r="D185" s="686">
        <f>IF(8&gt;D74,0,-1/((0.184*ABS(SUM(D76:D85))^3-0.525*(SUM(D76:D85))^2+1.038*ABS(SUM(D76:D85))+1.001)))</f>
        <v>0</v>
      </c>
      <c r="E185" s="8"/>
      <c r="F185" s="220"/>
      <c r="G185" s="330"/>
      <c r="H185" s="330"/>
      <c r="I185" s="330"/>
      <c r="J185" s="330"/>
      <c r="K185" s="330"/>
      <c r="L185" s="330"/>
      <c r="M185" s="330"/>
      <c r="N185" s="330"/>
      <c r="O185" s="330"/>
      <c r="P185" s="330"/>
      <c r="Q185" s="330"/>
      <c r="R185" s="330"/>
      <c r="S185" s="330"/>
      <c r="T185" s="330"/>
      <c r="U185" s="330"/>
      <c r="V185" s="330"/>
      <c r="W185" s="330"/>
      <c r="X185" s="330"/>
      <c r="Y185" s="330"/>
      <c r="Z185" s="330"/>
      <c r="AA185" s="330"/>
      <c r="AB185" s="330"/>
    </row>
    <row r="186" spans="1:28" hidden="1" x14ac:dyDescent="0.15">
      <c r="A186" s="210"/>
      <c r="B186" s="8" t="s">
        <v>1337</v>
      </c>
      <c r="D186" s="686">
        <f>IF(8&gt;D74,0,-1/((0.184*ABS(SUM(D76:D86))^3-0.525*(SUM(D76:D86))^2+1.038*ABS(SUM(D76:D86))+1.001)))</f>
        <v>0</v>
      </c>
      <c r="E186" s="8"/>
      <c r="F186" s="22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row>
    <row r="187" spans="1:28" hidden="1" x14ac:dyDescent="0.15">
      <c r="A187" s="210"/>
      <c r="B187" s="8" t="s">
        <v>1338</v>
      </c>
      <c r="D187" s="686">
        <f>IF(8&gt;D74,0,-1/((0.184*ABS(SUM(D76:D87))^3-0.525*(SUM(D76:D87))^2+1.038*ABS(SUM(D76:D87))+1.001)))</f>
        <v>0</v>
      </c>
      <c r="E187" s="8"/>
      <c r="F187" s="22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row>
    <row r="188" spans="1:28" hidden="1" x14ac:dyDescent="0.15">
      <c r="A188" s="210"/>
      <c r="B188" s="8" t="s">
        <v>1339</v>
      </c>
      <c r="D188" s="686">
        <f>IF(8&gt;D74,0,-1/((0.184*ABS(SUM(D76:D88))^3-0.525*(SUM(D76:D88))^2+1.038*ABS(SUM(D76:D88))+1.001)))</f>
        <v>0</v>
      </c>
      <c r="E188" s="8"/>
      <c r="F188" s="220"/>
      <c r="G188" s="330"/>
      <c r="H188" s="330"/>
      <c r="I188" s="330"/>
      <c r="J188" s="330"/>
      <c r="K188" s="330"/>
      <c r="L188" s="330"/>
      <c r="M188" s="330"/>
      <c r="N188" s="330"/>
      <c r="O188" s="330"/>
      <c r="P188" s="330"/>
      <c r="Q188" s="330"/>
      <c r="R188" s="330"/>
      <c r="S188" s="330"/>
      <c r="T188" s="330"/>
      <c r="U188" s="330"/>
      <c r="V188" s="330"/>
      <c r="W188" s="330"/>
      <c r="X188" s="330"/>
      <c r="Y188" s="330"/>
      <c r="Z188" s="330"/>
      <c r="AA188" s="330"/>
      <c r="AB188" s="330"/>
    </row>
    <row r="189" spans="1:28" hidden="1" x14ac:dyDescent="0.15">
      <c r="A189" s="210"/>
      <c r="B189" s="8" t="s">
        <v>1340</v>
      </c>
      <c r="D189" s="686">
        <f>IF(8&gt;D74,0,-1/((0.184*ABS(SUM(D76:D89))^3-0.525*(SUM(D76:D89))^2+1.038*ABS(SUM(D76:D89))+1.001)))</f>
        <v>0</v>
      </c>
      <c r="E189" s="8"/>
      <c r="F189" s="22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row>
    <row r="190" spans="1:28" hidden="1" x14ac:dyDescent="0.15">
      <c r="A190" s="210"/>
      <c r="B190" s="8" t="s">
        <v>1341</v>
      </c>
      <c r="D190" s="686">
        <f>IF(8&gt;D74,0,-1/((0.184*ABS(SUM(D76:D90))^3-0.525*(SUM(D76:D90))^2+1.038*ABS(SUM(D76:D90))+1.001)))</f>
        <v>0</v>
      </c>
      <c r="E190" s="8"/>
      <c r="F190" s="22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row>
    <row r="191" spans="1:28" ht="14.25" hidden="1" x14ac:dyDescent="0.2">
      <c r="A191" s="210"/>
      <c r="B191" s="93"/>
      <c r="D191" s="653"/>
      <c r="E191" s="664"/>
      <c r="F191" s="22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row>
    <row r="192" spans="1:28" ht="14.25" hidden="1" x14ac:dyDescent="0.2">
      <c r="A192" s="210"/>
      <c r="B192" s="93" t="s">
        <v>1128</v>
      </c>
      <c r="D192" s="653">
        <f>D195</f>
        <v>7.400373448711707</v>
      </c>
      <c r="E192" s="660" t="s">
        <v>1179</v>
      </c>
      <c r="F192" s="220"/>
      <c r="G192" s="330"/>
      <c r="H192" s="330"/>
      <c r="I192" s="330"/>
      <c r="J192" s="330"/>
      <c r="K192" s="330"/>
      <c r="L192" s="330"/>
      <c r="M192" s="330"/>
      <c r="N192" s="330"/>
      <c r="O192" s="330"/>
      <c r="P192" s="330"/>
      <c r="Q192" s="330"/>
      <c r="R192" s="330"/>
      <c r="S192" s="330"/>
      <c r="T192" s="330"/>
      <c r="U192" s="330"/>
      <c r="V192" s="330"/>
      <c r="W192" s="330"/>
      <c r="X192" s="330"/>
      <c r="Y192" s="330"/>
      <c r="Z192" s="330"/>
      <c r="AA192" s="330"/>
      <c r="AB192" s="330"/>
    </row>
    <row r="193" spans="1:28" ht="14.25" hidden="1" x14ac:dyDescent="0.2">
      <c r="A193" s="210"/>
      <c r="B193" s="93" t="s">
        <v>1129</v>
      </c>
      <c r="D193" s="653">
        <f>D97</f>
        <v>6.3253775668653507</v>
      </c>
      <c r="E193" s="660" t="s">
        <v>1179</v>
      </c>
      <c r="F193" s="22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row>
    <row r="194" spans="1:28" hidden="1" x14ac:dyDescent="0.15">
      <c r="A194" s="210"/>
      <c r="B194" s="211"/>
      <c r="C194" s="212"/>
      <c r="D194" s="219"/>
      <c r="E194" s="201"/>
      <c r="F194" s="220"/>
      <c r="G194" s="330"/>
      <c r="H194" s="330"/>
      <c r="I194" s="330"/>
      <c r="J194" s="330"/>
      <c r="K194" s="330"/>
      <c r="L194" s="330"/>
      <c r="M194" s="330"/>
      <c r="N194" s="330"/>
      <c r="O194" s="330"/>
      <c r="P194" s="330"/>
      <c r="Q194" s="330"/>
      <c r="R194" s="330"/>
      <c r="S194" s="330"/>
      <c r="T194" s="330"/>
      <c r="U194" s="330"/>
      <c r="V194" s="330"/>
      <c r="W194" s="330"/>
      <c r="X194" s="330"/>
      <c r="Y194" s="330"/>
      <c r="Z194" s="330"/>
      <c r="AA194" s="330"/>
      <c r="AB194" s="330"/>
    </row>
    <row r="195" spans="1:28" ht="19.5" x14ac:dyDescent="0.35">
      <c r="A195" s="210"/>
      <c r="B195" s="221" t="s">
        <v>492</v>
      </c>
      <c r="C195" s="212" t="s">
        <v>471</v>
      </c>
      <c r="D195" s="222">
        <f>D94</f>
        <v>7.400373448711707</v>
      </c>
      <c r="E195" s="223" t="s">
        <v>472</v>
      </c>
      <c r="F195" s="333" t="str">
        <f>IF(D195="Error","Too many turns or outer diameter too small!","")</f>
        <v/>
      </c>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row>
    <row r="196" spans="1:28" ht="14.25" hidden="1" x14ac:dyDescent="0.15">
      <c r="A196" s="210"/>
      <c r="B196" s="221" t="s">
        <v>71</v>
      </c>
      <c r="C196" s="212"/>
      <c r="D196" s="329">
        <f>IF(D20="LDC0851",SQRT(2)/(2*PI()*SQRT(D195*0.000001*(D22+D52)*0.000000000001)),1/(2*PI()*SQRT(D195*0.000001*(D22+D52)*0.000000000001)))</f>
        <v>3201253.6016112482</v>
      </c>
      <c r="E196" s="223" t="s">
        <v>1</v>
      </c>
      <c r="F196" s="224"/>
      <c r="G196" s="330"/>
      <c r="H196" s="330"/>
      <c r="I196" s="330"/>
      <c r="J196" s="330"/>
      <c r="K196" s="330"/>
      <c r="L196" s="330"/>
      <c r="M196" s="330"/>
      <c r="N196" s="330"/>
      <c r="O196" s="330"/>
      <c r="P196" s="330"/>
      <c r="Q196" s="330"/>
      <c r="R196" s="330"/>
      <c r="S196" s="330"/>
      <c r="T196" s="330"/>
      <c r="U196" s="330"/>
      <c r="V196" s="330"/>
      <c r="W196" s="330"/>
      <c r="X196" s="330"/>
      <c r="Y196" s="330"/>
      <c r="Z196" s="330"/>
      <c r="AA196" s="330"/>
      <c r="AB196" s="330"/>
    </row>
    <row r="197" spans="1:28" ht="18" x14ac:dyDescent="0.25">
      <c r="A197" s="210"/>
      <c r="B197" s="221" t="s">
        <v>491</v>
      </c>
      <c r="C197" s="212" t="s">
        <v>585</v>
      </c>
      <c r="D197" s="222">
        <f>IF(D196&gt;300000,D196/1000000,D196/1000)</f>
        <v>3.2012536016112483</v>
      </c>
      <c r="E197" s="225" t="str">
        <f>IF(D196&gt;300000,"MHz","kHz")</f>
        <v>MHz</v>
      </c>
      <c r="F197" s="224" t="str">
        <f>IF(ISERROR(D197),"",IF(D197&gt;(D205*1000),"Sensor Frequency is too high, reduce C",""))</f>
        <v/>
      </c>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row>
    <row r="198" spans="1:28" hidden="1" x14ac:dyDescent="0.15">
      <c r="A198" s="210"/>
      <c r="B198" s="226" t="s">
        <v>73</v>
      </c>
      <c r="C198" s="227" t="s">
        <v>74</v>
      </c>
      <c r="D198" s="322">
        <f>D24*(D31-1)*2*D27+PI()*D24*(D27+D57)/2</f>
        <v>484.0163836791495</v>
      </c>
      <c r="E198" s="228" t="s">
        <v>34</v>
      </c>
      <c r="F198" s="209"/>
      <c r="G198" s="330"/>
      <c r="H198" s="330"/>
      <c r="I198" s="330"/>
      <c r="J198" s="330"/>
      <c r="K198" s="330"/>
      <c r="L198" s="330"/>
      <c r="M198" s="330"/>
      <c r="N198" s="330"/>
      <c r="O198" s="330"/>
      <c r="P198" s="330"/>
      <c r="Q198" s="330"/>
      <c r="R198" s="330"/>
      <c r="S198" s="330"/>
      <c r="T198" s="330"/>
      <c r="U198" s="330"/>
      <c r="V198" s="330"/>
      <c r="W198" s="330"/>
      <c r="X198" s="330"/>
      <c r="Y198" s="330"/>
      <c r="Z198" s="330"/>
      <c r="AA198" s="330"/>
      <c r="AB198" s="330"/>
    </row>
    <row r="199" spans="1:28" ht="14.25" hidden="1" x14ac:dyDescent="0.2">
      <c r="A199" s="210"/>
      <c r="B199" s="229" t="s">
        <v>75</v>
      </c>
      <c r="C199" s="230" t="s">
        <v>76</v>
      </c>
      <c r="D199" s="323">
        <f>D53*D198*0.001*D23/(D38*0.001*D48*0.001)</f>
        <v>3.1357109435921977</v>
      </c>
      <c r="E199" s="231" t="s">
        <v>77</v>
      </c>
      <c r="F199" s="209"/>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row>
    <row r="200" spans="1:28" hidden="1" x14ac:dyDescent="0.15">
      <c r="A200" s="210"/>
      <c r="B200" s="229" t="s">
        <v>78</v>
      </c>
      <c r="C200" s="230" t="s">
        <v>79</v>
      </c>
      <c r="D200" s="324">
        <f>SQRT(D49/(4*PI()*PI()*0.0000001*D51*D196))*1000</f>
        <v>3.6459837816631015E-2</v>
      </c>
      <c r="E200" s="232" t="s">
        <v>34</v>
      </c>
      <c r="F200" s="209"/>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row>
    <row r="201" spans="1:28" ht="14.25" hidden="1" x14ac:dyDescent="0.2">
      <c r="A201" s="210"/>
      <c r="B201" s="169" t="s">
        <v>80</v>
      </c>
      <c r="C201" s="230" t="s">
        <v>388</v>
      </c>
      <c r="D201" s="325">
        <f>D199*D48/(D200*(1-EXP(-D48/D200)))</f>
        <v>4.8610838947532526</v>
      </c>
      <c r="E201" s="233" t="s">
        <v>77</v>
      </c>
      <c r="F201" s="209"/>
      <c r="G201" s="330"/>
      <c r="H201" s="330"/>
      <c r="I201" s="330"/>
      <c r="J201" s="330"/>
      <c r="K201" s="330"/>
      <c r="L201" s="330"/>
      <c r="M201" s="330"/>
      <c r="N201" s="330"/>
      <c r="O201" s="330"/>
      <c r="P201" s="330"/>
      <c r="Q201" s="330"/>
      <c r="R201" s="330"/>
      <c r="S201" s="330"/>
      <c r="T201" s="330"/>
      <c r="U201" s="330"/>
      <c r="V201" s="330"/>
      <c r="W201" s="330"/>
      <c r="X201" s="330"/>
      <c r="Y201" s="330"/>
      <c r="Z201" s="330"/>
      <c r="AA201" s="330"/>
      <c r="AB201" s="330"/>
    </row>
    <row r="202" spans="1:28" ht="15" hidden="1" x14ac:dyDescent="0.25">
      <c r="A202" s="210"/>
      <c r="B202" s="234" t="s">
        <v>276</v>
      </c>
      <c r="C202" s="235" t="s">
        <v>81</v>
      </c>
      <c r="D202" s="326">
        <f>(1/D201)*(D195*0.000001/(D22*0.000000000001))</f>
        <v>4613.2456407941663</v>
      </c>
      <c r="E202" s="236" t="s">
        <v>77</v>
      </c>
      <c r="F202" s="209"/>
      <c r="G202" s="330"/>
      <c r="H202" s="330"/>
      <c r="I202" s="330"/>
      <c r="J202" s="330"/>
      <c r="K202" s="330"/>
      <c r="L202" s="330"/>
      <c r="M202" s="330"/>
      <c r="N202" s="330"/>
      <c r="O202" s="330"/>
      <c r="P202" s="330"/>
      <c r="Q202" s="330"/>
      <c r="R202" s="330"/>
      <c r="S202" s="330"/>
      <c r="T202" s="330"/>
      <c r="U202" s="330"/>
      <c r="V202" s="330"/>
      <c r="W202" s="330"/>
      <c r="X202" s="330"/>
      <c r="Y202" s="330"/>
      <c r="Z202" s="330"/>
      <c r="AA202" s="330"/>
      <c r="AB202" s="330"/>
    </row>
    <row r="203" spans="1:28" ht="16.5" x14ac:dyDescent="0.25">
      <c r="A203" s="210"/>
      <c r="B203" s="299" t="s">
        <v>473</v>
      </c>
      <c r="C203" s="235" t="s">
        <v>587</v>
      </c>
      <c r="D203" s="237">
        <f>D202/1000</f>
        <v>4.6132456407941662</v>
      </c>
      <c r="E203" s="305" t="s">
        <v>243</v>
      </c>
      <c r="F203" s="209"/>
      <c r="G203" s="330"/>
      <c r="H203" s="330"/>
      <c r="I203" s="330"/>
      <c r="J203" s="330"/>
      <c r="K203" s="330"/>
      <c r="L203" s="330"/>
      <c r="M203" s="330"/>
      <c r="N203" s="330"/>
      <c r="O203" s="330"/>
      <c r="P203" s="330"/>
      <c r="Q203" s="330"/>
      <c r="R203" s="330"/>
      <c r="S203" s="330"/>
      <c r="T203" s="330"/>
      <c r="U203" s="330"/>
      <c r="V203" s="330"/>
      <c r="W203" s="330"/>
      <c r="X203" s="330"/>
      <c r="Y203" s="330"/>
      <c r="Z203" s="330"/>
      <c r="AA203" s="330"/>
      <c r="AB203" s="330"/>
    </row>
    <row r="204" spans="1:28" ht="14.25" x14ac:dyDescent="0.15">
      <c r="A204" s="210"/>
      <c r="B204" s="221" t="s">
        <v>82</v>
      </c>
      <c r="C204" s="212" t="s">
        <v>83</v>
      </c>
      <c r="D204" s="237">
        <f>(1/D201)*SQRT(D195*0.000001/((D22+D52)*0.000000000001))</f>
        <v>30.621077478443585</v>
      </c>
      <c r="E204" s="201"/>
      <c r="F204" s="209"/>
      <c r="G204" s="330"/>
      <c r="H204" s="330"/>
      <c r="I204" s="330"/>
      <c r="J204" s="330"/>
      <c r="K204" s="330"/>
      <c r="L204" s="330"/>
      <c r="M204" s="330"/>
      <c r="N204" s="330"/>
      <c r="O204" s="330"/>
      <c r="P204" s="330"/>
      <c r="Q204" s="330"/>
      <c r="R204" s="330"/>
      <c r="S204" s="330"/>
      <c r="T204" s="330"/>
      <c r="U204" s="330"/>
      <c r="V204" s="330"/>
      <c r="W204" s="330"/>
      <c r="X204" s="330"/>
      <c r="Y204" s="330"/>
      <c r="Z204" s="330"/>
      <c r="AA204" s="330"/>
      <c r="AB204" s="330"/>
    </row>
    <row r="205" spans="1:28" x14ac:dyDescent="0.15">
      <c r="A205" s="210"/>
      <c r="B205" s="234" t="s">
        <v>583</v>
      </c>
      <c r="C205" s="212" t="s">
        <v>84</v>
      </c>
      <c r="D205" s="219">
        <f>1/(2*PI()*SQRT(D195*0.000001*D52*0.000000000001))/1000000</f>
        <v>29.252522214720578</v>
      </c>
      <c r="E205" s="201" t="s">
        <v>0</v>
      </c>
      <c r="F205" s="209" t="s">
        <v>1651</v>
      </c>
      <c r="G205" s="330"/>
      <c r="H205" s="330"/>
      <c r="I205" s="330"/>
      <c r="J205" s="330"/>
      <c r="K205" s="330"/>
      <c r="L205" s="330"/>
      <c r="M205" s="330"/>
      <c r="N205" s="330"/>
      <c r="O205" s="330"/>
      <c r="P205" s="330"/>
      <c r="Q205" s="330"/>
      <c r="R205" s="330"/>
      <c r="S205" s="330"/>
      <c r="T205" s="330"/>
      <c r="U205" s="330"/>
      <c r="V205" s="330"/>
      <c r="W205" s="330"/>
      <c r="X205" s="330"/>
      <c r="Y205" s="330"/>
      <c r="Z205" s="330"/>
      <c r="AA205" s="330"/>
      <c r="AB205" s="330"/>
    </row>
    <row r="206" spans="1:28" ht="17.25" x14ac:dyDescent="0.2">
      <c r="A206" s="210"/>
      <c r="B206" s="300" t="s">
        <v>389</v>
      </c>
      <c r="C206" s="238" t="s">
        <v>390</v>
      </c>
      <c r="D206" s="182">
        <v>1.5</v>
      </c>
      <c r="E206" s="767" t="s">
        <v>34</v>
      </c>
      <c r="F206" s="202" t="s">
        <v>401</v>
      </c>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row>
    <row r="207" spans="1:28" ht="14.25" hidden="1" x14ac:dyDescent="0.15">
      <c r="A207" s="210"/>
      <c r="B207" s="300"/>
      <c r="C207" s="768" t="str">
        <f>E206</f>
        <v>mm</v>
      </c>
      <c r="D207" s="657" t="str">
        <f>C207</f>
        <v>mm</v>
      </c>
      <c r="E207" s="239"/>
      <c r="F207" s="202"/>
      <c r="G207" s="330"/>
      <c r="H207" s="330"/>
      <c r="I207" s="330"/>
      <c r="J207" s="330"/>
      <c r="K207" s="330"/>
      <c r="L207" s="330"/>
      <c r="M207" s="330"/>
      <c r="N207" s="330"/>
      <c r="O207" s="330"/>
      <c r="P207" s="330"/>
      <c r="Q207" s="330"/>
      <c r="R207" s="330"/>
      <c r="S207" s="330"/>
      <c r="T207" s="330"/>
      <c r="U207" s="330"/>
      <c r="V207" s="330"/>
      <c r="W207" s="330"/>
      <c r="X207" s="330"/>
      <c r="Y207" s="330"/>
      <c r="Z207" s="330"/>
      <c r="AA207" s="330"/>
      <c r="AB207" s="330"/>
    </row>
    <row r="208" spans="1:28" hidden="1" x14ac:dyDescent="0.15">
      <c r="A208" s="210"/>
      <c r="B208" s="167" t="s">
        <v>1533</v>
      </c>
      <c r="C208" s="238"/>
      <c r="D208" s="658">
        <f>IF(D207="mm",D206,D206*0.0254)</f>
        <v>1.5</v>
      </c>
      <c r="E208" s="239" t="s">
        <v>34</v>
      </c>
      <c r="F208" s="202"/>
      <c r="G208" s="330"/>
      <c r="H208" s="330"/>
      <c r="I208" s="330"/>
      <c r="J208" s="330"/>
      <c r="K208" s="330"/>
      <c r="L208" s="330"/>
      <c r="M208" s="330"/>
      <c r="N208" s="330"/>
      <c r="O208" s="330"/>
      <c r="P208" s="330"/>
      <c r="Q208" s="330"/>
      <c r="R208" s="330"/>
      <c r="S208" s="330"/>
      <c r="T208" s="330"/>
      <c r="U208" s="330"/>
      <c r="V208" s="330"/>
      <c r="W208" s="330"/>
      <c r="X208" s="330"/>
      <c r="Y208" s="330"/>
      <c r="Z208" s="330"/>
      <c r="AA208" s="330"/>
      <c r="AB208" s="330"/>
    </row>
    <row r="209" spans="1:28" hidden="1" x14ac:dyDescent="0.15">
      <c r="A209" s="210"/>
      <c r="B209" s="159" t="s">
        <v>391</v>
      </c>
      <c r="C209" s="200"/>
      <c r="D209" s="316">
        <f>D208/D27</f>
        <v>0.1079136690647482</v>
      </c>
      <c r="E209" s="240"/>
      <c r="F209" s="202"/>
      <c r="G209" s="330"/>
      <c r="H209" s="330"/>
      <c r="I209" s="330"/>
      <c r="J209" s="330"/>
      <c r="K209" s="330"/>
      <c r="L209" s="330"/>
      <c r="M209" s="330"/>
      <c r="N209" s="330"/>
      <c r="O209" s="330"/>
      <c r="P209" s="330"/>
      <c r="Q209" s="330"/>
      <c r="R209" s="330"/>
      <c r="S209" s="330"/>
      <c r="T209" s="330"/>
      <c r="U209" s="330"/>
      <c r="V209" s="330"/>
      <c r="W209" s="330"/>
      <c r="X209" s="330"/>
      <c r="Y209" s="330"/>
      <c r="Z209" s="330"/>
      <c r="AA209" s="330"/>
      <c r="AB209" s="330"/>
    </row>
    <row r="210" spans="1:28" hidden="1" x14ac:dyDescent="0.15">
      <c r="A210" s="210"/>
      <c r="B210" s="159" t="s">
        <v>392</v>
      </c>
      <c r="C210" s="200"/>
      <c r="D210" s="754">
        <f xml:space="preserve"> 12.413*D209^4 - 11.107*D209^3 - 1.1159*D209^2 + 3.6107*D209+ 0.0669</f>
        <v>0.43127411440810848</v>
      </c>
      <c r="E210" s="240"/>
      <c r="F210" s="202"/>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row>
    <row r="211" spans="1:28" hidden="1" x14ac:dyDescent="0.15">
      <c r="A211" s="210"/>
      <c r="B211" s="159" t="s">
        <v>393</v>
      </c>
      <c r="C211" s="200"/>
      <c r="D211" s="316">
        <f>MIN(D210,1)</f>
        <v>0.43127411440810848</v>
      </c>
      <c r="E211" s="240"/>
      <c r="F211" s="202"/>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row>
    <row r="212" spans="1:28" hidden="1" x14ac:dyDescent="0.15">
      <c r="A212" s="210"/>
      <c r="B212" s="158" t="s">
        <v>394</v>
      </c>
      <c r="C212" s="249"/>
      <c r="D212" s="319">
        <v>1</v>
      </c>
      <c r="E212" s="241"/>
      <c r="F212" s="202"/>
      <c r="G212" s="330"/>
      <c r="H212" s="330"/>
      <c r="I212" s="330"/>
      <c r="J212" s="330"/>
      <c r="K212" s="330"/>
      <c r="L212" s="330"/>
      <c r="M212" s="330"/>
      <c r="N212" s="330"/>
      <c r="O212" s="330"/>
      <c r="P212" s="330"/>
      <c r="Q212" s="330"/>
      <c r="R212" s="330"/>
      <c r="S212" s="330"/>
      <c r="T212" s="330"/>
      <c r="U212" s="330"/>
      <c r="V212" s="330"/>
      <c r="W212" s="330"/>
      <c r="X212" s="330"/>
      <c r="Y212" s="330"/>
      <c r="Z212" s="330"/>
      <c r="AA212" s="330"/>
      <c r="AB212" s="330"/>
    </row>
    <row r="213" spans="1:28" hidden="1" x14ac:dyDescent="0.15">
      <c r="A213" s="210"/>
      <c r="B213" s="158"/>
      <c r="C213" s="249"/>
      <c r="D213" s="320"/>
      <c r="E213" s="223"/>
      <c r="F213" s="353"/>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row>
    <row r="214" spans="1:28" ht="14.25" hidden="1" x14ac:dyDescent="0.2">
      <c r="A214" s="210"/>
      <c r="B214" s="158" t="s">
        <v>1534</v>
      </c>
      <c r="C214" s="249"/>
      <c r="D214" s="321">
        <f>D193</f>
        <v>6.3253775668653507</v>
      </c>
      <c r="E214" s="223" t="s">
        <v>472</v>
      </c>
      <c r="F214" s="352"/>
      <c r="G214" s="330"/>
      <c r="H214" s="330"/>
      <c r="I214" s="330"/>
      <c r="J214" s="330"/>
      <c r="K214" s="330"/>
      <c r="L214" s="330"/>
      <c r="M214" s="330"/>
      <c r="N214" s="330"/>
      <c r="O214" s="330"/>
      <c r="P214" s="330"/>
      <c r="Q214" s="330"/>
      <c r="R214" s="330"/>
      <c r="S214" s="330"/>
      <c r="T214" s="330"/>
      <c r="U214" s="330"/>
      <c r="V214" s="330"/>
      <c r="W214" s="330"/>
      <c r="X214" s="330"/>
      <c r="Y214" s="330"/>
      <c r="Z214" s="330"/>
      <c r="AA214" s="330"/>
      <c r="AB214" s="330"/>
    </row>
    <row r="215" spans="1:28" hidden="1" x14ac:dyDescent="0.15">
      <c r="A215" s="210"/>
      <c r="B215" s="158" t="s">
        <v>474</v>
      </c>
      <c r="C215" s="249" t="s">
        <v>475</v>
      </c>
      <c r="D215" s="321">
        <f>SQRT(D49/(4*PI()*PI()*0.1*D51*D225))*1000</f>
        <v>3.505685375326581E-2</v>
      </c>
      <c r="E215" s="301" t="s">
        <v>34</v>
      </c>
      <c r="F215" s="202"/>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row>
    <row r="216" spans="1:28" ht="14.25" hidden="1" x14ac:dyDescent="0.2">
      <c r="A216" s="210"/>
      <c r="B216" s="158" t="s">
        <v>476</v>
      </c>
      <c r="C216" s="249" t="s">
        <v>388</v>
      </c>
      <c r="D216" s="174">
        <f>D199*D48/(D215*(1-EXP(-D48/D215)))</f>
        <v>4.9395378789511444</v>
      </c>
      <c r="E216" s="304" t="s">
        <v>77</v>
      </c>
      <c r="F216" s="202"/>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row>
    <row r="217" spans="1:28" ht="15" hidden="1" x14ac:dyDescent="0.25">
      <c r="A217" s="210"/>
      <c r="B217" s="158" t="s">
        <v>477</v>
      </c>
      <c r="C217" s="249" t="s">
        <v>81</v>
      </c>
      <c r="D217" s="160">
        <f>(1/D216)*(D224*0.000001/(D22*0.000000000001))</f>
        <v>3880.486652478703</v>
      </c>
      <c r="E217" s="236" t="s">
        <v>77</v>
      </c>
      <c r="F217" s="202"/>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row>
    <row r="218" spans="1:28" ht="15" hidden="1" x14ac:dyDescent="0.25">
      <c r="A218" s="210"/>
      <c r="B218" s="158" t="s">
        <v>478</v>
      </c>
      <c r="C218" s="249"/>
      <c r="D218" s="160">
        <f>INDEX(G245:G250,MATCH(D20,B245:B250,0))</f>
        <v>1E-3</v>
      </c>
      <c r="E218" s="236" t="s">
        <v>0</v>
      </c>
      <c r="F218" s="202"/>
      <c r="G218" s="330"/>
      <c r="H218" s="330"/>
      <c r="I218" s="330"/>
      <c r="J218" s="330"/>
      <c r="K218" s="330"/>
      <c r="L218" s="330"/>
      <c r="M218" s="330"/>
      <c r="N218" s="330"/>
      <c r="O218" s="330"/>
      <c r="P218" s="330"/>
      <c r="Q218" s="330"/>
      <c r="R218" s="330"/>
      <c r="S218" s="330"/>
      <c r="T218" s="330"/>
      <c r="U218" s="330"/>
      <c r="V218" s="330"/>
      <c r="W218" s="330"/>
      <c r="X218" s="330"/>
      <c r="Y218" s="330"/>
      <c r="Z218" s="330"/>
      <c r="AA218" s="330"/>
      <c r="AB218" s="330"/>
    </row>
    <row r="219" spans="1:28" ht="15" hidden="1" x14ac:dyDescent="0.25">
      <c r="A219" s="210"/>
      <c r="B219" s="158" t="s">
        <v>479</v>
      </c>
      <c r="C219" s="249"/>
      <c r="D219" s="160">
        <f>INDEX(H245:H250,MATCH(D20,B245:B250,0))</f>
        <v>10</v>
      </c>
      <c r="E219" s="236" t="s">
        <v>0</v>
      </c>
      <c r="F219" s="202"/>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row>
    <row r="220" spans="1:28" ht="15" hidden="1" x14ac:dyDescent="0.25">
      <c r="A220" s="210"/>
      <c r="B220" s="158" t="s">
        <v>480</v>
      </c>
      <c r="C220" s="249"/>
      <c r="D220" s="160">
        <f>INDEX(C245:C250,MATCH(D20,B245:B250,0))</f>
        <v>0.25</v>
      </c>
      <c r="E220" s="236" t="s">
        <v>243</v>
      </c>
      <c r="F220" s="202"/>
      <c r="G220" s="330"/>
      <c r="H220" s="330"/>
      <c r="I220" s="330"/>
      <c r="J220" s="330"/>
      <c r="K220" s="330"/>
      <c r="L220" s="330"/>
      <c r="M220" s="330"/>
      <c r="N220" s="330"/>
      <c r="O220" s="330"/>
      <c r="P220" s="330"/>
      <c r="Q220" s="330"/>
      <c r="R220" s="330"/>
      <c r="S220" s="330"/>
      <c r="T220" s="330"/>
      <c r="U220" s="330"/>
      <c r="V220" s="330"/>
      <c r="W220" s="330"/>
      <c r="X220" s="330"/>
      <c r="Y220" s="330"/>
      <c r="Z220" s="330"/>
      <c r="AA220" s="330"/>
      <c r="AB220" s="330"/>
    </row>
    <row r="221" spans="1:28" ht="15" hidden="1" x14ac:dyDescent="0.25">
      <c r="A221" s="210"/>
      <c r="B221" s="158" t="s">
        <v>481</v>
      </c>
      <c r="C221" s="249"/>
      <c r="D221" s="160">
        <f>INDEX(D245:D250,MATCH(D20,B245:B250,0))</f>
        <v>500</v>
      </c>
      <c r="E221" s="236" t="s">
        <v>243</v>
      </c>
      <c r="F221" s="202"/>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row>
    <row r="222" spans="1:28" ht="15" hidden="1" x14ac:dyDescent="0.25">
      <c r="A222" s="210"/>
      <c r="B222" s="158" t="s">
        <v>482</v>
      </c>
      <c r="C222" s="249"/>
      <c r="D222" s="160">
        <f>INDEX(E245:E250,MATCH(D20,B245:B250,0))</f>
        <v>2.5</v>
      </c>
      <c r="E222" s="236"/>
      <c r="F222" s="202"/>
      <c r="G222" s="330"/>
      <c r="H222" s="330"/>
      <c r="I222" s="330"/>
      <c r="J222" s="330"/>
      <c r="K222" s="330"/>
      <c r="L222" s="330"/>
      <c r="M222" s="330"/>
      <c r="N222" s="330"/>
      <c r="O222" s="330"/>
      <c r="P222" s="330"/>
      <c r="Q222" s="330"/>
      <c r="R222" s="330"/>
      <c r="S222" s="330"/>
      <c r="T222" s="330"/>
      <c r="U222" s="330"/>
      <c r="V222" s="330"/>
      <c r="W222" s="330"/>
      <c r="X222" s="330"/>
      <c r="Y222" s="330"/>
      <c r="Z222" s="330"/>
      <c r="AA222" s="330"/>
      <c r="AB222" s="330"/>
    </row>
    <row r="223" spans="1:28" ht="15" hidden="1" x14ac:dyDescent="0.25">
      <c r="A223" s="210"/>
      <c r="B223" s="158" t="s">
        <v>483</v>
      </c>
      <c r="C223" s="249"/>
      <c r="D223" s="160">
        <f>INDEX(F245:F250,MATCH(D20,B245:B250,0))</f>
        <v>1000</v>
      </c>
      <c r="E223" s="236"/>
      <c r="F223" s="202"/>
      <c r="G223" s="330"/>
      <c r="H223" s="330"/>
      <c r="I223" s="330"/>
      <c r="J223" s="330"/>
      <c r="K223" s="330"/>
      <c r="L223" s="330"/>
      <c r="M223" s="330"/>
      <c r="N223" s="330"/>
      <c r="O223" s="330"/>
      <c r="P223" s="330"/>
      <c r="Q223" s="330"/>
      <c r="R223" s="330"/>
      <c r="S223" s="330"/>
      <c r="T223" s="330"/>
      <c r="U223" s="330"/>
      <c r="V223" s="330"/>
      <c r="W223" s="330"/>
      <c r="X223" s="330"/>
      <c r="Y223" s="330"/>
      <c r="Z223" s="330"/>
      <c r="AA223" s="330"/>
      <c r="AB223" s="330"/>
    </row>
    <row r="224" spans="1:28" ht="17.25" x14ac:dyDescent="0.2">
      <c r="A224" s="210"/>
      <c r="B224" s="242" t="s">
        <v>395</v>
      </c>
      <c r="C224" s="243" t="s">
        <v>396</v>
      </c>
      <c r="D224" s="244">
        <f>D214</f>
        <v>6.3253775668653507</v>
      </c>
      <c r="E224" s="223" t="s">
        <v>472</v>
      </c>
      <c r="F224" s="202"/>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row>
    <row r="225" spans="1:28" ht="18" x14ac:dyDescent="0.25">
      <c r="A225" s="210"/>
      <c r="B225" s="242" t="s">
        <v>397</v>
      </c>
      <c r="C225" s="212" t="s">
        <v>586</v>
      </c>
      <c r="D225" s="244">
        <f>IF(D20="LDC0851",1000/(PI()*SQRT(2*D22*D224)),1000/(2*PI()*SQRT((D22+D52)*D224)))</f>
        <v>3.4626107358861908</v>
      </c>
      <c r="E225" s="245" t="s">
        <v>0</v>
      </c>
      <c r="F225" s="302" t="str">
        <f>IF(ISERROR(D225),"",IF(D225&lt;D218,"Fsensor is too low",IF(D225&gt;D219,"Fsensor is too high - increase L or C","")))</f>
        <v/>
      </c>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row>
    <row r="226" spans="1:28" ht="18.75" x14ac:dyDescent="0.3">
      <c r="A226" s="210"/>
      <c r="B226" s="246" t="s">
        <v>398</v>
      </c>
      <c r="C226" s="243" t="s">
        <v>588</v>
      </c>
      <c r="D226" s="247">
        <f>D217/1000</f>
        <v>3.8804866524787029</v>
      </c>
      <c r="E226" s="248" t="s">
        <v>243</v>
      </c>
      <c r="F226" s="302" t="str">
        <f>IF(ISERROR(D226),"",IF(D226&lt;D220,"Sensor Rp is too low - try a lower C or higher L",IF(D226&gt;D221,"Sensor Rp too high","")))</f>
        <v/>
      </c>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row>
    <row r="227" spans="1:28" ht="17.25" x14ac:dyDescent="0.2">
      <c r="B227" s="242" t="s">
        <v>399</v>
      </c>
      <c r="C227" s="243" t="s">
        <v>400</v>
      </c>
      <c r="D227" s="303">
        <f>(D226)*SQRT(D22/D224)</f>
        <v>28.028505203354744</v>
      </c>
      <c r="E227" s="241"/>
      <c r="F227" s="302" t="str">
        <f>IF(ISERROR(D227),"",IF(D227&lt;D222,"Sensor Q is too low",IF(D227&gt;D223,"Sensor Q too high","")))</f>
        <v/>
      </c>
      <c r="G227" s="330"/>
      <c r="H227" s="330"/>
      <c r="I227" s="330"/>
      <c r="J227" s="330"/>
      <c r="K227" s="330"/>
      <c r="L227" s="330"/>
      <c r="M227" s="330"/>
      <c r="N227" s="330"/>
      <c r="O227" s="330"/>
      <c r="P227" s="330"/>
      <c r="Q227" s="330"/>
      <c r="R227" s="330"/>
      <c r="S227" s="330"/>
      <c r="T227" s="330"/>
      <c r="U227" s="330"/>
      <c r="V227" s="330"/>
      <c r="W227" s="330"/>
      <c r="X227" s="330"/>
      <c r="Y227" s="330"/>
      <c r="Z227" s="330"/>
      <c r="AA227" s="330"/>
      <c r="AB227" s="330"/>
    </row>
    <row r="228" spans="1:28" ht="17.25" hidden="1" x14ac:dyDescent="0.2">
      <c r="B228" s="328" t="s">
        <v>571</v>
      </c>
      <c r="C228" s="243" t="s">
        <v>569</v>
      </c>
      <c r="D228" s="327">
        <f>0.001*ROUND((100*D22/D227),-2)</f>
        <v>1.2</v>
      </c>
      <c r="E228" s="314" t="s">
        <v>580</v>
      </c>
      <c r="F228" s="302"/>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row>
    <row r="229" spans="1:28" ht="17.25" hidden="1" x14ac:dyDescent="0.2">
      <c r="B229" s="328" t="s">
        <v>572</v>
      </c>
      <c r="C229" s="243" t="s">
        <v>570</v>
      </c>
      <c r="D229" s="327">
        <f>0.001*ROUND((1250*D22/D227),-1)</f>
        <v>14.72</v>
      </c>
      <c r="E229" s="314" t="s">
        <v>580</v>
      </c>
      <c r="F229" s="302"/>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row>
    <row r="230" spans="1:28" ht="17.25" x14ac:dyDescent="0.2">
      <c r="B230" s="313" t="str">
        <f>IF(D20=B250,B252,"")</f>
        <v/>
      </c>
      <c r="C230" s="158" t="str">
        <f>IF(D20=B250,C252,"")</f>
        <v/>
      </c>
      <c r="D230" s="317" t="str">
        <f>IF(D20=B250,TEXT(D228,"##0.0#")&amp;"&lt; C &lt;"&amp;TEXT(D229,"###.0"),"")</f>
        <v/>
      </c>
      <c r="E230" s="318" t="str">
        <f>IF(D20=B250,"nF","")</f>
        <v/>
      </c>
      <c r="F230" s="315"/>
      <c r="G230" s="330"/>
      <c r="H230" s="330"/>
      <c r="I230" s="330"/>
      <c r="J230" s="330"/>
      <c r="K230" s="330"/>
      <c r="L230" s="330"/>
      <c r="M230" s="330"/>
      <c r="N230" s="330"/>
      <c r="O230" s="330"/>
      <c r="P230" s="330"/>
      <c r="Q230" s="330"/>
      <c r="R230" s="330"/>
      <c r="S230" s="330"/>
      <c r="T230" s="330"/>
      <c r="U230" s="330"/>
      <c r="V230" s="330"/>
      <c r="W230" s="330"/>
      <c r="X230" s="330"/>
      <c r="Y230" s="330"/>
      <c r="Z230" s="330"/>
      <c r="AA230" s="330"/>
      <c r="AB230" s="330"/>
    </row>
    <row r="231" spans="1:28" x14ac:dyDescent="0.15">
      <c r="A231" s="330"/>
      <c r="B231" s="330"/>
      <c r="C231" s="330"/>
      <c r="D231" s="331"/>
      <c r="E231" s="331"/>
      <c r="F231" s="332"/>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row>
    <row r="232" spans="1:28" ht="14.25" x14ac:dyDescent="0.15">
      <c r="A232" s="330"/>
      <c r="B232" s="508"/>
      <c r="C232" s="509"/>
      <c r="D232" s="509"/>
      <c r="E232" s="509"/>
      <c r="F232" s="511"/>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row>
    <row r="233" spans="1:28" x14ac:dyDescent="0.15">
      <c r="A233" s="330"/>
      <c r="B233" s="512"/>
      <c r="C233" s="512"/>
      <c r="D233" s="510"/>
      <c r="E233" s="510"/>
      <c r="F233" s="511"/>
      <c r="G233" s="330"/>
      <c r="H233" s="330"/>
      <c r="I233" s="330"/>
      <c r="J233" s="330"/>
      <c r="K233" s="330"/>
      <c r="L233" s="330"/>
      <c r="M233" s="330"/>
      <c r="N233" s="330"/>
      <c r="O233" s="330"/>
      <c r="P233" s="330"/>
      <c r="Q233" s="330"/>
      <c r="R233" s="330"/>
      <c r="S233" s="330"/>
      <c r="T233" s="330"/>
      <c r="U233" s="330"/>
      <c r="V233" s="330"/>
      <c r="W233" s="330"/>
      <c r="X233" s="330"/>
      <c r="Y233" s="330"/>
      <c r="Z233" s="330"/>
      <c r="AA233" s="330"/>
      <c r="AB233" s="330"/>
    </row>
    <row r="234" spans="1:28" x14ac:dyDescent="0.15">
      <c r="A234" s="330"/>
      <c r="B234" s="512"/>
      <c r="C234" s="512"/>
      <c r="D234" s="513"/>
      <c r="E234" s="510"/>
      <c r="F234" s="511"/>
      <c r="G234" s="330"/>
      <c r="H234" s="330"/>
      <c r="I234" s="330"/>
      <c r="J234" s="330"/>
      <c r="K234" s="330"/>
      <c r="L234" s="330"/>
      <c r="M234" s="330"/>
      <c r="N234" s="330"/>
      <c r="O234" s="330"/>
      <c r="P234" s="330"/>
      <c r="Q234" s="330"/>
      <c r="R234" s="330"/>
      <c r="S234" s="330"/>
      <c r="T234" s="330"/>
      <c r="U234" s="330"/>
      <c r="V234" s="330"/>
      <c r="W234" s="330"/>
      <c r="X234" s="330"/>
      <c r="Y234" s="330"/>
      <c r="Z234" s="330"/>
      <c r="AA234" s="330"/>
      <c r="AB234" s="330"/>
    </row>
    <row r="235" spans="1:28" x14ac:dyDescent="0.15">
      <c r="A235" s="330"/>
      <c r="B235" s="512"/>
      <c r="C235" s="512"/>
      <c r="D235" s="513"/>
      <c r="E235" s="510"/>
      <c r="F235" s="511"/>
      <c r="G235" s="330"/>
      <c r="H235" s="330"/>
      <c r="I235" s="330"/>
      <c r="J235" s="330"/>
      <c r="K235" s="330"/>
      <c r="L235" s="330"/>
      <c r="M235" s="330"/>
      <c r="N235" s="330"/>
      <c r="O235" s="330"/>
      <c r="P235" s="330"/>
      <c r="Q235" s="330"/>
      <c r="R235" s="330"/>
      <c r="S235" s="330"/>
      <c r="T235" s="330"/>
      <c r="U235" s="330"/>
      <c r="V235" s="330"/>
      <c r="W235" s="330"/>
      <c r="X235" s="330"/>
      <c r="Y235" s="330"/>
      <c r="Z235" s="330"/>
      <c r="AA235" s="330"/>
      <c r="AB235" s="330"/>
    </row>
    <row r="236" spans="1:28" x14ac:dyDescent="0.15">
      <c r="A236" s="330"/>
      <c r="B236" s="512"/>
      <c r="C236" s="512"/>
      <c r="D236" s="513"/>
      <c r="E236" s="510"/>
      <c r="F236" s="511"/>
      <c r="G236" s="330"/>
      <c r="H236" s="330"/>
      <c r="I236" s="330"/>
      <c r="J236" s="330"/>
      <c r="K236" s="330"/>
      <c r="L236" s="330"/>
      <c r="M236" s="330"/>
      <c r="N236" s="330"/>
      <c r="O236" s="330"/>
      <c r="P236" s="330"/>
      <c r="Q236" s="330"/>
      <c r="R236" s="330"/>
      <c r="S236" s="330"/>
      <c r="T236" s="330"/>
      <c r="U236" s="330"/>
      <c r="V236" s="330"/>
      <c r="W236" s="330"/>
      <c r="X236" s="330"/>
      <c r="Y236" s="330"/>
      <c r="Z236" s="330"/>
      <c r="AA236" s="330"/>
      <c r="AB236" s="330"/>
    </row>
    <row r="237" spans="1:28" s="185" customFormat="1" x14ac:dyDescent="0.15">
      <c r="A237" s="331"/>
      <c r="B237" s="512"/>
      <c r="C237" s="512"/>
      <c r="D237" s="513"/>
      <c r="E237" s="510"/>
      <c r="F237" s="511"/>
      <c r="G237" s="330"/>
      <c r="H237" s="330"/>
      <c r="I237" s="331"/>
      <c r="J237" s="331"/>
      <c r="K237" s="331"/>
      <c r="L237" s="331"/>
      <c r="M237" s="331"/>
      <c r="N237" s="331"/>
      <c r="O237" s="331"/>
      <c r="P237" s="331"/>
      <c r="Q237" s="331"/>
      <c r="R237" s="331"/>
      <c r="S237" s="331"/>
      <c r="T237" s="331"/>
      <c r="U237" s="331"/>
      <c r="V237" s="331"/>
      <c r="W237" s="331"/>
      <c r="X237" s="331"/>
      <c r="Y237" s="331"/>
      <c r="Z237" s="331"/>
      <c r="AA237" s="331"/>
      <c r="AB237" s="331"/>
    </row>
    <row r="238" spans="1:28" s="185" customFormat="1" x14ac:dyDescent="0.15">
      <c r="A238" s="331"/>
      <c r="B238" s="512"/>
      <c r="C238" s="512"/>
      <c r="D238" s="513"/>
      <c r="E238" s="510"/>
      <c r="F238" s="511"/>
      <c r="G238" s="330"/>
      <c r="H238" s="330"/>
      <c r="I238" s="331"/>
      <c r="J238" s="331"/>
      <c r="K238" s="331"/>
      <c r="L238" s="331"/>
      <c r="M238" s="331"/>
      <c r="N238" s="331"/>
      <c r="O238" s="331"/>
      <c r="P238" s="331"/>
      <c r="Q238" s="331"/>
      <c r="R238" s="331"/>
      <c r="S238" s="331"/>
      <c r="T238" s="331"/>
      <c r="U238" s="331"/>
      <c r="V238" s="331"/>
      <c r="W238" s="331"/>
      <c r="X238" s="331"/>
      <c r="Y238" s="331"/>
      <c r="Z238" s="331"/>
      <c r="AA238" s="331"/>
      <c r="AB238" s="331"/>
    </row>
    <row r="239" spans="1:28" s="185" customFormat="1" x14ac:dyDescent="0.15">
      <c r="A239" s="331"/>
      <c r="B239" s="512"/>
      <c r="C239" s="512"/>
      <c r="D239" s="513"/>
      <c r="E239" s="510"/>
      <c r="F239" s="511"/>
      <c r="G239" s="330"/>
      <c r="H239" s="330"/>
      <c r="I239" s="331"/>
      <c r="J239" s="331"/>
      <c r="K239" s="331"/>
      <c r="L239" s="331"/>
      <c r="M239" s="331"/>
      <c r="N239" s="331"/>
      <c r="O239" s="331"/>
      <c r="P239" s="331"/>
      <c r="Q239" s="331"/>
      <c r="R239" s="331"/>
      <c r="S239" s="331"/>
      <c r="T239" s="331"/>
      <c r="U239" s="331"/>
      <c r="V239" s="331"/>
      <c r="W239" s="331"/>
      <c r="X239" s="331"/>
      <c r="Y239" s="331"/>
      <c r="Z239" s="331"/>
      <c r="AA239" s="331"/>
      <c r="AB239" s="331"/>
    </row>
    <row r="240" spans="1:28" x14ac:dyDescent="0.15">
      <c r="A240" s="330"/>
      <c r="B240" s="512"/>
      <c r="C240" s="512"/>
      <c r="D240" s="510"/>
      <c r="E240" s="510"/>
      <c r="F240" s="511"/>
      <c r="G240" s="330"/>
      <c r="H240" s="330"/>
      <c r="I240" s="330"/>
      <c r="J240" s="330"/>
      <c r="K240" s="330"/>
      <c r="L240" s="330"/>
      <c r="M240" s="330"/>
      <c r="N240" s="330"/>
      <c r="O240" s="330"/>
      <c r="P240" s="330"/>
      <c r="Q240" s="330"/>
      <c r="R240" s="330"/>
      <c r="S240" s="330"/>
      <c r="T240" s="330"/>
      <c r="U240" s="330"/>
      <c r="V240" s="330"/>
      <c r="W240" s="330"/>
      <c r="X240" s="330"/>
      <c r="Y240" s="330"/>
      <c r="Z240" s="330"/>
      <c r="AA240" s="330"/>
      <c r="AB240" s="330"/>
    </row>
    <row r="241" spans="1:28" x14ac:dyDescent="0.15">
      <c r="A241" s="330"/>
      <c r="B241" s="512"/>
      <c r="C241" s="512"/>
      <c r="D241" s="510"/>
      <c r="E241" s="510"/>
      <c r="F241" s="511"/>
      <c r="G241" s="330"/>
      <c r="H241" s="330"/>
      <c r="I241" s="330"/>
      <c r="J241" s="330"/>
      <c r="K241" s="330"/>
      <c r="L241" s="330"/>
      <c r="M241" s="330"/>
      <c r="N241" s="330"/>
      <c r="O241" s="330"/>
      <c r="P241" s="330"/>
      <c r="Q241" s="330"/>
      <c r="R241" s="330"/>
      <c r="S241" s="330"/>
      <c r="T241" s="330"/>
      <c r="U241" s="330"/>
      <c r="V241" s="330"/>
      <c r="W241" s="330"/>
      <c r="X241" s="330"/>
      <c r="Y241" s="330"/>
      <c r="Z241" s="330"/>
      <c r="AA241" s="330"/>
      <c r="AB241" s="330"/>
    </row>
    <row r="242" spans="1:28" x14ac:dyDescent="0.15">
      <c r="A242" s="330"/>
      <c r="B242" s="512"/>
      <c r="C242" s="512"/>
      <c r="D242" s="510"/>
      <c r="E242" s="510"/>
      <c r="F242" s="511"/>
      <c r="G242" s="330"/>
      <c r="H242" s="330"/>
      <c r="I242" s="330"/>
      <c r="J242" s="330"/>
      <c r="K242" s="330"/>
      <c r="L242" s="330"/>
      <c r="M242" s="330"/>
      <c r="N242" s="330"/>
      <c r="O242" s="330"/>
      <c r="P242" s="330"/>
      <c r="Q242" s="330"/>
      <c r="R242" s="330"/>
      <c r="S242" s="330"/>
      <c r="T242" s="330"/>
      <c r="U242" s="330"/>
      <c r="V242" s="330"/>
      <c r="W242" s="330"/>
      <c r="X242" s="330"/>
      <c r="Y242" s="330"/>
      <c r="Z242" s="330"/>
      <c r="AA242" s="330"/>
      <c r="AB242" s="330"/>
    </row>
    <row r="243" spans="1:28" x14ac:dyDescent="0.15">
      <c r="A243" s="330"/>
      <c r="B243" s="512"/>
      <c r="C243" s="512"/>
      <c r="D243" s="510"/>
      <c r="E243" s="510"/>
      <c r="F243" s="511"/>
      <c r="G243" s="330"/>
      <c r="H243" s="330"/>
      <c r="I243" s="330"/>
      <c r="J243" s="330"/>
      <c r="K243" s="330"/>
      <c r="L243" s="330"/>
      <c r="M243" s="330"/>
      <c r="N243" s="330"/>
      <c r="O243" s="330"/>
      <c r="P243" s="330"/>
      <c r="Q243" s="330"/>
      <c r="R243" s="330"/>
      <c r="S243" s="330"/>
      <c r="T243" s="330"/>
      <c r="U243" s="330"/>
      <c r="V243" s="330"/>
      <c r="W243" s="330"/>
      <c r="X243" s="330"/>
      <c r="Y243" s="330"/>
      <c r="Z243" s="330"/>
      <c r="AA243" s="330"/>
      <c r="AB243" s="330"/>
    </row>
    <row r="244" spans="1:28" hidden="1" x14ac:dyDescent="0.15">
      <c r="A244" s="330"/>
      <c r="B244" s="514" t="s">
        <v>15</v>
      </c>
      <c r="C244" s="514" t="s">
        <v>485</v>
      </c>
      <c r="D244" s="515" t="s">
        <v>486</v>
      </c>
      <c r="E244" s="515" t="s">
        <v>487</v>
      </c>
      <c r="F244" s="515" t="s">
        <v>488</v>
      </c>
      <c r="G244" s="775" t="s">
        <v>489</v>
      </c>
      <c r="H244" s="776" t="s">
        <v>490</v>
      </c>
      <c r="I244" s="330"/>
      <c r="J244" s="330"/>
      <c r="K244" s="330"/>
      <c r="L244" s="330"/>
      <c r="M244" s="330"/>
      <c r="N244" s="330"/>
      <c r="O244" s="330"/>
      <c r="P244" s="330"/>
      <c r="Q244" s="330"/>
      <c r="R244" s="330"/>
      <c r="S244" s="330"/>
      <c r="T244" s="330"/>
      <c r="U244" s="330"/>
      <c r="V244" s="330"/>
      <c r="W244" s="330"/>
      <c r="X244" s="330"/>
      <c r="Y244" s="330"/>
      <c r="Z244" s="330"/>
      <c r="AA244" s="330"/>
      <c r="AB244" s="330"/>
    </row>
    <row r="245" spans="1:28" hidden="1" x14ac:dyDescent="0.15">
      <c r="A245" s="330"/>
      <c r="B245" s="516" t="s">
        <v>332</v>
      </c>
      <c r="C245" s="516">
        <v>1</v>
      </c>
      <c r="D245" s="517">
        <v>60</v>
      </c>
      <c r="E245" s="517">
        <v>2.5</v>
      </c>
      <c r="F245" s="518">
        <v>100</v>
      </c>
      <c r="G245" s="777">
        <v>0.5</v>
      </c>
      <c r="H245" s="151">
        <v>10</v>
      </c>
      <c r="I245" s="330"/>
      <c r="J245" s="330"/>
      <c r="K245" s="330"/>
      <c r="L245" s="330"/>
      <c r="M245" s="330"/>
      <c r="N245" s="330"/>
      <c r="O245" s="330"/>
      <c r="P245" s="330"/>
      <c r="Q245" s="330"/>
      <c r="R245" s="330"/>
      <c r="S245" s="330"/>
      <c r="T245" s="330"/>
      <c r="U245" s="330"/>
      <c r="V245" s="330"/>
      <c r="W245" s="330"/>
      <c r="X245" s="330"/>
      <c r="Y245" s="330"/>
      <c r="Z245" s="330"/>
      <c r="AA245" s="330"/>
      <c r="AB245" s="330"/>
    </row>
    <row r="246" spans="1:28" hidden="1" x14ac:dyDescent="0.15">
      <c r="A246" s="330"/>
      <c r="B246" s="516" t="s">
        <v>10</v>
      </c>
      <c r="C246" s="516">
        <v>1</v>
      </c>
      <c r="D246" s="517">
        <v>1000</v>
      </c>
      <c r="E246" s="517">
        <v>2.5</v>
      </c>
      <c r="F246" s="518">
        <v>1000</v>
      </c>
      <c r="G246" s="777">
        <v>5.0000000000000001E-3</v>
      </c>
      <c r="H246" s="151">
        <v>5</v>
      </c>
      <c r="I246" s="330"/>
      <c r="J246" s="330"/>
      <c r="K246" s="330"/>
      <c r="L246" s="330"/>
      <c r="M246" s="330"/>
      <c r="N246" s="330"/>
      <c r="O246" s="330"/>
      <c r="P246" s="330"/>
      <c r="Q246" s="330"/>
      <c r="R246" s="330"/>
      <c r="S246" s="330"/>
      <c r="T246" s="330"/>
      <c r="U246" s="330"/>
      <c r="V246" s="330"/>
      <c r="W246" s="330"/>
      <c r="X246" s="330"/>
      <c r="Y246" s="330"/>
      <c r="Z246" s="330"/>
      <c r="AA246" s="330"/>
      <c r="AB246" s="330"/>
    </row>
    <row r="247" spans="1:28" hidden="1" x14ac:dyDescent="0.15">
      <c r="A247" s="330"/>
      <c r="B247" s="516" t="s">
        <v>214</v>
      </c>
      <c r="C247" s="516">
        <v>0.25</v>
      </c>
      <c r="D247" s="517">
        <v>500</v>
      </c>
      <c r="E247" s="517">
        <v>2.5</v>
      </c>
      <c r="F247" s="518">
        <v>1000</v>
      </c>
      <c r="G247" s="777">
        <v>1E-3</v>
      </c>
      <c r="H247" s="151">
        <v>10</v>
      </c>
      <c r="I247" s="330"/>
      <c r="J247" s="330"/>
      <c r="K247" s="330"/>
      <c r="L247" s="330"/>
      <c r="M247" s="330"/>
      <c r="N247" s="330"/>
      <c r="O247" s="330"/>
      <c r="P247" s="330"/>
      <c r="Q247" s="330"/>
      <c r="R247" s="330"/>
      <c r="S247" s="330"/>
      <c r="T247" s="330"/>
      <c r="U247" s="330"/>
      <c r="V247" s="330"/>
      <c r="W247" s="330"/>
      <c r="X247" s="330"/>
      <c r="Y247" s="330"/>
      <c r="Z247" s="330"/>
      <c r="AA247" s="330"/>
      <c r="AB247" s="330"/>
    </row>
    <row r="248" spans="1:28" hidden="1" x14ac:dyDescent="0.15">
      <c r="A248" s="330"/>
      <c r="B248" s="516" t="s">
        <v>215</v>
      </c>
      <c r="C248" s="516">
        <v>0.25</v>
      </c>
      <c r="D248" s="517">
        <v>500</v>
      </c>
      <c r="E248" s="517">
        <v>2.5</v>
      </c>
      <c r="F248" s="518">
        <v>1000</v>
      </c>
      <c r="G248" s="777">
        <v>1E-3</v>
      </c>
      <c r="H248" s="151">
        <v>10</v>
      </c>
      <c r="I248" s="330"/>
      <c r="J248" s="330"/>
      <c r="K248" s="330"/>
      <c r="L248" s="330"/>
      <c r="M248" s="330"/>
      <c r="N248" s="330"/>
      <c r="O248" s="330"/>
      <c r="P248" s="330"/>
      <c r="Q248" s="330"/>
      <c r="R248" s="330"/>
      <c r="S248" s="330"/>
      <c r="T248" s="330"/>
      <c r="U248" s="330"/>
      <c r="V248" s="330"/>
      <c r="W248" s="330"/>
      <c r="X248" s="330"/>
      <c r="Y248" s="330"/>
      <c r="Z248" s="330"/>
      <c r="AA248" s="330"/>
      <c r="AB248" s="330"/>
    </row>
    <row r="249" spans="1:28" hidden="1" x14ac:dyDescent="0.15">
      <c r="A249" s="330"/>
      <c r="B249" s="516" t="s">
        <v>589</v>
      </c>
      <c r="C249" s="516">
        <v>0.01</v>
      </c>
      <c r="D249" s="517">
        <v>500</v>
      </c>
      <c r="E249" s="517">
        <v>1</v>
      </c>
      <c r="F249" s="518">
        <v>1000</v>
      </c>
      <c r="G249" s="777">
        <v>0.3</v>
      </c>
      <c r="H249" s="151">
        <v>19</v>
      </c>
      <c r="I249" s="330"/>
      <c r="J249" s="330"/>
      <c r="K249" s="330"/>
      <c r="L249" s="330"/>
      <c r="M249" s="330"/>
      <c r="N249" s="330"/>
      <c r="O249" s="330"/>
      <c r="P249" s="330"/>
      <c r="Q249" s="330"/>
      <c r="R249" s="330"/>
      <c r="S249" s="330"/>
      <c r="T249" s="330"/>
      <c r="U249" s="330"/>
      <c r="V249" s="330"/>
      <c r="W249" s="330"/>
      <c r="X249" s="330"/>
      <c r="Y249" s="330"/>
      <c r="Z249" s="330"/>
      <c r="AA249" s="330"/>
      <c r="AB249" s="330"/>
    </row>
    <row r="250" spans="1:28" hidden="1" x14ac:dyDescent="0.15">
      <c r="A250" s="330"/>
      <c r="B250" s="516" t="s">
        <v>1047</v>
      </c>
      <c r="C250" s="516">
        <v>0.35</v>
      </c>
      <c r="D250" s="517">
        <v>10</v>
      </c>
      <c r="E250" s="517">
        <v>5</v>
      </c>
      <c r="F250" s="518">
        <v>30</v>
      </c>
      <c r="G250" s="777">
        <v>1</v>
      </c>
      <c r="H250" s="151">
        <v>30</v>
      </c>
      <c r="I250" s="330"/>
      <c r="J250" s="330"/>
      <c r="K250" s="330"/>
      <c r="L250" s="330"/>
      <c r="M250" s="330"/>
      <c r="N250" s="330"/>
      <c r="O250" s="330"/>
      <c r="P250" s="330"/>
      <c r="Q250" s="330"/>
      <c r="R250" s="330"/>
      <c r="S250" s="330"/>
      <c r="T250" s="330"/>
      <c r="U250" s="330"/>
      <c r="V250" s="330"/>
      <c r="W250" s="330"/>
      <c r="X250" s="330"/>
      <c r="Y250" s="330"/>
      <c r="Z250" s="330"/>
      <c r="AA250" s="330"/>
      <c r="AB250" s="330"/>
    </row>
    <row r="251" spans="1:28" hidden="1" x14ac:dyDescent="0.15">
      <c r="A251" s="330"/>
      <c r="B251" s="512"/>
      <c r="C251" s="512"/>
      <c r="D251" s="510"/>
      <c r="E251" s="510"/>
      <c r="F251" s="511"/>
      <c r="G251" s="330"/>
      <c r="H251" s="330"/>
      <c r="I251" s="330"/>
      <c r="J251" s="330"/>
      <c r="K251" s="330"/>
      <c r="L251" s="330"/>
      <c r="M251" s="330"/>
      <c r="N251" s="330"/>
      <c r="O251" s="330"/>
      <c r="P251" s="330"/>
      <c r="Q251" s="330"/>
      <c r="R251" s="330"/>
      <c r="S251" s="330"/>
      <c r="T251" s="330"/>
      <c r="U251" s="330"/>
      <c r="V251" s="330"/>
      <c r="W251" s="330"/>
      <c r="X251" s="330"/>
      <c r="Y251" s="330"/>
      <c r="Z251" s="330"/>
      <c r="AA251" s="330"/>
      <c r="AB251" s="330"/>
    </row>
    <row r="252" spans="1:28" ht="16.5" hidden="1" x14ac:dyDescent="0.25">
      <c r="A252" s="330"/>
      <c r="B252" s="516" t="s">
        <v>575</v>
      </c>
      <c r="C252" s="512" t="s">
        <v>573</v>
      </c>
      <c r="D252" s="510"/>
      <c r="E252" s="510"/>
      <c r="F252" s="511"/>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row>
    <row r="253" spans="1:28" hidden="1" x14ac:dyDescent="0.15">
      <c r="A253" s="330"/>
      <c r="B253" s="512"/>
      <c r="C253" s="512"/>
      <c r="D253" s="510"/>
      <c r="E253" s="510"/>
      <c r="F253" s="511"/>
      <c r="G253" s="330"/>
      <c r="H253" s="330"/>
      <c r="I253" s="330"/>
      <c r="J253" s="330"/>
      <c r="K253" s="330"/>
      <c r="L253" s="330"/>
      <c r="M253" s="330"/>
      <c r="N253" s="330"/>
      <c r="O253" s="330"/>
      <c r="P253" s="330"/>
      <c r="Q253" s="330"/>
      <c r="R253" s="330"/>
      <c r="S253" s="330"/>
      <c r="T253" s="330"/>
      <c r="U253" s="330"/>
      <c r="V253" s="330"/>
      <c r="W253" s="330"/>
      <c r="X253" s="330"/>
      <c r="Y253" s="330"/>
      <c r="Z253" s="330"/>
      <c r="AA253" s="330"/>
      <c r="AB253" s="330"/>
    </row>
    <row r="254" spans="1:28" hidden="1" x14ac:dyDescent="0.15">
      <c r="A254" s="330"/>
      <c r="B254" s="512"/>
      <c r="C254" s="512"/>
      <c r="D254" s="510"/>
      <c r="E254" s="510"/>
      <c r="F254" s="511"/>
      <c r="G254" s="330"/>
      <c r="H254" s="330"/>
      <c r="I254" s="330"/>
      <c r="J254" s="330"/>
      <c r="K254" s="330"/>
      <c r="L254" s="330"/>
      <c r="M254" s="330"/>
      <c r="N254" s="330"/>
      <c r="O254" s="330"/>
      <c r="P254" s="330"/>
      <c r="Q254" s="330"/>
      <c r="R254" s="330"/>
      <c r="S254" s="330"/>
      <c r="T254" s="330"/>
      <c r="U254" s="330"/>
      <c r="V254" s="330"/>
      <c r="W254" s="330"/>
      <c r="X254" s="330"/>
      <c r="Y254" s="330"/>
      <c r="Z254" s="330"/>
      <c r="AA254" s="330"/>
      <c r="AB254" s="330"/>
    </row>
    <row r="255" spans="1:28" x14ac:dyDescent="0.15">
      <c r="A255" s="330"/>
      <c r="B255" s="330"/>
      <c r="C255" s="330"/>
      <c r="D255" s="331"/>
      <c r="E255" s="331"/>
      <c r="F255" s="332"/>
      <c r="G255" s="330"/>
      <c r="H255" s="330"/>
      <c r="I255" s="330"/>
      <c r="J255" s="330"/>
      <c r="K255" s="330"/>
      <c r="L255" s="330"/>
      <c r="M255" s="330"/>
      <c r="N255" s="330"/>
      <c r="O255" s="330"/>
      <c r="P255" s="330"/>
      <c r="Q255" s="330"/>
      <c r="R255" s="330"/>
      <c r="S255" s="330"/>
      <c r="T255" s="330"/>
      <c r="U255" s="330"/>
      <c r="V255" s="330"/>
      <c r="W255" s="330"/>
      <c r="X255" s="330"/>
      <c r="Y255" s="330"/>
      <c r="Z255" s="330"/>
      <c r="AA255" s="330"/>
      <c r="AB255" s="330"/>
    </row>
    <row r="256" spans="1:28" x14ac:dyDescent="0.15">
      <c r="A256" s="330"/>
      <c r="B256" s="330"/>
      <c r="C256" s="330"/>
      <c r="D256" s="331"/>
      <c r="E256" s="331"/>
      <c r="F256" s="332"/>
      <c r="G256" s="330"/>
      <c r="H256" s="330"/>
      <c r="I256" s="330"/>
      <c r="J256" s="330"/>
      <c r="K256" s="330"/>
      <c r="L256" s="330"/>
      <c r="M256" s="330"/>
      <c r="N256" s="330"/>
      <c r="O256" s="330"/>
      <c r="P256" s="330"/>
      <c r="Q256" s="330"/>
      <c r="R256" s="330"/>
      <c r="S256" s="330"/>
      <c r="T256" s="330"/>
      <c r="U256" s="330"/>
      <c r="V256" s="330"/>
      <c r="W256" s="330"/>
      <c r="X256" s="330"/>
      <c r="Y256" s="330"/>
      <c r="Z256" s="330"/>
      <c r="AA256" s="330"/>
      <c r="AB256" s="330"/>
    </row>
    <row r="257" spans="1:28" x14ac:dyDescent="0.15">
      <c r="A257" s="330"/>
      <c r="B257" s="330"/>
      <c r="C257" s="330"/>
      <c r="D257" s="331"/>
      <c r="E257" s="331"/>
      <c r="F257" s="332"/>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row>
    <row r="258" spans="1:28" x14ac:dyDescent="0.15">
      <c r="A258" s="330"/>
      <c r="B258" s="330"/>
      <c r="C258" s="330"/>
      <c r="D258" s="331"/>
      <c r="E258" s="331"/>
      <c r="F258" s="332"/>
      <c r="G258" s="330"/>
      <c r="H258" s="330"/>
      <c r="I258" s="330"/>
      <c r="J258" s="330"/>
      <c r="K258" s="330"/>
      <c r="L258" s="330"/>
      <c r="M258" s="330"/>
      <c r="N258" s="330"/>
      <c r="O258" s="330"/>
      <c r="P258" s="330"/>
      <c r="Q258" s="330"/>
      <c r="R258" s="330"/>
      <c r="S258" s="330"/>
      <c r="T258" s="330"/>
      <c r="U258" s="330"/>
      <c r="V258" s="330"/>
      <c r="W258" s="330"/>
      <c r="X258" s="330"/>
      <c r="Y258" s="330"/>
      <c r="Z258" s="330"/>
      <c r="AA258" s="330"/>
      <c r="AB258" s="330"/>
    </row>
    <row r="259" spans="1:28" x14ac:dyDescent="0.15">
      <c r="A259" s="330"/>
      <c r="B259" s="330"/>
      <c r="C259" s="330"/>
      <c r="D259" s="331"/>
      <c r="E259" s="331"/>
      <c r="F259" s="332"/>
      <c r="G259" s="330"/>
      <c r="H259" s="330"/>
      <c r="I259" s="330"/>
      <c r="J259" s="330"/>
      <c r="K259" s="330"/>
      <c r="L259" s="330"/>
      <c r="M259" s="330"/>
      <c r="N259" s="330"/>
      <c r="O259" s="330"/>
      <c r="P259" s="330"/>
      <c r="Q259" s="330"/>
      <c r="R259" s="330"/>
      <c r="S259" s="330"/>
      <c r="T259" s="330"/>
      <c r="U259" s="330"/>
      <c r="V259" s="330"/>
      <c r="W259" s="330"/>
      <c r="X259" s="330"/>
      <c r="Y259" s="330"/>
      <c r="Z259" s="330"/>
      <c r="AA259" s="330"/>
      <c r="AB259" s="330"/>
    </row>
    <row r="260" spans="1:28" x14ac:dyDescent="0.15">
      <c r="A260" s="330"/>
      <c r="B260" s="330"/>
      <c r="C260" s="330"/>
      <c r="D260" s="331"/>
      <c r="E260" s="331"/>
      <c r="F260" s="332"/>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row>
    <row r="261" spans="1:28" x14ac:dyDescent="0.15">
      <c r="A261" s="330"/>
      <c r="B261" s="330"/>
      <c r="C261" s="330"/>
      <c r="D261" s="331"/>
      <c r="E261" s="331"/>
      <c r="F261" s="332"/>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row>
    <row r="262" spans="1:28" x14ac:dyDescent="0.15">
      <c r="A262" s="330"/>
      <c r="B262" s="330"/>
      <c r="C262" s="330"/>
      <c r="D262" s="331"/>
      <c r="E262" s="331"/>
      <c r="F262" s="332"/>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row>
    <row r="263" spans="1:28" x14ac:dyDescent="0.15">
      <c r="A263" s="330"/>
      <c r="B263" s="330"/>
      <c r="C263" s="330"/>
      <c r="D263" s="331"/>
      <c r="E263" s="331"/>
      <c r="F263" s="332"/>
      <c r="G263" s="330"/>
      <c r="H263" s="330"/>
      <c r="I263" s="330"/>
      <c r="J263" s="330"/>
      <c r="K263" s="330"/>
      <c r="L263" s="330"/>
      <c r="M263" s="330"/>
      <c r="N263" s="330"/>
      <c r="O263" s="330"/>
      <c r="P263" s="330"/>
      <c r="Q263" s="330"/>
      <c r="R263" s="330"/>
      <c r="S263" s="330"/>
      <c r="T263" s="330"/>
      <c r="U263" s="330"/>
      <c r="V263" s="330"/>
      <c r="W263" s="330"/>
      <c r="X263" s="330"/>
      <c r="Y263" s="330"/>
      <c r="Z263" s="330"/>
      <c r="AA263" s="330"/>
      <c r="AB263" s="330"/>
    </row>
    <row r="264" spans="1:28" x14ac:dyDescent="0.15">
      <c r="A264" s="330"/>
      <c r="B264" s="330"/>
      <c r="C264" s="330"/>
      <c r="D264" s="331"/>
      <c r="E264" s="331"/>
      <c r="F264" s="332"/>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row>
    <row r="265" spans="1:28" x14ac:dyDescent="0.15">
      <c r="A265" s="330"/>
      <c r="B265" s="330"/>
      <c r="C265" s="330"/>
      <c r="D265" s="331"/>
      <c r="E265" s="331"/>
      <c r="F265" s="332"/>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row>
    <row r="266" spans="1:28" x14ac:dyDescent="0.15">
      <c r="A266" s="330"/>
      <c r="B266" s="330"/>
      <c r="C266" s="330"/>
      <c r="D266" s="331"/>
      <c r="E266" s="331"/>
      <c r="F266" s="332"/>
      <c r="G266" s="330"/>
      <c r="H266" s="330"/>
      <c r="I266" s="330"/>
      <c r="J266" s="330"/>
      <c r="K266" s="330"/>
      <c r="L266" s="330"/>
      <c r="M266" s="330"/>
      <c r="N266" s="330"/>
      <c r="O266" s="330"/>
      <c r="P266" s="330"/>
      <c r="Q266" s="330"/>
      <c r="R266" s="330"/>
      <c r="S266" s="330"/>
      <c r="T266" s="330"/>
      <c r="U266" s="330"/>
      <c r="V266" s="330"/>
      <c r="W266" s="330"/>
      <c r="X266" s="330"/>
      <c r="Y266" s="330"/>
      <c r="Z266" s="330"/>
      <c r="AA266" s="330"/>
      <c r="AB266" s="330"/>
    </row>
    <row r="267" spans="1:28" x14ac:dyDescent="0.15">
      <c r="A267" s="330"/>
      <c r="B267" s="330"/>
      <c r="C267" s="330"/>
      <c r="D267" s="331"/>
      <c r="E267" s="331"/>
      <c r="F267" s="332"/>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row>
    <row r="268" spans="1:28" x14ac:dyDescent="0.15">
      <c r="A268" s="330"/>
      <c r="B268" s="330"/>
      <c r="C268" s="330"/>
      <c r="D268" s="331"/>
      <c r="E268" s="331"/>
      <c r="F268" s="332"/>
      <c r="G268" s="330"/>
      <c r="H268" s="330"/>
      <c r="I268" s="330"/>
      <c r="J268" s="330"/>
      <c r="K268" s="330"/>
      <c r="L268" s="330"/>
      <c r="M268" s="330"/>
      <c r="N268" s="330"/>
      <c r="O268" s="330"/>
      <c r="P268" s="330"/>
      <c r="Q268" s="330"/>
      <c r="R268" s="330"/>
      <c r="S268" s="330"/>
      <c r="T268" s="330"/>
      <c r="U268" s="330"/>
      <c r="V268" s="330"/>
      <c r="W268" s="330"/>
      <c r="X268" s="330"/>
      <c r="Y268" s="330"/>
      <c r="Z268" s="330"/>
      <c r="AA268" s="330"/>
      <c r="AB268" s="330"/>
    </row>
    <row r="269" spans="1:28" x14ac:dyDescent="0.15">
      <c r="A269" s="330"/>
      <c r="B269" s="330"/>
      <c r="C269" s="330"/>
      <c r="D269" s="331"/>
      <c r="E269" s="331"/>
      <c r="F269" s="332"/>
      <c r="G269" s="330"/>
      <c r="H269" s="330"/>
      <c r="I269" s="330"/>
      <c r="J269" s="330"/>
      <c r="K269" s="330"/>
      <c r="L269" s="330"/>
      <c r="M269" s="330"/>
      <c r="N269" s="330"/>
      <c r="O269" s="330"/>
      <c r="P269" s="330"/>
      <c r="Q269" s="330"/>
      <c r="R269" s="330"/>
      <c r="S269" s="330"/>
      <c r="T269" s="330"/>
      <c r="U269" s="330"/>
      <c r="V269" s="330"/>
      <c r="W269" s="330"/>
      <c r="X269" s="330"/>
      <c r="Y269" s="330"/>
      <c r="Z269" s="330"/>
      <c r="AA269" s="330"/>
      <c r="AB269" s="330"/>
    </row>
    <row r="270" spans="1:28" x14ac:dyDescent="0.15">
      <c r="A270" s="330"/>
      <c r="B270" s="330"/>
      <c r="C270" s="330"/>
      <c r="D270" s="331"/>
      <c r="E270" s="331"/>
      <c r="F270" s="332"/>
      <c r="G270" s="330"/>
      <c r="H270" s="330"/>
      <c r="I270" s="330"/>
      <c r="J270" s="330"/>
      <c r="K270" s="330"/>
      <c r="L270" s="330"/>
      <c r="M270" s="330"/>
      <c r="N270" s="330"/>
      <c r="O270" s="330"/>
      <c r="P270" s="330"/>
      <c r="Q270" s="330"/>
      <c r="R270" s="330"/>
      <c r="S270" s="330"/>
      <c r="T270" s="330"/>
      <c r="U270" s="330"/>
      <c r="V270" s="330"/>
      <c r="W270" s="330"/>
      <c r="X270" s="330"/>
      <c r="Y270" s="330"/>
      <c r="Z270" s="330"/>
      <c r="AA270" s="330"/>
      <c r="AB270" s="330"/>
    </row>
    <row r="271" spans="1:28" x14ac:dyDescent="0.15">
      <c r="A271" s="330"/>
      <c r="B271" s="330"/>
      <c r="C271" s="330"/>
      <c r="D271" s="331"/>
      <c r="E271" s="331"/>
      <c r="F271" s="332"/>
      <c r="G271" s="330"/>
      <c r="H271" s="330"/>
      <c r="I271" s="330"/>
      <c r="J271" s="330"/>
      <c r="K271" s="330"/>
      <c r="L271" s="330"/>
      <c r="M271" s="330"/>
      <c r="N271" s="330"/>
      <c r="O271" s="330"/>
      <c r="P271" s="330"/>
      <c r="Q271" s="330"/>
      <c r="R271" s="330"/>
      <c r="S271" s="330"/>
      <c r="T271" s="330"/>
      <c r="U271" s="330"/>
      <c r="V271" s="330"/>
      <c r="W271" s="330"/>
      <c r="X271" s="330"/>
      <c r="Y271" s="330"/>
      <c r="Z271" s="330"/>
      <c r="AA271" s="330"/>
      <c r="AB271" s="330"/>
    </row>
    <row r="272" spans="1:28" x14ac:dyDescent="0.15">
      <c r="A272" s="330"/>
      <c r="B272" s="330"/>
      <c r="C272" s="330"/>
      <c r="D272" s="331"/>
      <c r="E272" s="331"/>
      <c r="F272" s="332"/>
      <c r="G272" s="330"/>
      <c r="H272" s="330"/>
      <c r="I272" s="330"/>
      <c r="J272" s="330"/>
      <c r="K272" s="330"/>
      <c r="L272" s="330"/>
      <c r="M272" s="330"/>
      <c r="N272" s="330"/>
      <c r="O272" s="330"/>
      <c r="P272" s="330"/>
      <c r="Q272" s="330"/>
      <c r="R272" s="330"/>
      <c r="S272" s="330"/>
      <c r="T272" s="330"/>
      <c r="U272" s="330"/>
      <c r="V272" s="330"/>
      <c r="W272" s="330"/>
      <c r="X272" s="330"/>
      <c r="Y272" s="330"/>
      <c r="Z272" s="330"/>
      <c r="AA272" s="330"/>
      <c r="AB272" s="330"/>
    </row>
    <row r="273" spans="1:28" x14ac:dyDescent="0.15">
      <c r="A273" s="330"/>
      <c r="B273" s="330"/>
      <c r="C273" s="330"/>
      <c r="D273" s="331"/>
      <c r="E273" s="331"/>
      <c r="F273" s="332"/>
      <c r="G273" s="330"/>
      <c r="H273" s="330"/>
      <c r="I273" s="330"/>
      <c r="J273" s="330"/>
      <c r="K273" s="330"/>
      <c r="L273" s="330"/>
      <c r="M273" s="330"/>
      <c r="N273" s="330"/>
      <c r="O273" s="330"/>
      <c r="P273" s="330"/>
      <c r="Q273" s="330"/>
      <c r="R273" s="330"/>
      <c r="S273" s="330"/>
      <c r="T273" s="330"/>
      <c r="U273" s="330"/>
      <c r="V273" s="330"/>
      <c r="W273" s="330"/>
      <c r="X273" s="330"/>
      <c r="Y273" s="330"/>
      <c r="Z273" s="330"/>
      <c r="AA273" s="330"/>
      <c r="AB273" s="330"/>
    </row>
    <row r="274" spans="1:28" x14ac:dyDescent="0.15">
      <c r="A274" s="330"/>
      <c r="B274" s="330"/>
      <c r="C274" s="330"/>
      <c r="D274" s="331"/>
      <c r="E274" s="331"/>
      <c r="F274" s="332"/>
      <c r="G274" s="330"/>
      <c r="H274" s="330"/>
      <c r="I274" s="330"/>
      <c r="J274" s="330"/>
      <c r="K274" s="330"/>
      <c r="L274" s="330"/>
      <c r="M274" s="330"/>
      <c r="N274" s="330"/>
      <c r="O274" s="330"/>
      <c r="P274" s="330"/>
      <c r="Q274" s="330"/>
      <c r="R274" s="330"/>
      <c r="S274" s="330"/>
      <c r="T274" s="330"/>
      <c r="U274" s="330"/>
      <c r="V274" s="330"/>
      <c r="W274" s="330"/>
      <c r="X274" s="330"/>
      <c r="Y274" s="330"/>
      <c r="Z274" s="330"/>
      <c r="AA274" s="330"/>
      <c r="AB274" s="330"/>
    </row>
    <row r="275" spans="1:28" x14ac:dyDescent="0.15">
      <c r="A275" s="330"/>
      <c r="B275" s="330"/>
      <c r="C275" s="330"/>
      <c r="D275" s="331"/>
      <c r="E275" s="331"/>
      <c r="F275" s="332"/>
      <c r="G275" s="330"/>
      <c r="H275" s="330"/>
      <c r="I275" s="330"/>
      <c r="J275" s="330"/>
      <c r="K275" s="330"/>
      <c r="L275" s="330"/>
      <c r="M275" s="330"/>
      <c r="N275" s="330"/>
      <c r="O275" s="330"/>
      <c r="P275" s="330"/>
      <c r="Q275" s="330"/>
      <c r="R275" s="330"/>
      <c r="S275" s="330"/>
      <c r="T275" s="330"/>
      <c r="U275" s="330"/>
      <c r="V275" s="330"/>
      <c r="W275" s="330"/>
      <c r="X275" s="330"/>
      <c r="Y275" s="330"/>
      <c r="Z275" s="330"/>
      <c r="AA275" s="330"/>
      <c r="AB275" s="330"/>
    </row>
    <row r="276" spans="1:28" x14ac:dyDescent="0.15">
      <c r="A276" s="330"/>
      <c r="B276" s="330"/>
      <c r="C276" s="330"/>
      <c r="D276" s="331"/>
      <c r="E276" s="331"/>
      <c r="F276" s="332"/>
      <c r="G276" s="330"/>
      <c r="H276" s="330"/>
      <c r="I276" s="330"/>
      <c r="J276" s="330"/>
      <c r="K276" s="330"/>
      <c r="L276" s="330"/>
      <c r="M276" s="330"/>
      <c r="N276" s="330"/>
      <c r="O276" s="330"/>
      <c r="P276" s="330"/>
      <c r="Q276" s="330"/>
      <c r="R276" s="330"/>
      <c r="S276" s="330"/>
      <c r="T276" s="330"/>
      <c r="U276" s="330"/>
      <c r="V276" s="330"/>
      <c r="W276" s="330"/>
      <c r="X276" s="330"/>
      <c r="Y276" s="330"/>
      <c r="Z276" s="330"/>
      <c r="AA276" s="330"/>
      <c r="AB276" s="330"/>
    </row>
    <row r="277" spans="1:28" x14ac:dyDescent="0.15">
      <c r="A277" s="330"/>
      <c r="B277" s="330"/>
      <c r="C277" s="330"/>
      <c r="D277" s="331"/>
      <c r="E277" s="331"/>
      <c r="F277" s="332"/>
      <c r="G277" s="330"/>
      <c r="H277" s="330"/>
      <c r="I277" s="330"/>
      <c r="J277" s="330"/>
      <c r="K277" s="330"/>
      <c r="L277" s="330"/>
      <c r="M277" s="330"/>
      <c r="N277" s="330"/>
      <c r="O277" s="330"/>
      <c r="P277" s="330"/>
      <c r="Q277" s="330"/>
      <c r="R277" s="330"/>
      <c r="S277" s="330"/>
      <c r="T277" s="330"/>
      <c r="U277" s="330"/>
      <c r="V277" s="330"/>
      <c r="W277" s="330"/>
      <c r="X277" s="330"/>
      <c r="Y277" s="330"/>
      <c r="Z277" s="330"/>
      <c r="AA277" s="330"/>
      <c r="AB277" s="330"/>
    </row>
    <row r="278" spans="1:28" x14ac:dyDescent="0.15">
      <c r="A278" s="330"/>
      <c r="B278" s="330"/>
      <c r="C278" s="330"/>
      <c r="D278" s="331"/>
      <c r="E278" s="331"/>
      <c r="F278" s="332"/>
      <c r="G278" s="330"/>
      <c r="H278" s="330"/>
      <c r="I278" s="330"/>
      <c r="J278" s="330"/>
      <c r="K278" s="330"/>
      <c r="L278" s="330"/>
      <c r="M278" s="330"/>
      <c r="N278" s="330"/>
      <c r="O278" s="330"/>
      <c r="P278" s="330"/>
      <c r="Q278" s="330"/>
      <c r="R278" s="330"/>
      <c r="S278" s="330"/>
      <c r="T278" s="330"/>
      <c r="U278" s="330"/>
      <c r="V278" s="330"/>
      <c r="W278" s="330"/>
      <c r="X278" s="330"/>
      <c r="Y278" s="330"/>
      <c r="Z278" s="330"/>
      <c r="AA278" s="330"/>
      <c r="AB278" s="330"/>
    </row>
    <row r="279" spans="1:28" x14ac:dyDescent="0.15">
      <c r="A279" s="330"/>
      <c r="B279" s="330"/>
      <c r="C279" s="330"/>
      <c r="D279" s="331"/>
      <c r="E279" s="331"/>
      <c r="F279" s="332"/>
      <c r="G279" s="330"/>
      <c r="H279" s="330"/>
      <c r="I279" s="330"/>
      <c r="J279" s="330"/>
      <c r="K279" s="330"/>
      <c r="L279" s="330"/>
      <c r="M279" s="330"/>
      <c r="N279" s="330"/>
      <c r="O279" s="330"/>
      <c r="P279" s="330"/>
      <c r="Q279" s="330"/>
      <c r="R279" s="330"/>
      <c r="S279" s="330"/>
      <c r="T279" s="330"/>
      <c r="U279" s="330"/>
      <c r="V279" s="330"/>
      <c r="W279" s="330"/>
      <c r="X279" s="330"/>
      <c r="Y279" s="330"/>
      <c r="Z279" s="330"/>
      <c r="AA279" s="330"/>
      <c r="AB279" s="330"/>
    </row>
    <row r="280" spans="1:28" x14ac:dyDescent="0.15">
      <c r="A280" s="330"/>
      <c r="B280" s="330"/>
      <c r="C280" s="330"/>
      <c r="D280" s="331"/>
      <c r="E280" s="331"/>
      <c r="F280" s="332"/>
      <c r="G280" s="330"/>
      <c r="H280" s="330"/>
      <c r="I280" s="330"/>
      <c r="J280" s="330"/>
      <c r="K280" s="330"/>
      <c r="L280" s="330"/>
      <c r="M280" s="330"/>
      <c r="N280" s="330"/>
      <c r="O280" s="330"/>
      <c r="P280" s="330"/>
      <c r="Q280" s="330"/>
      <c r="R280" s="330"/>
      <c r="S280" s="330"/>
      <c r="T280" s="330"/>
      <c r="U280" s="330"/>
      <c r="V280" s="330"/>
      <c r="W280" s="330"/>
      <c r="X280" s="330"/>
      <c r="Y280" s="330"/>
      <c r="Z280" s="330"/>
      <c r="AA280" s="330"/>
      <c r="AB280" s="330"/>
    </row>
    <row r="281" spans="1:28" x14ac:dyDescent="0.15">
      <c r="A281" s="330"/>
      <c r="B281" s="330"/>
      <c r="C281" s="330"/>
      <c r="D281" s="331"/>
      <c r="E281" s="331"/>
      <c r="F281" s="332"/>
      <c r="G281" s="330"/>
      <c r="H281" s="330"/>
      <c r="I281" s="330"/>
      <c r="J281" s="330"/>
      <c r="K281" s="330"/>
      <c r="L281" s="330"/>
      <c r="M281" s="330"/>
      <c r="N281" s="330"/>
      <c r="O281" s="330"/>
      <c r="P281" s="330"/>
      <c r="Q281" s="330"/>
      <c r="R281" s="330"/>
      <c r="S281" s="330"/>
      <c r="T281" s="330"/>
      <c r="U281" s="330"/>
      <c r="V281" s="330"/>
      <c r="W281" s="330"/>
      <c r="X281" s="330"/>
      <c r="Y281" s="330"/>
      <c r="Z281" s="330"/>
      <c r="AA281" s="330"/>
      <c r="AB281" s="330"/>
    </row>
    <row r="282" spans="1:28" x14ac:dyDescent="0.15">
      <c r="A282" s="330"/>
      <c r="B282" s="330"/>
      <c r="C282" s="330"/>
      <c r="D282" s="331"/>
      <c r="E282" s="331"/>
      <c r="F282" s="332"/>
      <c r="G282" s="330"/>
      <c r="H282" s="330"/>
      <c r="I282" s="330"/>
      <c r="J282" s="330"/>
      <c r="K282" s="330"/>
      <c r="L282" s="330"/>
      <c r="M282" s="330"/>
      <c r="N282" s="330"/>
      <c r="O282" s="330"/>
      <c r="P282" s="330"/>
      <c r="Q282" s="330"/>
      <c r="R282" s="330"/>
      <c r="S282" s="330"/>
      <c r="T282" s="330"/>
      <c r="U282" s="330"/>
      <c r="V282" s="330"/>
      <c r="W282" s="330"/>
      <c r="X282" s="330"/>
      <c r="Y282" s="330"/>
      <c r="Z282" s="330"/>
      <c r="AA282" s="330"/>
      <c r="AB282" s="330"/>
    </row>
    <row r="283" spans="1:28" x14ac:dyDescent="0.15">
      <c r="A283" s="330"/>
      <c r="B283" s="330"/>
      <c r="C283" s="330"/>
      <c r="D283" s="331"/>
      <c r="E283" s="331"/>
      <c r="F283" s="332"/>
      <c r="G283" s="330"/>
      <c r="H283" s="330"/>
      <c r="I283" s="330"/>
      <c r="J283" s="330"/>
      <c r="K283" s="330"/>
      <c r="L283" s="330"/>
      <c r="M283" s="330"/>
      <c r="N283" s="330"/>
      <c r="O283" s="330"/>
      <c r="P283" s="330"/>
      <c r="Q283" s="330"/>
      <c r="R283" s="330"/>
      <c r="S283" s="330"/>
      <c r="T283" s="330"/>
      <c r="U283" s="330"/>
      <c r="V283" s="330"/>
      <c r="W283" s="330"/>
      <c r="X283" s="330"/>
      <c r="Y283" s="330"/>
      <c r="Z283" s="330"/>
      <c r="AA283" s="330"/>
      <c r="AB283" s="330"/>
    </row>
    <row r="284" spans="1:28" x14ac:dyDescent="0.15">
      <c r="A284" s="330"/>
      <c r="B284" s="330"/>
      <c r="C284" s="330"/>
      <c r="D284" s="331"/>
      <c r="E284" s="331"/>
      <c r="F284" s="332"/>
      <c r="G284" s="330"/>
      <c r="H284" s="330"/>
      <c r="I284" s="330"/>
      <c r="J284" s="330"/>
      <c r="K284" s="330"/>
      <c r="L284" s="330"/>
      <c r="M284" s="330"/>
      <c r="N284" s="330"/>
      <c r="O284" s="330"/>
      <c r="P284" s="330"/>
      <c r="Q284" s="330"/>
      <c r="R284" s="330"/>
      <c r="S284" s="330"/>
      <c r="T284" s="330"/>
      <c r="U284" s="330"/>
      <c r="V284" s="330"/>
      <c r="W284" s="330"/>
      <c r="X284" s="330"/>
      <c r="Y284" s="330"/>
      <c r="Z284" s="330"/>
      <c r="AA284" s="330"/>
      <c r="AB284" s="330"/>
    </row>
    <row r="285" spans="1:28" x14ac:dyDescent="0.15">
      <c r="A285" s="330"/>
      <c r="B285" s="330"/>
      <c r="C285" s="330"/>
      <c r="D285" s="331"/>
      <c r="E285" s="331"/>
      <c r="F285" s="332"/>
      <c r="G285" s="330"/>
      <c r="H285" s="330"/>
      <c r="I285" s="330"/>
      <c r="J285" s="330"/>
      <c r="K285" s="330"/>
      <c r="L285" s="330"/>
      <c r="M285" s="330"/>
      <c r="N285" s="330"/>
      <c r="O285" s="330"/>
      <c r="P285" s="330"/>
      <c r="Q285" s="330"/>
      <c r="R285" s="330"/>
      <c r="S285" s="330"/>
      <c r="T285" s="330"/>
      <c r="U285" s="330"/>
      <c r="V285" s="330"/>
      <c r="W285" s="330"/>
      <c r="X285" s="330"/>
      <c r="Y285" s="330"/>
      <c r="Z285" s="330"/>
      <c r="AA285" s="330"/>
      <c r="AB285" s="330"/>
    </row>
    <row r="286" spans="1:28" x14ac:dyDescent="0.15">
      <c r="A286" s="330"/>
      <c r="B286" s="330"/>
      <c r="C286" s="330"/>
      <c r="D286" s="331"/>
      <c r="E286" s="331"/>
      <c r="F286" s="332"/>
      <c r="G286" s="330"/>
      <c r="H286" s="330"/>
      <c r="I286" s="330"/>
      <c r="J286" s="330"/>
      <c r="K286" s="330"/>
      <c r="L286" s="330"/>
      <c r="M286" s="330"/>
      <c r="N286" s="330"/>
      <c r="O286" s="330"/>
      <c r="P286" s="330"/>
      <c r="Q286" s="330"/>
      <c r="R286" s="330"/>
      <c r="S286" s="330"/>
      <c r="T286" s="330"/>
      <c r="U286" s="330"/>
      <c r="V286" s="330"/>
      <c r="W286" s="330"/>
      <c r="X286" s="330"/>
      <c r="Y286" s="330"/>
      <c r="Z286" s="330"/>
      <c r="AA286" s="330"/>
      <c r="AB286" s="330"/>
    </row>
    <row r="287" spans="1:28" x14ac:dyDescent="0.15">
      <c r="A287" s="330"/>
      <c r="B287" s="330"/>
      <c r="C287" s="330"/>
      <c r="D287" s="331"/>
      <c r="E287" s="331"/>
      <c r="F287" s="332"/>
      <c r="G287" s="330"/>
      <c r="H287" s="330"/>
      <c r="I287" s="330"/>
      <c r="J287" s="330"/>
      <c r="K287" s="330"/>
      <c r="L287" s="330"/>
      <c r="M287" s="330"/>
      <c r="N287" s="330"/>
      <c r="O287" s="330"/>
      <c r="P287" s="330"/>
      <c r="Q287" s="330"/>
      <c r="R287" s="330"/>
      <c r="S287" s="330"/>
      <c r="T287" s="330"/>
      <c r="U287" s="330"/>
      <c r="V287" s="330"/>
      <c r="W287" s="330"/>
      <c r="X287" s="330"/>
      <c r="Y287" s="330"/>
      <c r="Z287" s="330"/>
      <c r="AA287" s="330"/>
      <c r="AB287" s="330"/>
    </row>
    <row r="288" spans="1:28" x14ac:dyDescent="0.15">
      <c r="A288" s="330"/>
      <c r="B288" s="330"/>
      <c r="C288" s="330"/>
      <c r="D288" s="331"/>
      <c r="E288" s="331"/>
      <c r="F288" s="332"/>
      <c r="G288" s="330"/>
      <c r="H288" s="330"/>
      <c r="I288" s="330"/>
      <c r="J288" s="330"/>
      <c r="K288" s="330"/>
      <c r="L288" s="330"/>
      <c r="M288" s="330"/>
      <c r="N288" s="330"/>
      <c r="O288" s="330"/>
      <c r="P288" s="330"/>
      <c r="Q288" s="330"/>
      <c r="R288" s="330"/>
      <c r="S288" s="330"/>
      <c r="T288" s="330"/>
      <c r="U288" s="330"/>
      <c r="V288" s="330"/>
      <c r="W288" s="330"/>
      <c r="X288" s="330"/>
      <c r="Y288" s="330"/>
      <c r="Z288" s="330"/>
      <c r="AA288" s="330"/>
      <c r="AB288" s="330"/>
    </row>
    <row r="289" spans="1:28" x14ac:dyDescent="0.15">
      <c r="A289" s="330"/>
      <c r="B289" s="330"/>
      <c r="C289" s="330"/>
      <c r="D289" s="331"/>
      <c r="E289" s="331"/>
      <c r="F289" s="332"/>
      <c r="G289" s="330"/>
      <c r="H289" s="330"/>
      <c r="I289" s="330"/>
      <c r="J289" s="330"/>
      <c r="K289" s="330"/>
      <c r="L289" s="330"/>
      <c r="M289" s="330"/>
      <c r="N289" s="330"/>
      <c r="O289" s="330"/>
      <c r="P289" s="330"/>
      <c r="Q289" s="330"/>
      <c r="R289" s="330"/>
      <c r="S289" s="330"/>
      <c r="T289" s="330"/>
      <c r="U289" s="330"/>
      <c r="V289" s="330"/>
      <c r="W289" s="330"/>
      <c r="X289" s="330"/>
      <c r="Y289" s="330"/>
      <c r="Z289" s="330"/>
      <c r="AA289" s="330"/>
      <c r="AB289" s="330"/>
    </row>
    <row r="290" spans="1:28" x14ac:dyDescent="0.15">
      <c r="A290" s="330"/>
      <c r="B290" s="330"/>
      <c r="C290" s="330"/>
      <c r="D290" s="331"/>
      <c r="E290" s="331"/>
      <c r="F290" s="332"/>
      <c r="G290" s="330"/>
      <c r="H290" s="330"/>
      <c r="I290" s="330"/>
      <c r="J290" s="330"/>
      <c r="K290" s="330"/>
      <c r="L290" s="330"/>
      <c r="M290" s="330"/>
      <c r="N290" s="330"/>
      <c r="O290" s="330"/>
      <c r="P290" s="330"/>
      <c r="Q290" s="330"/>
      <c r="R290" s="330"/>
      <c r="S290" s="330"/>
      <c r="T290" s="330"/>
      <c r="U290" s="330"/>
      <c r="V290" s="330"/>
      <c r="W290" s="330"/>
      <c r="X290" s="330"/>
      <c r="Y290" s="330"/>
      <c r="Z290" s="330"/>
      <c r="AA290" s="330"/>
      <c r="AB290" s="330"/>
    </row>
    <row r="291" spans="1:28" x14ac:dyDescent="0.15">
      <c r="A291" s="330"/>
      <c r="B291" s="330"/>
      <c r="C291" s="330"/>
      <c r="D291" s="331"/>
      <c r="E291" s="331"/>
      <c r="F291" s="332"/>
      <c r="G291" s="330"/>
      <c r="H291" s="330"/>
      <c r="I291" s="330"/>
      <c r="J291" s="330"/>
      <c r="K291" s="330"/>
      <c r="L291" s="330"/>
      <c r="M291" s="330"/>
      <c r="N291" s="330"/>
      <c r="O291" s="330"/>
      <c r="P291" s="330"/>
      <c r="Q291" s="330"/>
      <c r="R291" s="330"/>
      <c r="S291" s="330"/>
      <c r="T291" s="330"/>
      <c r="U291" s="330"/>
      <c r="V291" s="330"/>
      <c r="W291" s="330"/>
      <c r="X291" s="330"/>
      <c r="Y291" s="330"/>
      <c r="Z291" s="330"/>
      <c r="AA291" s="330"/>
      <c r="AB291" s="330"/>
    </row>
    <row r="292" spans="1:28" x14ac:dyDescent="0.15">
      <c r="A292" s="330"/>
      <c r="B292" s="330"/>
      <c r="C292" s="330"/>
      <c r="D292" s="331"/>
      <c r="E292" s="331"/>
      <c r="F292" s="332"/>
      <c r="G292" s="330"/>
      <c r="H292" s="330"/>
      <c r="I292" s="330"/>
      <c r="J292" s="330"/>
      <c r="K292" s="330"/>
      <c r="L292" s="330"/>
      <c r="M292" s="330"/>
      <c r="N292" s="330"/>
      <c r="O292" s="330"/>
      <c r="P292" s="330"/>
      <c r="Q292" s="330"/>
      <c r="R292" s="330"/>
      <c r="S292" s="330"/>
      <c r="T292" s="330"/>
      <c r="U292" s="330"/>
      <c r="V292" s="330"/>
      <c r="W292" s="330"/>
      <c r="X292" s="330"/>
      <c r="Y292" s="330"/>
      <c r="Z292" s="330"/>
      <c r="AA292" s="330"/>
      <c r="AB292" s="330"/>
    </row>
    <row r="293" spans="1:28" x14ac:dyDescent="0.15">
      <c r="G293" s="330"/>
      <c r="H293" s="330"/>
      <c r="I293" s="330"/>
      <c r="J293" s="330"/>
      <c r="K293" s="330"/>
      <c r="L293" s="330"/>
      <c r="M293" s="330"/>
      <c r="N293" s="330"/>
      <c r="O293" s="330"/>
      <c r="P293" s="330"/>
      <c r="Q293" s="330"/>
      <c r="R293" s="330"/>
      <c r="S293" s="330"/>
      <c r="T293" s="330"/>
      <c r="U293" s="330"/>
      <c r="V293" s="330"/>
      <c r="W293" s="330"/>
      <c r="X293" s="330"/>
      <c r="Y293" s="330"/>
      <c r="Z293" s="330"/>
      <c r="AA293" s="330"/>
      <c r="AB293" s="330"/>
    </row>
    <row r="294" spans="1:28" x14ac:dyDescent="0.15">
      <c r="G294" s="330"/>
      <c r="H294" s="330"/>
      <c r="I294" s="330"/>
      <c r="J294" s="330"/>
      <c r="K294" s="330"/>
      <c r="L294" s="330"/>
      <c r="M294" s="330"/>
      <c r="N294" s="330"/>
      <c r="O294" s="330"/>
      <c r="P294" s="330"/>
      <c r="Q294" s="330"/>
      <c r="R294" s="330"/>
      <c r="S294" s="330"/>
      <c r="T294" s="330"/>
      <c r="U294" s="330"/>
      <c r="V294" s="330"/>
      <c r="W294" s="330"/>
      <c r="X294" s="330"/>
      <c r="Y294" s="330"/>
      <c r="Z294" s="330"/>
      <c r="AA294" s="330"/>
      <c r="AB294" s="330"/>
    </row>
    <row r="295" spans="1:28" x14ac:dyDescent="0.15">
      <c r="G295" s="330"/>
      <c r="H295" s="330"/>
      <c r="I295" s="330"/>
      <c r="J295" s="330"/>
      <c r="K295" s="330"/>
      <c r="L295" s="330"/>
      <c r="M295" s="330"/>
      <c r="N295" s="330"/>
      <c r="O295" s="330"/>
      <c r="P295" s="330"/>
      <c r="Q295" s="330"/>
      <c r="R295" s="330"/>
      <c r="S295" s="330"/>
      <c r="T295" s="330"/>
      <c r="U295" s="330"/>
      <c r="V295" s="330"/>
      <c r="W295" s="330"/>
      <c r="X295" s="330"/>
      <c r="Y295" s="330"/>
      <c r="Z295" s="330"/>
      <c r="AA295" s="330"/>
      <c r="AB295" s="330"/>
    </row>
    <row r="296" spans="1:28" x14ac:dyDescent="0.15">
      <c r="G296" s="330"/>
      <c r="H296" s="330"/>
      <c r="I296" s="330"/>
      <c r="J296" s="330"/>
      <c r="K296" s="330"/>
      <c r="L296" s="330"/>
      <c r="M296" s="330"/>
      <c r="N296" s="330"/>
      <c r="O296" s="330"/>
      <c r="P296" s="330"/>
      <c r="Q296" s="330"/>
      <c r="R296" s="330"/>
      <c r="S296" s="330"/>
      <c r="T296" s="330"/>
      <c r="U296" s="330"/>
      <c r="V296" s="330"/>
      <c r="W296" s="330"/>
      <c r="X296" s="330"/>
      <c r="Y296" s="330"/>
      <c r="Z296" s="330"/>
      <c r="AA296" s="330"/>
      <c r="AB296" s="330"/>
    </row>
    <row r="297" spans="1:28" x14ac:dyDescent="0.15">
      <c r="G297" s="330"/>
      <c r="H297" s="330"/>
      <c r="I297" s="330"/>
      <c r="J297" s="330"/>
      <c r="K297" s="330"/>
      <c r="L297" s="330"/>
      <c r="M297" s="330"/>
      <c r="N297" s="330"/>
      <c r="O297" s="330"/>
      <c r="P297" s="330"/>
      <c r="Q297" s="330"/>
      <c r="R297" s="330"/>
      <c r="S297" s="330"/>
      <c r="T297" s="330"/>
      <c r="U297" s="330"/>
      <c r="V297" s="330"/>
      <c r="W297" s="330"/>
      <c r="X297" s="330"/>
      <c r="Y297" s="330"/>
      <c r="Z297" s="330"/>
      <c r="AA297" s="330"/>
      <c r="AB297" s="330"/>
    </row>
    <row r="298" spans="1:28" x14ac:dyDescent="0.15">
      <c r="G298" s="330"/>
      <c r="H298" s="330"/>
      <c r="I298" s="330"/>
      <c r="J298" s="330"/>
      <c r="K298" s="330"/>
      <c r="L298" s="330"/>
      <c r="M298" s="330"/>
      <c r="N298" s="330"/>
      <c r="O298" s="330"/>
      <c r="P298" s="330"/>
      <c r="Q298" s="330"/>
      <c r="R298" s="330"/>
      <c r="S298" s="330"/>
      <c r="T298" s="330"/>
      <c r="U298" s="330"/>
      <c r="V298" s="330"/>
      <c r="W298" s="330"/>
      <c r="X298" s="330"/>
      <c r="Y298" s="330"/>
      <c r="Z298" s="330"/>
      <c r="AA298" s="330"/>
      <c r="AB298" s="330"/>
    </row>
    <row r="299" spans="1:28" x14ac:dyDescent="0.15">
      <c r="G299" s="330"/>
      <c r="H299" s="330"/>
      <c r="I299" s="330"/>
      <c r="J299" s="330"/>
      <c r="K299" s="330"/>
      <c r="L299" s="330"/>
      <c r="M299" s="330"/>
      <c r="N299" s="330"/>
      <c r="O299" s="330"/>
      <c r="P299" s="330"/>
      <c r="Q299" s="330"/>
      <c r="R299" s="330"/>
      <c r="S299" s="330"/>
      <c r="T299" s="330"/>
      <c r="U299" s="330"/>
      <c r="V299" s="330"/>
      <c r="W299" s="330"/>
      <c r="X299" s="330"/>
      <c r="Y299" s="330"/>
      <c r="Z299" s="330"/>
      <c r="AA299" s="330"/>
      <c r="AB299" s="330"/>
    </row>
    <row r="300" spans="1:28" x14ac:dyDescent="0.15">
      <c r="G300" s="330"/>
      <c r="H300" s="330"/>
      <c r="I300" s="330"/>
      <c r="J300" s="330"/>
      <c r="K300" s="330"/>
      <c r="L300" s="330"/>
      <c r="M300" s="330"/>
      <c r="N300" s="330"/>
      <c r="O300" s="330"/>
      <c r="P300" s="330"/>
      <c r="Q300" s="330"/>
      <c r="R300" s="330"/>
      <c r="S300" s="330"/>
      <c r="T300" s="330"/>
      <c r="U300" s="330"/>
      <c r="V300" s="330"/>
      <c r="W300" s="330"/>
      <c r="X300" s="330"/>
      <c r="Y300" s="330"/>
      <c r="Z300" s="330"/>
      <c r="AA300" s="330"/>
      <c r="AB300" s="330"/>
    </row>
    <row r="301" spans="1:28" x14ac:dyDescent="0.15">
      <c r="G301" s="330"/>
      <c r="H301" s="330"/>
      <c r="I301" s="330"/>
      <c r="J301" s="330"/>
      <c r="K301" s="330"/>
      <c r="L301" s="330"/>
      <c r="M301" s="330"/>
      <c r="N301" s="330"/>
      <c r="O301" s="330"/>
      <c r="P301" s="330"/>
      <c r="Q301" s="330"/>
      <c r="R301" s="330"/>
      <c r="S301" s="330"/>
      <c r="T301" s="330"/>
      <c r="U301" s="330"/>
      <c r="V301" s="330"/>
      <c r="W301" s="330"/>
      <c r="X301" s="330"/>
      <c r="Y301" s="330"/>
      <c r="Z301" s="330"/>
      <c r="AA301" s="330"/>
      <c r="AB301" s="330"/>
    </row>
    <row r="302" spans="1:28" x14ac:dyDescent="0.15">
      <c r="G302" s="330"/>
      <c r="H302" s="330"/>
      <c r="I302" s="330"/>
      <c r="J302" s="330"/>
      <c r="K302" s="330"/>
      <c r="L302" s="330"/>
      <c r="M302" s="330"/>
      <c r="N302" s="330"/>
      <c r="O302" s="330"/>
      <c r="P302" s="330"/>
      <c r="Q302" s="330"/>
      <c r="R302" s="330"/>
      <c r="S302" s="330"/>
      <c r="T302" s="330"/>
      <c r="U302" s="330"/>
      <c r="V302" s="330"/>
      <c r="W302" s="330"/>
      <c r="X302" s="330"/>
      <c r="Y302" s="330"/>
      <c r="Z302" s="330"/>
      <c r="AA302" s="330"/>
      <c r="AB302" s="330"/>
    </row>
    <row r="303" spans="1:28" x14ac:dyDescent="0.15">
      <c r="G303" s="330"/>
      <c r="H303" s="330"/>
      <c r="I303" s="330"/>
      <c r="J303" s="330"/>
      <c r="K303" s="330"/>
      <c r="L303" s="330"/>
      <c r="M303" s="330"/>
      <c r="N303" s="330"/>
      <c r="O303" s="330"/>
      <c r="P303" s="330"/>
      <c r="Q303" s="330"/>
      <c r="R303" s="330"/>
      <c r="S303" s="330"/>
      <c r="T303" s="330"/>
      <c r="U303" s="330"/>
      <c r="V303" s="330"/>
      <c r="W303" s="330"/>
      <c r="X303" s="330"/>
      <c r="Y303" s="330"/>
      <c r="Z303" s="330"/>
      <c r="AA303" s="330"/>
      <c r="AB303" s="330"/>
    </row>
    <row r="304" spans="1:28" x14ac:dyDescent="0.15">
      <c r="G304" s="330"/>
      <c r="H304" s="330"/>
      <c r="I304" s="330"/>
      <c r="J304" s="330"/>
      <c r="K304" s="330"/>
      <c r="L304" s="330"/>
      <c r="M304" s="330"/>
      <c r="N304" s="330"/>
      <c r="O304" s="330"/>
      <c r="P304" s="330"/>
      <c r="Q304" s="330"/>
      <c r="R304" s="330"/>
      <c r="S304" s="330"/>
      <c r="T304" s="330"/>
      <c r="U304" s="330"/>
      <c r="V304" s="330"/>
      <c r="W304" s="330"/>
      <c r="X304" s="330"/>
      <c r="Y304" s="330"/>
      <c r="Z304" s="330"/>
      <c r="AA304" s="330"/>
      <c r="AB304" s="330"/>
    </row>
    <row r="305" spans="7:28" x14ac:dyDescent="0.15">
      <c r="G305" s="330"/>
      <c r="H305" s="330"/>
      <c r="I305" s="330"/>
      <c r="J305" s="330"/>
      <c r="K305" s="330"/>
      <c r="L305" s="330"/>
      <c r="M305" s="330"/>
      <c r="N305" s="330"/>
      <c r="O305" s="330"/>
      <c r="P305" s="330"/>
      <c r="Q305" s="330"/>
      <c r="R305" s="330"/>
      <c r="S305" s="330"/>
      <c r="T305" s="330"/>
      <c r="U305" s="330"/>
      <c r="V305" s="330"/>
      <c r="W305" s="330"/>
      <c r="X305" s="330"/>
      <c r="Y305" s="330"/>
      <c r="Z305" s="330"/>
      <c r="AA305" s="330"/>
      <c r="AB305" s="330"/>
    </row>
    <row r="306" spans="7:28" x14ac:dyDescent="0.15">
      <c r="G306" s="330"/>
      <c r="H306" s="330"/>
      <c r="I306" s="330"/>
      <c r="J306" s="330"/>
      <c r="K306" s="330"/>
      <c r="L306" s="330"/>
      <c r="M306" s="330"/>
      <c r="N306" s="330"/>
      <c r="O306" s="330"/>
      <c r="P306" s="330"/>
      <c r="Q306" s="330"/>
      <c r="R306" s="330"/>
      <c r="S306" s="330"/>
      <c r="T306" s="330"/>
      <c r="U306" s="330"/>
      <c r="V306" s="330"/>
      <c r="W306" s="330"/>
      <c r="X306" s="330"/>
      <c r="Y306" s="330"/>
      <c r="Z306" s="330"/>
      <c r="AA306" s="330"/>
      <c r="AB306" s="330"/>
    </row>
    <row r="307" spans="7:28" x14ac:dyDescent="0.15">
      <c r="G307" s="330"/>
      <c r="H307" s="330"/>
      <c r="I307" s="330"/>
      <c r="J307" s="330"/>
      <c r="K307" s="330"/>
      <c r="L307" s="330"/>
      <c r="M307" s="330"/>
      <c r="N307" s="330"/>
      <c r="O307" s="330"/>
      <c r="P307" s="330"/>
      <c r="Q307" s="330"/>
      <c r="R307" s="330"/>
      <c r="S307" s="330"/>
      <c r="T307" s="330"/>
      <c r="U307" s="330"/>
      <c r="V307" s="330"/>
      <c r="W307" s="330"/>
      <c r="X307" s="330"/>
      <c r="Y307" s="330"/>
      <c r="Z307" s="330"/>
      <c r="AA307" s="330"/>
      <c r="AB307" s="330"/>
    </row>
    <row r="308" spans="7:28" x14ac:dyDescent="0.15">
      <c r="G308" s="330"/>
      <c r="H308" s="330"/>
      <c r="I308" s="330"/>
      <c r="J308" s="330"/>
      <c r="K308" s="330"/>
      <c r="L308" s="330"/>
      <c r="M308" s="330"/>
      <c r="N308" s="330"/>
      <c r="O308" s="330"/>
      <c r="P308" s="330"/>
      <c r="Q308" s="330"/>
      <c r="R308" s="330"/>
      <c r="S308" s="330"/>
      <c r="T308" s="330"/>
      <c r="U308" s="330"/>
      <c r="V308" s="330"/>
      <c r="W308" s="330"/>
      <c r="X308" s="330"/>
      <c r="Y308" s="330"/>
      <c r="Z308" s="330"/>
      <c r="AA308" s="330"/>
      <c r="AB308" s="330"/>
    </row>
    <row r="309" spans="7:28" x14ac:dyDescent="0.15">
      <c r="G309" s="330"/>
      <c r="H309" s="330"/>
      <c r="I309" s="330"/>
      <c r="J309" s="330"/>
      <c r="K309" s="330"/>
      <c r="L309" s="330"/>
      <c r="M309" s="330"/>
      <c r="N309" s="330"/>
      <c r="O309" s="330"/>
      <c r="P309" s="330"/>
      <c r="Q309" s="330"/>
      <c r="R309" s="330"/>
      <c r="S309" s="330"/>
      <c r="T309" s="330"/>
      <c r="U309" s="330"/>
      <c r="V309" s="330"/>
      <c r="W309" s="330"/>
      <c r="X309" s="330"/>
      <c r="Y309" s="330"/>
      <c r="Z309" s="330"/>
      <c r="AA309" s="330"/>
      <c r="AB309" s="330"/>
    </row>
    <row r="310" spans="7:28" x14ac:dyDescent="0.15">
      <c r="G310" s="330"/>
      <c r="H310" s="330"/>
      <c r="I310" s="330"/>
      <c r="J310" s="330"/>
      <c r="K310" s="330"/>
      <c r="L310" s="330"/>
      <c r="M310" s="330"/>
      <c r="N310" s="330"/>
      <c r="O310" s="330"/>
      <c r="P310" s="330"/>
      <c r="Q310" s="330"/>
      <c r="R310" s="330"/>
      <c r="S310" s="330"/>
      <c r="T310" s="330"/>
      <c r="U310" s="330"/>
      <c r="V310" s="330"/>
      <c r="W310" s="330"/>
      <c r="X310" s="330"/>
      <c r="Y310" s="330"/>
      <c r="Z310" s="330"/>
      <c r="AA310" s="330"/>
      <c r="AB310" s="330"/>
    </row>
    <row r="311" spans="7:28" x14ac:dyDescent="0.15">
      <c r="G311" s="330"/>
      <c r="H311" s="330"/>
      <c r="I311" s="330"/>
      <c r="J311" s="330"/>
      <c r="K311" s="330"/>
      <c r="L311" s="330"/>
      <c r="M311" s="330"/>
      <c r="N311" s="330"/>
      <c r="O311" s="330"/>
      <c r="P311" s="330"/>
      <c r="Q311" s="330"/>
      <c r="R311" s="330"/>
      <c r="S311" s="330"/>
      <c r="T311" s="330"/>
      <c r="U311" s="330"/>
      <c r="V311" s="330"/>
      <c r="W311" s="330"/>
      <c r="X311" s="330"/>
      <c r="Y311" s="330"/>
      <c r="Z311" s="330"/>
      <c r="AA311" s="330"/>
      <c r="AB311" s="330"/>
    </row>
    <row r="312" spans="7:28" x14ac:dyDescent="0.15">
      <c r="G312" s="330"/>
      <c r="H312" s="330"/>
      <c r="I312" s="330"/>
      <c r="J312" s="330"/>
      <c r="K312" s="330"/>
      <c r="L312" s="330"/>
      <c r="M312" s="330"/>
      <c r="N312" s="330"/>
      <c r="O312" s="330"/>
      <c r="P312" s="330"/>
      <c r="Q312" s="330"/>
      <c r="R312" s="330"/>
      <c r="S312" s="330"/>
      <c r="T312" s="330"/>
      <c r="U312" s="330"/>
      <c r="V312" s="330"/>
      <c r="W312" s="330"/>
      <c r="X312" s="330"/>
      <c r="Y312" s="330"/>
      <c r="Z312" s="330"/>
      <c r="AA312" s="330"/>
      <c r="AB312" s="330"/>
    </row>
    <row r="313" spans="7:28" x14ac:dyDescent="0.15">
      <c r="G313" s="330"/>
      <c r="H313" s="330"/>
      <c r="I313" s="330"/>
      <c r="J313" s="330"/>
      <c r="K313" s="330"/>
      <c r="L313" s="330"/>
      <c r="M313" s="330"/>
      <c r="N313" s="330"/>
      <c r="O313" s="330"/>
      <c r="P313" s="330"/>
      <c r="Q313" s="330"/>
      <c r="R313" s="330"/>
      <c r="S313" s="330"/>
      <c r="T313" s="330"/>
      <c r="U313" s="330"/>
      <c r="V313" s="330"/>
      <c r="W313" s="330"/>
      <c r="X313" s="330"/>
      <c r="Y313" s="330"/>
      <c r="Z313" s="330"/>
      <c r="AA313" s="330"/>
      <c r="AB313" s="330"/>
    </row>
    <row r="314" spans="7:28" x14ac:dyDescent="0.15">
      <c r="G314" s="330"/>
      <c r="H314" s="330"/>
      <c r="I314" s="330"/>
      <c r="J314" s="330"/>
      <c r="K314" s="330"/>
      <c r="L314" s="330"/>
      <c r="M314" s="330"/>
      <c r="N314" s="330"/>
      <c r="O314" s="330"/>
      <c r="P314" s="330"/>
      <c r="Q314" s="330"/>
      <c r="R314" s="330"/>
      <c r="S314" s="330"/>
      <c r="T314" s="330"/>
      <c r="U314" s="330"/>
      <c r="V314" s="330"/>
      <c r="W314" s="330"/>
      <c r="X314" s="330"/>
      <c r="Y314" s="330"/>
      <c r="Z314" s="330"/>
      <c r="AA314" s="330"/>
      <c r="AB314" s="330"/>
    </row>
    <row r="315" spans="7:28" x14ac:dyDescent="0.15">
      <c r="G315" s="330"/>
      <c r="H315" s="330"/>
      <c r="I315" s="330"/>
      <c r="J315" s="330"/>
      <c r="K315" s="330"/>
      <c r="L315" s="330"/>
      <c r="M315" s="330"/>
      <c r="N315" s="330"/>
      <c r="O315" s="330"/>
      <c r="P315" s="330"/>
      <c r="Q315" s="330"/>
      <c r="R315" s="330"/>
      <c r="S315" s="330"/>
      <c r="T315" s="330"/>
      <c r="U315" s="330"/>
      <c r="V315" s="330"/>
      <c r="W315" s="330"/>
      <c r="X315" s="330"/>
      <c r="Y315" s="330"/>
      <c r="Z315" s="330"/>
      <c r="AA315" s="330"/>
      <c r="AB315" s="330"/>
    </row>
    <row r="316" spans="7:28" x14ac:dyDescent="0.15">
      <c r="G316" s="330"/>
      <c r="H316" s="330"/>
      <c r="I316" s="330"/>
      <c r="J316" s="330"/>
      <c r="K316" s="330"/>
      <c r="L316" s="330"/>
      <c r="M316" s="330"/>
      <c r="N316" s="330"/>
      <c r="O316" s="330"/>
      <c r="P316" s="330"/>
      <c r="Q316" s="330"/>
      <c r="R316" s="330"/>
      <c r="S316" s="330"/>
      <c r="T316" s="330"/>
      <c r="U316" s="330"/>
      <c r="V316" s="330"/>
      <c r="W316" s="330"/>
      <c r="X316" s="330"/>
      <c r="Y316" s="330"/>
      <c r="Z316" s="330"/>
      <c r="AA316" s="330"/>
      <c r="AB316" s="330"/>
    </row>
    <row r="317" spans="7:28" x14ac:dyDescent="0.15">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row>
    <row r="318" spans="7:28" x14ac:dyDescent="0.15">
      <c r="G318" s="330"/>
      <c r="H318" s="330"/>
      <c r="I318" s="330"/>
      <c r="J318" s="330"/>
      <c r="K318" s="330"/>
      <c r="L318" s="330"/>
      <c r="M318" s="330"/>
      <c r="N318" s="330"/>
      <c r="O318" s="330"/>
      <c r="P318" s="330"/>
      <c r="Q318" s="330"/>
      <c r="R318" s="330"/>
      <c r="S318" s="330"/>
      <c r="T318" s="330"/>
      <c r="U318" s="330"/>
      <c r="V318" s="330"/>
      <c r="W318" s="330"/>
      <c r="X318" s="330"/>
      <c r="Y318" s="330"/>
      <c r="Z318" s="330"/>
      <c r="AA318" s="330"/>
      <c r="AB318" s="330"/>
    </row>
    <row r="319" spans="7:28" x14ac:dyDescent="0.15">
      <c r="G319" s="330"/>
      <c r="H319" s="330"/>
      <c r="I319" s="330"/>
      <c r="J319" s="330"/>
      <c r="K319" s="330"/>
      <c r="L319" s="330"/>
      <c r="M319" s="330"/>
      <c r="N319" s="330"/>
      <c r="O319" s="330"/>
      <c r="P319" s="330"/>
      <c r="Q319" s="330"/>
      <c r="R319" s="330"/>
      <c r="S319" s="330"/>
      <c r="T319" s="330"/>
      <c r="U319" s="330"/>
      <c r="V319" s="330"/>
      <c r="W319" s="330"/>
      <c r="X319" s="330"/>
      <c r="Y319" s="330"/>
      <c r="Z319" s="330"/>
      <c r="AA319" s="330"/>
      <c r="AB319" s="330"/>
    </row>
    <row r="320" spans="7:28" x14ac:dyDescent="0.15">
      <c r="G320" s="330"/>
      <c r="H320" s="330"/>
      <c r="I320" s="330"/>
      <c r="J320" s="330"/>
      <c r="K320" s="330"/>
      <c r="L320" s="330"/>
      <c r="M320" s="330"/>
      <c r="N320" s="330"/>
      <c r="O320" s="330"/>
      <c r="P320" s="330"/>
      <c r="Q320" s="330"/>
      <c r="R320" s="330"/>
      <c r="S320" s="330"/>
      <c r="T320" s="330"/>
      <c r="U320" s="330"/>
      <c r="V320" s="330"/>
      <c r="W320" s="330"/>
      <c r="X320" s="330"/>
      <c r="Y320" s="330"/>
      <c r="Z320" s="330"/>
      <c r="AA320" s="330"/>
      <c r="AB320" s="330"/>
    </row>
    <row r="321" spans="7:28" x14ac:dyDescent="0.15">
      <c r="G321" s="330"/>
      <c r="H321" s="330"/>
      <c r="I321" s="330"/>
      <c r="J321" s="330"/>
      <c r="K321" s="330"/>
      <c r="L321" s="330"/>
      <c r="M321" s="330"/>
      <c r="N321" s="330"/>
      <c r="O321" s="330"/>
      <c r="P321" s="330"/>
      <c r="Q321" s="330"/>
      <c r="R321" s="330"/>
      <c r="S321" s="330"/>
      <c r="T321" s="330"/>
      <c r="U321" s="330"/>
      <c r="V321" s="330"/>
      <c r="W321" s="330"/>
      <c r="X321" s="330"/>
      <c r="Y321" s="330"/>
      <c r="Z321" s="330"/>
      <c r="AA321" s="330"/>
      <c r="AB321" s="330"/>
    </row>
    <row r="322" spans="7:28" x14ac:dyDescent="0.15">
      <c r="G322" s="330"/>
      <c r="H322" s="330"/>
      <c r="I322" s="330"/>
      <c r="J322" s="330"/>
      <c r="K322" s="330"/>
      <c r="L322" s="330"/>
      <c r="M322" s="330"/>
      <c r="N322" s="330"/>
      <c r="O322" s="330"/>
      <c r="P322" s="330"/>
      <c r="Q322" s="330"/>
      <c r="R322" s="330"/>
      <c r="S322" s="330"/>
      <c r="T322" s="330"/>
      <c r="U322" s="330"/>
      <c r="V322" s="330"/>
      <c r="W322" s="330"/>
      <c r="X322" s="330"/>
      <c r="Y322" s="330"/>
      <c r="Z322" s="330"/>
      <c r="AA322" s="330"/>
      <c r="AB322" s="330"/>
    </row>
    <row r="323" spans="7:28" x14ac:dyDescent="0.15">
      <c r="G323" s="330"/>
      <c r="H323" s="330"/>
      <c r="I323" s="330"/>
      <c r="J323" s="330"/>
      <c r="K323" s="330"/>
      <c r="L323" s="330"/>
      <c r="M323" s="330"/>
      <c r="N323" s="330"/>
      <c r="O323" s="330"/>
      <c r="P323" s="330"/>
      <c r="Q323" s="330"/>
      <c r="R323" s="330"/>
      <c r="S323" s="330"/>
      <c r="T323" s="330"/>
      <c r="U323" s="330"/>
      <c r="V323" s="330"/>
      <c r="W323" s="330"/>
      <c r="X323" s="330"/>
      <c r="Y323" s="330"/>
      <c r="Z323" s="330"/>
      <c r="AA323" s="330"/>
      <c r="AB323" s="330"/>
    </row>
    <row r="324" spans="7:28" x14ac:dyDescent="0.15">
      <c r="G324" s="330"/>
      <c r="H324" s="330"/>
      <c r="I324" s="330"/>
      <c r="J324" s="330"/>
      <c r="K324" s="330"/>
      <c r="L324" s="330"/>
      <c r="M324" s="330"/>
      <c r="N324" s="330"/>
      <c r="O324" s="330"/>
      <c r="P324" s="330"/>
      <c r="Q324" s="330"/>
      <c r="R324" s="330"/>
      <c r="S324" s="330"/>
      <c r="T324" s="330"/>
      <c r="U324" s="330"/>
      <c r="V324" s="330"/>
      <c r="W324" s="330"/>
      <c r="X324" s="330"/>
      <c r="Y324" s="330"/>
      <c r="Z324" s="330"/>
      <c r="AA324" s="330"/>
      <c r="AB324" s="330"/>
    </row>
    <row r="325" spans="7:28" x14ac:dyDescent="0.15">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row>
    <row r="326" spans="7:28" x14ac:dyDescent="0.15">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row>
    <row r="327" spans="7:28" x14ac:dyDescent="0.15">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row>
    <row r="328" spans="7:28" x14ac:dyDescent="0.15">
      <c r="G328" s="330"/>
      <c r="H328" s="330"/>
      <c r="I328" s="330"/>
      <c r="J328" s="330"/>
      <c r="K328" s="330"/>
      <c r="L328" s="330"/>
      <c r="M328" s="330"/>
      <c r="N328" s="330"/>
      <c r="O328" s="330"/>
      <c r="P328" s="330"/>
      <c r="Q328" s="330"/>
      <c r="R328" s="330"/>
      <c r="S328" s="330"/>
      <c r="T328" s="330"/>
      <c r="U328" s="330"/>
      <c r="V328" s="330"/>
      <c r="W328" s="330"/>
      <c r="X328" s="330"/>
      <c r="Y328" s="330"/>
      <c r="Z328" s="330"/>
      <c r="AA328" s="330"/>
      <c r="AB328" s="330"/>
    </row>
  </sheetData>
  <sheetProtection sheet="1" objects="1" scenarios="1"/>
  <mergeCells count="1">
    <mergeCell ref="B19:F19"/>
  </mergeCells>
  <phoneticPr fontId="121"/>
  <conditionalFormatting sqref="D39">
    <cfRule type="expression" dxfId="76" priority="19">
      <formula>$D$23&gt;1</formula>
    </cfRule>
  </conditionalFormatting>
  <conditionalFormatting sqref="D40">
    <cfRule type="expression" dxfId="75" priority="18">
      <formula>$D$23&gt;2</formula>
    </cfRule>
  </conditionalFormatting>
  <conditionalFormatting sqref="D41">
    <cfRule type="expression" dxfId="74" priority="17">
      <formula>$D$23&gt;3</formula>
    </cfRule>
  </conditionalFormatting>
  <conditionalFormatting sqref="D42">
    <cfRule type="expression" dxfId="73" priority="16">
      <formula>$D$23&gt;4</formula>
    </cfRule>
  </conditionalFormatting>
  <conditionalFormatting sqref="D43">
    <cfRule type="expression" dxfId="72" priority="15">
      <formula>$D$23&gt;5</formula>
    </cfRule>
  </conditionalFormatting>
  <conditionalFormatting sqref="D44">
    <cfRule type="expression" dxfId="71" priority="14">
      <formula>$D$23&gt;6</formula>
    </cfRule>
  </conditionalFormatting>
  <conditionalFormatting sqref="D45">
    <cfRule type="expression" dxfId="70" priority="13">
      <formula>$D$23&gt;7</formula>
    </cfRule>
  </conditionalFormatting>
  <conditionalFormatting sqref="D59">
    <cfRule type="cellIs" dxfId="69" priority="4" operator="lessThan">
      <formula>0</formula>
    </cfRule>
  </conditionalFormatting>
  <conditionalFormatting sqref="D29">
    <cfRule type="expression" dxfId="68" priority="3">
      <formula>$D$28="Circular"</formula>
    </cfRule>
  </conditionalFormatting>
  <conditionalFormatting sqref="F29">
    <cfRule type="expression" dxfId="67" priority="2">
      <formula>$D$28="Circular"</formula>
    </cfRule>
  </conditionalFormatting>
  <conditionalFormatting sqref="E39">
    <cfRule type="expression" dxfId="66" priority="1">
      <formula>$D$23&gt;1</formula>
    </cfRule>
  </conditionalFormatting>
  <dataValidations count="20">
    <dataValidation showInputMessage="1" showErrorMessage="1" sqref="E54:E55 IN54:IN55 SJ54:SJ55 ACF54:ACF55 AMB54:AMB55 AVX54:AVX55 BFT54:BFT55 BPP54:BPP55 BZL54:BZL55 CJH54:CJH55 CTD54:CTD55 DCZ54:DCZ55 DMV54:DMV55 DWR54:DWR55 EGN54:EGN55 EQJ54:EQJ55 FAF54:FAF55 FKB54:FKB55 FTX54:FTX55 GDT54:GDT55 GNP54:GNP55 GXL54:GXL55 HHH54:HHH55 HRD54:HRD55 IAZ54:IAZ55 IKV54:IKV55 IUR54:IUR55 JEN54:JEN55 JOJ54:JOJ55 JYF54:JYF55 KIB54:KIB55 KRX54:KRX55 LBT54:LBT55 LLP54:LLP55 LVL54:LVL55 MFH54:MFH55 MPD54:MPD55 MYZ54:MYZ55 NIV54:NIV55 NSR54:NSR55 OCN54:OCN55 OMJ54:OMJ55 OWF54:OWF55 PGB54:PGB55 PPX54:PPX55 PZT54:PZT55 QJP54:QJP55 QTL54:QTL55 RDH54:RDH55 RND54:RND55 RWZ54:RWZ55 SGV54:SGV55 SQR54:SQR55 TAN54:TAN55 TKJ54:TKJ55 TUF54:TUF55 UEB54:UEB55 UNX54:UNX55 UXT54:UXT55 VHP54:VHP55 VRL54:VRL55 WBH54:WBH55 WLD54:WLD55 WUZ54:WUZ55 E65739:E65740 IN65739:IN65740 SJ65739:SJ65740 ACF65739:ACF65740 AMB65739:AMB65740 AVX65739:AVX65740 BFT65739:BFT65740 BPP65739:BPP65740 BZL65739:BZL65740 CJH65739:CJH65740 CTD65739:CTD65740 DCZ65739:DCZ65740 DMV65739:DMV65740 DWR65739:DWR65740 EGN65739:EGN65740 EQJ65739:EQJ65740 FAF65739:FAF65740 FKB65739:FKB65740 FTX65739:FTX65740 GDT65739:GDT65740 GNP65739:GNP65740 GXL65739:GXL65740 HHH65739:HHH65740 HRD65739:HRD65740 IAZ65739:IAZ65740 IKV65739:IKV65740 IUR65739:IUR65740 JEN65739:JEN65740 JOJ65739:JOJ65740 JYF65739:JYF65740 KIB65739:KIB65740 KRX65739:KRX65740 LBT65739:LBT65740 LLP65739:LLP65740 LVL65739:LVL65740 MFH65739:MFH65740 MPD65739:MPD65740 MYZ65739:MYZ65740 NIV65739:NIV65740 NSR65739:NSR65740 OCN65739:OCN65740 OMJ65739:OMJ65740 OWF65739:OWF65740 PGB65739:PGB65740 PPX65739:PPX65740 PZT65739:PZT65740 QJP65739:QJP65740 QTL65739:QTL65740 RDH65739:RDH65740 RND65739:RND65740 RWZ65739:RWZ65740 SGV65739:SGV65740 SQR65739:SQR65740 TAN65739:TAN65740 TKJ65739:TKJ65740 TUF65739:TUF65740 UEB65739:UEB65740 UNX65739:UNX65740 UXT65739:UXT65740 VHP65739:VHP65740 VRL65739:VRL65740 WBH65739:WBH65740 WLD65739:WLD65740 WUZ65739:WUZ65740 E131275:E131276 IN131275:IN131276 SJ131275:SJ131276 ACF131275:ACF131276 AMB131275:AMB131276 AVX131275:AVX131276 BFT131275:BFT131276 BPP131275:BPP131276 BZL131275:BZL131276 CJH131275:CJH131276 CTD131275:CTD131276 DCZ131275:DCZ131276 DMV131275:DMV131276 DWR131275:DWR131276 EGN131275:EGN131276 EQJ131275:EQJ131276 FAF131275:FAF131276 FKB131275:FKB131276 FTX131275:FTX131276 GDT131275:GDT131276 GNP131275:GNP131276 GXL131275:GXL131276 HHH131275:HHH131276 HRD131275:HRD131276 IAZ131275:IAZ131276 IKV131275:IKV131276 IUR131275:IUR131276 JEN131275:JEN131276 JOJ131275:JOJ131276 JYF131275:JYF131276 KIB131275:KIB131276 KRX131275:KRX131276 LBT131275:LBT131276 LLP131275:LLP131276 LVL131275:LVL131276 MFH131275:MFH131276 MPD131275:MPD131276 MYZ131275:MYZ131276 NIV131275:NIV131276 NSR131275:NSR131276 OCN131275:OCN131276 OMJ131275:OMJ131276 OWF131275:OWF131276 PGB131275:PGB131276 PPX131275:PPX131276 PZT131275:PZT131276 QJP131275:QJP131276 QTL131275:QTL131276 RDH131275:RDH131276 RND131275:RND131276 RWZ131275:RWZ131276 SGV131275:SGV131276 SQR131275:SQR131276 TAN131275:TAN131276 TKJ131275:TKJ131276 TUF131275:TUF131276 UEB131275:UEB131276 UNX131275:UNX131276 UXT131275:UXT131276 VHP131275:VHP131276 VRL131275:VRL131276 WBH131275:WBH131276 WLD131275:WLD131276 WUZ131275:WUZ131276 E196811:E196812 IN196811:IN196812 SJ196811:SJ196812 ACF196811:ACF196812 AMB196811:AMB196812 AVX196811:AVX196812 BFT196811:BFT196812 BPP196811:BPP196812 BZL196811:BZL196812 CJH196811:CJH196812 CTD196811:CTD196812 DCZ196811:DCZ196812 DMV196811:DMV196812 DWR196811:DWR196812 EGN196811:EGN196812 EQJ196811:EQJ196812 FAF196811:FAF196812 FKB196811:FKB196812 FTX196811:FTX196812 GDT196811:GDT196812 GNP196811:GNP196812 GXL196811:GXL196812 HHH196811:HHH196812 HRD196811:HRD196812 IAZ196811:IAZ196812 IKV196811:IKV196812 IUR196811:IUR196812 JEN196811:JEN196812 JOJ196811:JOJ196812 JYF196811:JYF196812 KIB196811:KIB196812 KRX196811:KRX196812 LBT196811:LBT196812 LLP196811:LLP196812 LVL196811:LVL196812 MFH196811:MFH196812 MPD196811:MPD196812 MYZ196811:MYZ196812 NIV196811:NIV196812 NSR196811:NSR196812 OCN196811:OCN196812 OMJ196811:OMJ196812 OWF196811:OWF196812 PGB196811:PGB196812 PPX196811:PPX196812 PZT196811:PZT196812 QJP196811:QJP196812 QTL196811:QTL196812 RDH196811:RDH196812 RND196811:RND196812 RWZ196811:RWZ196812 SGV196811:SGV196812 SQR196811:SQR196812 TAN196811:TAN196812 TKJ196811:TKJ196812 TUF196811:TUF196812 UEB196811:UEB196812 UNX196811:UNX196812 UXT196811:UXT196812 VHP196811:VHP196812 VRL196811:VRL196812 WBH196811:WBH196812 WLD196811:WLD196812 WUZ196811:WUZ196812 E262347:E262348 IN262347:IN262348 SJ262347:SJ262348 ACF262347:ACF262348 AMB262347:AMB262348 AVX262347:AVX262348 BFT262347:BFT262348 BPP262347:BPP262348 BZL262347:BZL262348 CJH262347:CJH262348 CTD262347:CTD262348 DCZ262347:DCZ262348 DMV262347:DMV262348 DWR262347:DWR262348 EGN262347:EGN262348 EQJ262347:EQJ262348 FAF262347:FAF262348 FKB262347:FKB262348 FTX262347:FTX262348 GDT262347:GDT262348 GNP262347:GNP262348 GXL262347:GXL262348 HHH262347:HHH262348 HRD262347:HRD262348 IAZ262347:IAZ262348 IKV262347:IKV262348 IUR262347:IUR262348 JEN262347:JEN262348 JOJ262347:JOJ262348 JYF262347:JYF262348 KIB262347:KIB262348 KRX262347:KRX262348 LBT262347:LBT262348 LLP262347:LLP262348 LVL262347:LVL262348 MFH262347:MFH262348 MPD262347:MPD262348 MYZ262347:MYZ262348 NIV262347:NIV262348 NSR262347:NSR262348 OCN262347:OCN262348 OMJ262347:OMJ262348 OWF262347:OWF262348 PGB262347:PGB262348 PPX262347:PPX262348 PZT262347:PZT262348 QJP262347:QJP262348 QTL262347:QTL262348 RDH262347:RDH262348 RND262347:RND262348 RWZ262347:RWZ262348 SGV262347:SGV262348 SQR262347:SQR262348 TAN262347:TAN262348 TKJ262347:TKJ262348 TUF262347:TUF262348 UEB262347:UEB262348 UNX262347:UNX262348 UXT262347:UXT262348 VHP262347:VHP262348 VRL262347:VRL262348 WBH262347:WBH262348 WLD262347:WLD262348 WUZ262347:WUZ262348 E327883:E327884 IN327883:IN327884 SJ327883:SJ327884 ACF327883:ACF327884 AMB327883:AMB327884 AVX327883:AVX327884 BFT327883:BFT327884 BPP327883:BPP327884 BZL327883:BZL327884 CJH327883:CJH327884 CTD327883:CTD327884 DCZ327883:DCZ327884 DMV327883:DMV327884 DWR327883:DWR327884 EGN327883:EGN327884 EQJ327883:EQJ327884 FAF327883:FAF327884 FKB327883:FKB327884 FTX327883:FTX327884 GDT327883:GDT327884 GNP327883:GNP327884 GXL327883:GXL327884 HHH327883:HHH327884 HRD327883:HRD327884 IAZ327883:IAZ327884 IKV327883:IKV327884 IUR327883:IUR327884 JEN327883:JEN327884 JOJ327883:JOJ327884 JYF327883:JYF327884 KIB327883:KIB327884 KRX327883:KRX327884 LBT327883:LBT327884 LLP327883:LLP327884 LVL327883:LVL327884 MFH327883:MFH327884 MPD327883:MPD327884 MYZ327883:MYZ327884 NIV327883:NIV327884 NSR327883:NSR327884 OCN327883:OCN327884 OMJ327883:OMJ327884 OWF327883:OWF327884 PGB327883:PGB327884 PPX327883:PPX327884 PZT327883:PZT327884 QJP327883:QJP327884 QTL327883:QTL327884 RDH327883:RDH327884 RND327883:RND327884 RWZ327883:RWZ327884 SGV327883:SGV327884 SQR327883:SQR327884 TAN327883:TAN327884 TKJ327883:TKJ327884 TUF327883:TUF327884 UEB327883:UEB327884 UNX327883:UNX327884 UXT327883:UXT327884 VHP327883:VHP327884 VRL327883:VRL327884 WBH327883:WBH327884 WLD327883:WLD327884 WUZ327883:WUZ327884 E393419:E393420 IN393419:IN393420 SJ393419:SJ393420 ACF393419:ACF393420 AMB393419:AMB393420 AVX393419:AVX393420 BFT393419:BFT393420 BPP393419:BPP393420 BZL393419:BZL393420 CJH393419:CJH393420 CTD393419:CTD393420 DCZ393419:DCZ393420 DMV393419:DMV393420 DWR393419:DWR393420 EGN393419:EGN393420 EQJ393419:EQJ393420 FAF393419:FAF393420 FKB393419:FKB393420 FTX393419:FTX393420 GDT393419:GDT393420 GNP393419:GNP393420 GXL393419:GXL393420 HHH393419:HHH393420 HRD393419:HRD393420 IAZ393419:IAZ393420 IKV393419:IKV393420 IUR393419:IUR393420 JEN393419:JEN393420 JOJ393419:JOJ393420 JYF393419:JYF393420 KIB393419:KIB393420 KRX393419:KRX393420 LBT393419:LBT393420 LLP393419:LLP393420 LVL393419:LVL393420 MFH393419:MFH393420 MPD393419:MPD393420 MYZ393419:MYZ393420 NIV393419:NIV393420 NSR393419:NSR393420 OCN393419:OCN393420 OMJ393419:OMJ393420 OWF393419:OWF393420 PGB393419:PGB393420 PPX393419:PPX393420 PZT393419:PZT393420 QJP393419:QJP393420 QTL393419:QTL393420 RDH393419:RDH393420 RND393419:RND393420 RWZ393419:RWZ393420 SGV393419:SGV393420 SQR393419:SQR393420 TAN393419:TAN393420 TKJ393419:TKJ393420 TUF393419:TUF393420 UEB393419:UEB393420 UNX393419:UNX393420 UXT393419:UXT393420 VHP393419:VHP393420 VRL393419:VRL393420 WBH393419:WBH393420 WLD393419:WLD393420 WUZ393419:WUZ393420 E458955:E458956 IN458955:IN458956 SJ458955:SJ458956 ACF458955:ACF458956 AMB458955:AMB458956 AVX458955:AVX458956 BFT458955:BFT458956 BPP458955:BPP458956 BZL458955:BZL458956 CJH458955:CJH458956 CTD458955:CTD458956 DCZ458955:DCZ458956 DMV458955:DMV458956 DWR458955:DWR458956 EGN458955:EGN458956 EQJ458955:EQJ458956 FAF458955:FAF458956 FKB458955:FKB458956 FTX458955:FTX458956 GDT458955:GDT458956 GNP458955:GNP458956 GXL458955:GXL458956 HHH458955:HHH458956 HRD458955:HRD458956 IAZ458955:IAZ458956 IKV458955:IKV458956 IUR458955:IUR458956 JEN458955:JEN458956 JOJ458955:JOJ458956 JYF458955:JYF458956 KIB458955:KIB458956 KRX458955:KRX458956 LBT458955:LBT458956 LLP458955:LLP458956 LVL458955:LVL458956 MFH458955:MFH458956 MPD458955:MPD458956 MYZ458955:MYZ458956 NIV458955:NIV458956 NSR458955:NSR458956 OCN458955:OCN458956 OMJ458955:OMJ458956 OWF458955:OWF458956 PGB458955:PGB458956 PPX458955:PPX458956 PZT458955:PZT458956 QJP458955:QJP458956 QTL458955:QTL458956 RDH458955:RDH458956 RND458955:RND458956 RWZ458955:RWZ458956 SGV458955:SGV458956 SQR458955:SQR458956 TAN458955:TAN458956 TKJ458955:TKJ458956 TUF458955:TUF458956 UEB458955:UEB458956 UNX458955:UNX458956 UXT458955:UXT458956 VHP458955:VHP458956 VRL458955:VRL458956 WBH458955:WBH458956 WLD458955:WLD458956 WUZ458955:WUZ458956 E524491:E524492 IN524491:IN524492 SJ524491:SJ524492 ACF524491:ACF524492 AMB524491:AMB524492 AVX524491:AVX524492 BFT524491:BFT524492 BPP524491:BPP524492 BZL524491:BZL524492 CJH524491:CJH524492 CTD524491:CTD524492 DCZ524491:DCZ524492 DMV524491:DMV524492 DWR524491:DWR524492 EGN524491:EGN524492 EQJ524491:EQJ524492 FAF524491:FAF524492 FKB524491:FKB524492 FTX524491:FTX524492 GDT524491:GDT524492 GNP524491:GNP524492 GXL524491:GXL524492 HHH524491:HHH524492 HRD524491:HRD524492 IAZ524491:IAZ524492 IKV524491:IKV524492 IUR524491:IUR524492 JEN524491:JEN524492 JOJ524491:JOJ524492 JYF524491:JYF524492 KIB524491:KIB524492 KRX524491:KRX524492 LBT524491:LBT524492 LLP524491:LLP524492 LVL524491:LVL524492 MFH524491:MFH524492 MPD524491:MPD524492 MYZ524491:MYZ524492 NIV524491:NIV524492 NSR524491:NSR524492 OCN524491:OCN524492 OMJ524491:OMJ524492 OWF524491:OWF524492 PGB524491:PGB524492 PPX524491:PPX524492 PZT524491:PZT524492 QJP524491:QJP524492 QTL524491:QTL524492 RDH524491:RDH524492 RND524491:RND524492 RWZ524491:RWZ524492 SGV524491:SGV524492 SQR524491:SQR524492 TAN524491:TAN524492 TKJ524491:TKJ524492 TUF524491:TUF524492 UEB524491:UEB524492 UNX524491:UNX524492 UXT524491:UXT524492 VHP524491:VHP524492 VRL524491:VRL524492 WBH524491:WBH524492 WLD524491:WLD524492 WUZ524491:WUZ524492 E590027:E590028 IN590027:IN590028 SJ590027:SJ590028 ACF590027:ACF590028 AMB590027:AMB590028 AVX590027:AVX590028 BFT590027:BFT590028 BPP590027:BPP590028 BZL590027:BZL590028 CJH590027:CJH590028 CTD590027:CTD590028 DCZ590027:DCZ590028 DMV590027:DMV590028 DWR590027:DWR590028 EGN590027:EGN590028 EQJ590027:EQJ590028 FAF590027:FAF590028 FKB590027:FKB590028 FTX590027:FTX590028 GDT590027:GDT590028 GNP590027:GNP590028 GXL590027:GXL590028 HHH590027:HHH590028 HRD590027:HRD590028 IAZ590027:IAZ590028 IKV590027:IKV590028 IUR590027:IUR590028 JEN590027:JEN590028 JOJ590027:JOJ590028 JYF590027:JYF590028 KIB590027:KIB590028 KRX590027:KRX590028 LBT590027:LBT590028 LLP590027:LLP590028 LVL590027:LVL590028 MFH590027:MFH590028 MPD590027:MPD590028 MYZ590027:MYZ590028 NIV590027:NIV590028 NSR590027:NSR590028 OCN590027:OCN590028 OMJ590027:OMJ590028 OWF590027:OWF590028 PGB590027:PGB590028 PPX590027:PPX590028 PZT590027:PZT590028 QJP590027:QJP590028 QTL590027:QTL590028 RDH590027:RDH590028 RND590027:RND590028 RWZ590027:RWZ590028 SGV590027:SGV590028 SQR590027:SQR590028 TAN590027:TAN590028 TKJ590027:TKJ590028 TUF590027:TUF590028 UEB590027:UEB590028 UNX590027:UNX590028 UXT590027:UXT590028 VHP590027:VHP590028 VRL590027:VRL590028 WBH590027:WBH590028 WLD590027:WLD590028 WUZ590027:WUZ590028 E655563:E655564 IN655563:IN655564 SJ655563:SJ655564 ACF655563:ACF655564 AMB655563:AMB655564 AVX655563:AVX655564 BFT655563:BFT655564 BPP655563:BPP655564 BZL655563:BZL655564 CJH655563:CJH655564 CTD655563:CTD655564 DCZ655563:DCZ655564 DMV655563:DMV655564 DWR655563:DWR655564 EGN655563:EGN655564 EQJ655563:EQJ655564 FAF655563:FAF655564 FKB655563:FKB655564 FTX655563:FTX655564 GDT655563:GDT655564 GNP655563:GNP655564 GXL655563:GXL655564 HHH655563:HHH655564 HRD655563:HRD655564 IAZ655563:IAZ655564 IKV655563:IKV655564 IUR655563:IUR655564 JEN655563:JEN655564 JOJ655563:JOJ655564 JYF655563:JYF655564 KIB655563:KIB655564 KRX655563:KRX655564 LBT655563:LBT655564 LLP655563:LLP655564 LVL655563:LVL655564 MFH655563:MFH655564 MPD655563:MPD655564 MYZ655563:MYZ655564 NIV655563:NIV655564 NSR655563:NSR655564 OCN655563:OCN655564 OMJ655563:OMJ655564 OWF655563:OWF655564 PGB655563:PGB655564 PPX655563:PPX655564 PZT655563:PZT655564 QJP655563:QJP655564 QTL655563:QTL655564 RDH655563:RDH655564 RND655563:RND655564 RWZ655563:RWZ655564 SGV655563:SGV655564 SQR655563:SQR655564 TAN655563:TAN655564 TKJ655563:TKJ655564 TUF655563:TUF655564 UEB655563:UEB655564 UNX655563:UNX655564 UXT655563:UXT655564 VHP655563:VHP655564 VRL655563:VRL655564 WBH655563:WBH655564 WLD655563:WLD655564 WUZ655563:WUZ655564 E721099:E721100 IN721099:IN721100 SJ721099:SJ721100 ACF721099:ACF721100 AMB721099:AMB721100 AVX721099:AVX721100 BFT721099:BFT721100 BPP721099:BPP721100 BZL721099:BZL721100 CJH721099:CJH721100 CTD721099:CTD721100 DCZ721099:DCZ721100 DMV721099:DMV721100 DWR721099:DWR721100 EGN721099:EGN721100 EQJ721099:EQJ721100 FAF721099:FAF721100 FKB721099:FKB721100 FTX721099:FTX721100 GDT721099:GDT721100 GNP721099:GNP721100 GXL721099:GXL721100 HHH721099:HHH721100 HRD721099:HRD721100 IAZ721099:IAZ721100 IKV721099:IKV721100 IUR721099:IUR721100 JEN721099:JEN721100 JOJ721099:JOJ721100 JYF721099:JYF721100 KIB721099:KIB721100 KRX721099:KRX721100 LBT721099:LBT721100 LLP721099:LLP721100 LVL721099:LVL721100 MFH721099:MFH721100 MPD721099:MPD721100 MYZ721099:MYZ721100 NIV721099:NIV721100 NSR721099:NSR721100 OCN721099:OCN721100 OMJ721099:OMJ721100 OWF721099:OWF721100 PGB721099:PGB721100 PPX721099:PPX721100 PZT721099:PZT721100 QJP721099:QJP721100 QTL721099:QTL721100 RDH721099:RDH721100 RND721099:RND721100 RWZ721099:RWZ721100 SGV721099:SGV721100 SQR721099:SQR721100 TAN721099:TAN721100 TKJ721099:TKJ721100 TUF721099:TUF721100 UEB721099:UEB721100 UNX721099:UNX721100 UXT721099:UXT721100 VHP721099:VHP721100 VRL721099:VRL721100 WBH721099:WBH721100 WLD721099:WLD721100 WUZ721099:WUZ721100 E786635:E786636 IN786635:IN786636 SJ786635:SJ786636 ACF786635:ACF786636 AMB786635:AMB786636 AVX786635:AVX786636 BFT786635:BFT786636 BPP786635:BPP786636 BZL786635:BZL786636 CJH786635:CJH786636 CTD786635:CTD786636 DCZ786635:DCZ786636 DMV786635:DMV786636 DWR786635:DWR786636 EGN786635:EGN786636 EQJ786635:EQJ786636 FAF786635:FAF786636 FKB786635:FKB786636 FTX786635:FTX786636 GDT786635:GDT786636 GNP786635:GNP786636 GXL786635:GXL786636 HHH786635:HHH786636 HRD786635:HRD786636 IAZ786635:IAZ786636 IKV786635:IKV786636 IUR786635:IUR786636 JEN786635:JEN786636 JOJ786635:JOJ786636 JYF786635:JYF786636 KIB786635:KIB786636 KRX786635:KRX786636 LBT786635:LBT786636 LLP786635:LLP786636 LVL786635:LVL786636 MFH786635:MFH786636 MPD786635:MPD786636 MYZ786635:MYZ786636 NIV786635:NIV786636 NSR786635:NSR786636 OCN786635:OCN786636 OMJ786635:OMJ786636 OWF786635:OWF786636 PGB786635:PGB786636 PPX786635:PPX786636 PZT786635:PZT786636 QJP786635:QJP786636 QTL786635:QTL786636 RDH786635:RDH786636 RND786635:RND786636 RWZ786635:RWZ786636 SGV786635:SGV786636 SQR786635:SQR786636 TAN786635:TAN786636 TKJ786635:TKJ786636 TUF786635:TUF786636 UEB786635:UEB786636 UNX786635:UNX786636 UXT786635:UXT786636 VHP786635:VHP786636 VRL786635:VRL786636 WBH786635:WBH786636 WLD786635:WLD786636 WUZ786635:WUZ786636 E852171:E852172 IN852171:IN852172 SJ852171:SJ852172 ACF852171:ACF852172 AMB852171:AMB852172 AVX852171:AVX852172 BFT852171:BFT852172 BPP852171:BPP852172 BZL852171:BZL852172 CJH852171:CJH852172 CTD852171:CTD852172 DCZ852171:DCZ852172 DMV852171:DMV852172 DWR852171:DWR852172 EGN852171:EGN852172 EQJ852171:EQJ852172 FAF852171:FAF852172 FKB852171:FKB852172 FTX852171:FTX852172 GDT852171:GDT852172 GNP852171:GNP852172 GXL852171:GXL852172 HHH852171:HHH852172 HRD852171:HRD852172 IAZ852171:IAZ852172 IKV852171:IKV852172 IUR852171:IUR852172 JEN852171:JEN852172 JOJ852171:JOJ852172 JYF852171:JYF852172 KIB852171:KIB852172 KRX852171:KRX852172 LBT852171:LBT852172 LLP852171:LLP852172 LVL852171:LVL852172 MFH852171:MFH852172 MPD852171:MPD852172 MYZ852171:MYZ852172 NIV852171:NIV852172 NSR852171:NSR852172 OCN852171:OCN852172 OMJ852171:OMJ852172 OWF852171:OWF852172 PGB852171:PGB852172 PPX852171:PPX852172 PZT852171:PZT852172 QJP852171:QJP852172 QTL852171:QTL852172 RDH852171:RDH852172 RND852171:RND852172 RWZ852171:RWZ852172 SGV852171:SGV852172 SQR852171:SQR852172 TAN852171:TAN852172 TKJ852171:TKJ852172 TUF852171:TUF852172 UEB852171:UEB852172 UNX852171:UNX852172 UXT852171:UXT852172 VHP852171:VHP852172 VRL852171:VRL852172 WBH852171:WBH852172 WLD852171:WLD852172 WUZ852171:WUZ852172 E917707:E917708 IN917707:IN917708 SJ917707:SJ917708 ACF917707:ACF917708 AMB917707:AMB917708 AVX917707:AVX917708 BFT917707:BFT917708 BPP917707:BPP917708 BZL917707:BZL917708 CJH917707:CJH917708 CTD917707:CTD917708 DCZ917707:DCZ917708 DMV917707:DMV917708 DWR917707:DWR917708 EGN917707:EGN917708 EQJ917707:EQJ917708 FAF917707:FAF917708 FKB917707:FKB917708 FTX917707:FTX917708 GDT917707:GDT917708 GNP917707:GNP917708 GXL917707:GXL917708 HHH917707:HHH917708 HRD917707:HRD917708 IAZ917707:IAZ917708 IKV917707:IKV917708 IUR917707:IUR917708 JEN917707:JEN917708 JOJ917707:JOJ917708 JYF917707:JYF917708 KIB917707:KIB917708 KRX917707:KRX917708 LBT917707:LBT917708 LLP917707:LLP917708 LVL917707:LVL917708 MFH917707:MFH917708 MPD917707:MPD917708 MYZ917707:MYZ917708 NIV917707:NIV917708 NSR917707:NSR917708 OCN917707:OCN917708 OMJ917707:OMJ917708 OWF917707:OWF917708 PGB917707:PGB917708 PPX917707:PPX917708 PZT917707:PZT917708 QJP917707:QJP917708 QTL917707:QTL917708 RDH917707:RDH917708 RND917707:RND917708 RWZ917707:RWZ917708 SGV917707:SGV917708 SQR917707:SQR917708 TAN917707:TAN917708 TKJ917707:TKJ917708 TUF917707:TUF917708 UEB917707:UEB917708 UNX917707:UNX917708 UXT917707:UXT917708 VHP917707:VHP917708 VRL917707:VRL917708 WBH917707:WBH917708 WLD917707:WLD917708 WUZ917707:WUZ917708 E983243:E983244 IN983243:IN983244 SJ983243:SJ983244 ACF983243:ACF983244 AMB983243:AMB983244 AVX983243:AVX983244 BFT983243:BFT983244 BPP983243:BPP983244 BZL983243:BZL983244 CJH983243:CJH983244 CTD983243:CTD983244 DCZ983243:DCZ983244 DMV983243:DMV983244 DWR983243:DWR983244 EGN983243:EGN983244 EQJ983243:EQJ983244 FAF983243:FAF983244 FKB983243:FKB983244 FTX983243:FTX983244 GDT983243:GDT983244 GNP983243:GNP983244 GXL983243:GXL983244 HHH983243:HHH983244 HRD983243:HRD983244 IAZ983243:IAZ983244 IKV983243:IKV983244 IUR983243:IUR983244 JEN983243:JEN983244 JOJ983243:JOJ983244 JYF983243:JYF983244 KIB983243:KIB983244 KRX983243:KRX983244 LBT983243:LBT983244 LLP983243:LLP983244 LVL983243:LVL983244 MFH983243:MFH983244 MPD983243:MPD983244 MYZ983243:MYZ983244 NIV983243:NIV983244 NSR983243:NSR983244 OCN983243:OCN983244 OMJ983243:OMJ983244 OWF983243:OWF983244 PGB983243:PGB983244 PPX983243:PPX983244 PZT983243:PZT983244 QJP983243:QJP983244 QTL983243:QTL983244 RDH983243:RDH983244 RND983243:RND983244 RWZ983243:RWZ983244 SGV983243:SGV983244 SQR983243:SQR983244 TAN983243:TAN983244 TKJ983243:TKJ983244 TUF983243:TUF983244 UEB983243:UEB983244 UNX983243:UNX983244 UXT983243:UXT983244 VHP983243:VHP983244 VRL983243:VRL983244 WBH983243:WBH983244 WLD983243:WLD983244 WUZ983243:WUZ983244 E37 E47:E48 E26:E32"/>
    <dataValidation type="list" allowBlank="1" showInputMessage="1" showErrorMessage="1" errorTitle="Too Many layers" error="This tool can only calculate up to 8 Layers." sqref="D23 IM23 SI23 ACE23 AMA23 AVW23 BFS23 BPO23 BZK23 CJG23 CTC23 DCY23 DMU23 DWQ23 EGM23 EQI23 FAE23 FKA23 FTW23 GDS23 GNO23 GXK23 HHG23 HRC23 IAY23 IKU23 IUQ23 JEM23 JOI23 JYE23 KIA23 KRW23 LBS23 LLO23 LVK23 MFG23 MPC23 MYY23 NIU23 NSQ23 OCM23 OMI23 OWE23 PGA23 PPW23 PZS23 QJO23 QTK23 RDG23 RNC23 RWY23 SGU23 SQQ23 TAM23 TKI23 TUE23 UEA23 UNW23 UXS23 VHO23 VRK23 WBG23 WLC23 WUY23 D65717 IM65717 SI65717 ACE65717 AMA65717 AVW65717 BFS65717 BPO65717 BZK65717 CJG65717 CTC65717 DCY65717 DMU65717 DWQ65717 EGM65717 EQI65717 FAE65717 FKA65717 FTW65717 GDS65717 GNO65717 GXK65717 HHG65717 HRC65717 IAY65717 IKU65717 IUQ65717 JEM65717 JOI65717 JYE65717 KIA65717 KRW65717 LBS65717 LLO65717 LVK65717 MFG65717 MPC65717 MYY65717 NIU65717 NSQ65717 OCM65717 OMI65717 OWE65717 PGA65717 PPW65717 PZS65717 QJO65717 QTK65717 RDG65717 RNC65717 RWY65717 SGU65717 SQQ65717 TAM65717 TKI65717 TUE65717 UEA65717 UNW65717 UXS65717 VHO65717 VRK65717 WBG65717 WLC65717 WUY65717 D131253 IM131253 SI131253 ACE131253 AMA131253 AVW131253 BFS131253 BPO131253 BZK131253 CJG131253 CTC131253 DCY131253 DMU131253 DWQ131253 EGM131253 EQI131253 FAE131253 FKA131253 FTW131253 GDS131253 GNO131253 GXK131253 HHG131253 HRC131253 IAY131253 IKU131253 IUQ131253 JEM131253 JOI131253 JYE131253 KIA131253 KRW131253 LBS131253 LLO131253 LVK131253 MFG131253 MPC131253 MYY131253 NIU131253 NSQ131253 OCM131253 OMI131253 OWE131253 PGA131253 PPW131253 PZS131253 QJO131253 QTK131253 RDG131253 RNC131253 RWY131253 SGU131253 SQQ131253 TAM131253 TKI131253 TUE131253 UEA131253 UNW131253 UXS131253 VHO131253 VRK131253 WBG131253 WLC131253 WUY131253 D196789 IM196789 SI196789 ACE196789 AMA196789 AVW196789 BFS196789 BPO196789 BZK196789 CJG196789 CTC196789 DCY196789 DMU196789 DWQ196789 EGM196789 EQI196789 FAE196789 FKA196789 FTW196789 GDS196789 GNO196789 GXK196789 HHG196789 HRC196789 IAY196789 IKU196789 IUQ196789 JEM196789 JOI196789 JYE196789 KIA196789 KRW196789 LBS196789 LLO196789 LVK196789 MFG196789 MPC196789 MYY196789 NIU196789 NSQ196789 OCM196789 OMI196789 OWE196789 PGA196789 PPW196789 PZS196789 QJO196789 QTK196789 RDG196789 RNC196789 RWY196789 SGU196789 SQQ196789 TAM196789 TKI196789 TUE196789 UEA196789 UNW196789 UXS196789 VHO196789 VRK196789 WBG196789 WLC196789 WUY196789 D262325 IM262325 SI262325 ACE262325 AMA262325 AVW262325 BFS262325 BPO262325 BZK262325 CJG262325 CTC262325 DCY262325 DMU262325 DWQ262325 EGM262325 EQI262325 FAE262325 FKA262325 FTW262325 GDS262325 GNO262325 GXK262325 HHG262325 HRC262325 IAY262325 IKU262325 IUQ262325 JEM262325 JOI262325 JYE262325 KIA262325 KRW262325 LBS262325 LLO262325 LVK262325 MFG262325 MPC262325 MYY262325 NIU262325 NSQ262325 OCM262325 OMI262325 OWE262325 PGA262325 PPW262325 PZS262325 QJO262325 QTK262325 RDG262325 RNC262325 RWY262325 SGU262325 SQQ262325 TAM262325 TKI262325 TUE262325 UEA262325 UNW262325 UXS262325 VHO262325 VRK262325 WBG262325 WLC262325 WUY262325 D327861 IM327861 SI327861 ACE327861 AMA327861 AVW327861 BFS327861 BPO327861 BZK327861 CJG327861 CTC327861 DCY327861 DMU327861 DWQ327861 EGM327861 EQI327861 FAE327861 FKA327861 FTW327861 GDS327861 GNO327861 GXK327861 HHG327861 HRC327861 IAY327861 IKU327861 IUQ327861 JEM327861 JOI327861 JYE327861 KIA327861 KRW327861 LBS327861 LLO327861 LVK327861 MFG327861 MPC327861 MYY327861 NIU327861 NSQ327861 OCM327861 OMI327861 OWE327861 PGA327861 PPW327861 PZS327861 QJO327861 QTK327861 RDG327861 RNC327861 RWY327861 SGU327861 SQQ327861 TAM327861 TKI327861 TUE327861 UEA327861 UNW327861 UXS327861 VHO327861 VRK327861 WBG327861 WLC327861 WUY327861 D393397 IM393397 SI393397 ACE393397 AMA393397 AVW393397 BFS393397 BPO393397 BZK393397 CJG393397 CTC393397 DCY393397 DMU393397 DWQ393397 EGM393397 EQI393397 FAE393397 FKA393397 FTW393397 GDS393397 GNO393397 GXK393397 HHG393397 HRC393397 IAY393397 IKU393397 IUQ393397 JEM393397 JOI393397 JYE393397 KIA393397 KRW393397 LBS393397 LLO393397 LVK393397 MFG393397 MPC393397 MYY393397 NIU393397 NSQ393397 OCM393397 OMI393397 OWE393397 PGA393397 PPW393397 PZS393397 QJO393397 QTK393397 RDG393397 RNC393397 RWY393397 SGU393397 SQQ393397 TAM393397 TKI393397 TUE393397 UEA393397 UNW393397 UXS393397 VHO393397 VRK393397 WBG393397 WLC393397 WUY393397 D458933 IM458933 SI458933 ACE458933 AMA458933 AVW458933 BFS458933 BPO458933 BZK458933 CJG458933 CTC458933 DCY458933 DMU458933 DWQ458933 EGM458933 EQI458933 FAE458933 FKA458933 FTW458933 GDS458933 GNO458933 GXK458933 HHG458933 HRC458933 IAY458933 IKU458933 IUQ458933 JEM458933 JOI458933 JYE458933 KIA458933 KRW458933 LBS458933 LLO458933 LVK458933 MFG458933 MPC458933 MYY458933 NIU458933 NSQ458933 OCM458933 OMI458933 OWE458933 PGA458933 PPW458933 PZS458933 QJO458933 QTK458933 RDG458933 RNC458933 RWY458933 SGU458933 SQQ458933 TAM458933 TKI458933 TUE458933 UEA458933 UNW458933 UXS458933 VHO458933 VRK458933 WBG458933 WLC458933 WUY458933 D524469 IM524469 SI524469 ACE524469 AMA524469 AVW524469 BFS524469 BPO524469 BZK524469 CJG524469 CTC524469 DCY524469 DMU524469 DWQ524469 EGM524469 EQI524469 FAE524469 FKA524469 FTW524469 GDS524469 GNO524469 GXK524469 HHG524469 HRC524469 IAY524469 IKU524469 IUQ524469 JEM524469 JOI524469 JYE524469 KIA524469 KRW524469 LBS524469 LLO524469 LVK524469 MFG524469 MPC524469 MYY524469 NIU524469 NSQ524469 OCM524469 OMI524469 OWE524469 PGA524469 PPW524469 PZS524469 QJO524469 QTK524469 RDG524469 RNC524469 RWY524469 SGU524469 SQQ524469 TAM524469 TKI524469 TUE524469 UEA524469 UNW524469 UXS524469 VHO524469 VRK524469 WBG524469 WLC524469 WUY524469 D590005 IM590005 SI590005 ACE590005 AMA590005 AVW590005 BFS590005 BPO590005 BZK590005 CJG590005 CTC590005 DCY590005 DMU590005 DWQ590005 EGM590005 EQI590005 FAE590005 FKA590005 FTW590005 GDS590005 GNO590005 GXK590005 HHG590005 HRC590005 IAY590005 IKU590005 IUQ590005 JEM590005 JOI590005 JYE590005 KIA590005 KRW590005 LBS590005 LLO590005 LVK590005 MFG590005 MPC590005 MYY590005 NIU590005 NSQ590005 OCM590005 OMI590005 OWE590005 PGA590005 PPW590005 PZS590005 QJO590005 QTK590005 RDG590005 RNC590005 RWY590005 SGU590005 SQQ590005 TAM590005 TKI590005 TUE590005 UEA590005 UNW590005 UXS590005 VHO590005 VRK590005 WBG590005 WLC590005 WUY590005 D655541 IM655541 SI655541 ACE655541 AMA655541 AVW655541 BFS655541 BPO655541 BZK655541 CJG655541 CTC655541 DCY655541 DMU655541 DWQ655541 EGM655541 EQI655541 FAE655541 FKA655541 FTW655541 GDS655541 GNO655541 GXK655541 HHG655541 HRC655541 IAY655541 IKU655541 IUQ655541 JEM655541 JOI655541 JYE655541 KIA655541 KRW655541 LBS655541 LLO655541 LVK655541 MFG655541 MPC655541 MYY655541 NIU655541 NSQ655541 OCM655541 OMI655541 OWE655541 PGA655541 PPW655541 PZS655541 QJO655541 QTK655541 RDG655541 RNC655541 RWY655541 SGU655541 SQQ655541 TAM655541 TKI655541 TUE655541 UEA655541 UNW655541 UXS655541 VHO655541 VRK655541 WBG655541 WLC655541 WUY655541 D721077 IM721077 SI721077 ACE721077 AMA721077 AVW721077 BFS721077 BPO721077 BZK721077 CJG721077 CTC721077 DCY721077 DMU721077 DWQ721077 EGM721077 EQI721077 FAE721077 FKA721077 FTW721077 GDS721077 GNO721077 GXK721077 HHG721077 HRC721077 IAY721077 IKU721077 IUQ721077 JEM721077 JOI721077 JYE721077 KIA721077 KRW721077 LBS721077 LLO721077 LVK721077 MFG721077 MPC721077 MYY721077 NIU721077 NSQ721077 OCM721077 OMI721077 OWE721077 PGA721077 PPW721077 PZS721077 QJO721077 QTK721077 RDG721077 RNC721077 RWY721077 SGU721077 SQQ721077 TAM721077 TKI721077 TUE721077 UEA721077 UNW721077 UXS721077 VHO721077 VRK721077 WBG721077 WLC721077 WUY721077 D786613 IM786613 SI786613 ACE786613 AMA786613 AVW786613 BFS786613 BPO786613 BZK786613 CJG786613 CTC786613 DCY786613 DMU786613 DWQ786613 EGM786613 EQI786613 FAE786613 FKA786613 FTW786613 GDS786613 GNO786613 GXK786613 HHG786613 HRC786613 IAY786613 IKU786613 IUQ786613 JEM786613 JOI786613 JYE786613 KIA786613 KRW786613 LBS786613 LLO786613 LVK786613 MFG786613 MPC786613 MYY786613 NIU786613 NSQ786613 OCM786613 OMI786613 OWE786613 PGA786613 PPW786613 PZS786613 QJO786613 QTK786613 RDG786613 RNC786613 RWY786613 SGU786613 SQQ786613 TAM786613 TKI786613 TUE786613 UEA786613 UNW786613 UXS786613 VHO786613 VRK786613 WBG786613 WLC786613 WUY786613 D852149 IM852149 SI852149 ACE852149 AMA852149 AVW852149 BFS852149 BPO852149 BZK852149 CJG852149 CTC852149 DCY852149 DMU852149 DWQ852149 EGM852149 EQI852149 FAE852149 FKA852149 FTW852149 GDS852149 GNO852149 GXK852149 HHG852149 HRC852149 IAY852149 IKU852149 IUQ852149 JEM852149 JOI852149 JYE852149 KIA852149 KRW852149 LBS852149 LLO852149 LVK852149 MFG852149 MPC852149 MYY852149 NIU852149 NSQ852149 OCM852149 OMI852149 OWE852149 PGA852149 PPW852149 PZS852149 QJO852149 QTK852149 RDG852149 RNC852149 RWY852149 SGU852149 SQQ852149 TAM852149 TKI852149 TUE852149 UEA852149 UNW852149 UXS852149 VHO852149 VRK852149 WBG852149 WLC852149 WUY852149 D917685 IM917685 SI917685 ACE917685 AMA917685 AVW917685 BFS917685 BPO917685 BZK917685 CJG917685 CTC917685 DCY917685 DMU917685 DWQ917685 EGM917685 EQI917685 FAE917685 FKA917685 FTW917685 GDS917685 GNO917685 GXK917685 HHG917685 HRC917685 IAY917685 IKU917685 IUQ917685 JEM917685 JOI917685 JYE917685 KIA917685 KRW917685 LBS917685 LLO917685 LVK917685 MFG917685 MPC917685 MYY917685 NIU917685 NSQ917685 OCM917685 OMI917685 OWE917685 PGA917685 PPW917685 PZS917685 QJO917685 QTK917685 RDG917685 RNC917685 RWY917685 SGU917685 SQQ917685 TAM917685 TKI917685 TUE917685 UEA917685 UNW917685 UXS917685 VHO917685 VRK917685 WBG917685 WLC917685 WUY917685 D983221 IM983221 SI983221 ACE983221 AMA983221 AVW983221 BFS983221 BPO983221 BZK983221 CJG983221 CTC983221 DCY983221 DMU983221 DWQ983221 EGM983221 EQI983221 FAE983221 FKA983221 FTW983221 GDS983221 GNO983221 GXK983221 HHG983221 HRC983221 IAY983221 IKU983221 IUQ983221 JEM983221 JOI983221 JYE983221 KIA983221 KRW983221 LBS983221 LLO983221 LVK983221 MFG983221 MPC983221 MYY983221 NIU983221 NSQ983221 OCM983221 OMI983221 OWE983221 PGA983221 PPW983221 PZS983221 QJO983221 QTK983221 RDG983221 RNC983221 RWY983221 SGU983221 SQQ983221 TAM983221 TKI983221 TUE983221 UEA983221 UNW983221 UXS983221 VHO983221 VRK983221 WBG983221 WLC983221 WUY983221">
      <formula1>"1,2,3,4,5,6,7,8"</formula1>
    </dataValidation>
    <dataValidation type="list" showInputMessage="1" showErrorMessage="1" sqref="WUZ983237 IN46:IN48 SJ46:SJ48 ACF46:ACF48 AMB46:AMB48 AVX46:AVX48 BFT46:BFT48 BPP46:BPP48 BZL46:BZL48 CJH46:CJH48 CTD46:CTD48 DCZ46:DCZ48 DMV46:DMV48 DWR46:DWR48 EGN46:EGN48 EQJ46:EQJ48 FAF46:FAF48 FKB46:FKB48 FTX46:FTX48 GDT46:GDT48 GNP46:GNP48 GXL46:GXL48 HHH46:HHH48 HRD46:HRD48 IAZ46:IAZ48 IKV46:IKV48 IUR46:IUR48 JEN46:JEN48 JOJ46:JOJ48 JYF46:JYF48 KIB46:KIB48 KRX46:KRX48 LBT46:LBT48 LLP46:LLP48 LVL46:LVL48 MFH46:MFH48 MPD46:MPD48 MYZ46:MYZ48 NIV46:NIV48 NSR46:NSR48 OCN46:OCN48 OMJ46:OMJ48 OWF46:OWF48 PGB46:PGB48 PPX46:PPX48 PZT46:PZT48 QJP46:QJP48 QTL46:QTL48 RDH46:RDH48 RND46:RND48 RWZ46:RWZ48 SGV46:SGV48 SQR46:SQR48 TAN46:TAN48 TKJ46:TKJ48 TUF46:TUF48 UEB46:UEB48 UNX46:UNX48 UXT46:UXT48 VHP46:VHP48 VRL46:VRL48 WBH46:WBH48 WLD46:WLD48 WUZ46:WUZ48 E65733 IN65733 SJ65733 ACF65733 AMB65733 AVX65733 BFT65733 BPP65733 BZL65733 CJH65733 CTD65733 DCZ65733 DMV65733 DWR65733 EGN65733 EQJ65733 FAF65733 FKB65733 FTX65733 GDT65733 GNP65733 GXL65733 HHH65733 HRD65733 IAZ65733 IKV65733 IUR65733 JEN65733 JOJ65733 JYF65733 KIB65733 KRX65733 LBT65733 LLP65733 LVL65733 MFH65733 MPD65733 MYZ65733 NIV65733 NSR65733 OCN65733 OMJ65733 OWF65733 PGB65733 PPX65733 PZT65733 QJP65733 QTL65733 RDH65733 RND65733 RWZ65733 SGV65733 SQR65733 TAN65733 TKJ65733 TUF65733 UEB65733 UNX65733 UXT65733 VHP65733 VRL65733 WBH65733 WLD65733 WUZ65733 E131269 IN131269 SJ131269 ACF131269 AMB131269 AVX131269 BFT131269 BPP131269 BZL131269 CJH131269 CTD131269 DCZ131269 DMV131269 DWR131269 EGN131269 EQJ131269 FAF131269 FKB131269 FTX131269 GDT131269 GNP131269 GXL131269 HHH131269 HRD131269 IAZ131269 IKV131269 IUR131269 JEN131269 JOJ131269 JYF131269 KIB131269 KRX131269 LBT131269 LLP131269 LVL131269 MFH131269 MPD131269 MYZ131269 NIV131269 NSR131269 OCN131269 OMJ131269 OWF131269 PGB131269 PPX131269 PZT131269 QJP131269 QTL131269 RDH131269 RND131269 RWZ131269 SGV131269 SQR131269 TAN131269 TKJ131269 TUF131269 UEB131269 UNX131269 UXT131269 VHP131269 VRL131269 WBH131269 WLD131269 WUZ131269 E196805 IN196805 SJ196805 ACF196805 AMB196805 AVX196805 BFT196805 BPP196805 BZL196805 CJH196805 CTD196805 DCZ196805 DMV196805 DWR196805 EGN196805 EQJ196805 FAF196805 FKB196805 FTX196805 GDT196805 GNP196805 GXL196805 HHH196805 HRD196805 IAZ196805 IKV196805 IUR196805 JEN196805 JOJ196805 JYF196805 KIB196805 KRX196805 LBT196805 LLP196805 LVL196805 MFH196805 MPD196805 MYZ196805 NIV196805 NSR196805 OCN196805 OMJ196805 OWF196805 PGB196805 PPX196805 PZT196805 QJP196805 QTL196805 RDH196805 RND196805 RWZ196805 SGV196805 SQR196805 TAN196805 TKJ196805 TUF196805 UEB196805 UNX196805 UXT196805 VHP196805 VRL196805 WBH196805 WLD196805 WUZ196805 E262341 IN262341 SJ262341 ACF262341 AMB262341 AVX262341 BFT262341 BPP262341 BZL262341 CJH262341 CTD262341 DCZ262341 DMV262341 DWR262341 EGN262341 EQJ262341 FAF262341 FKB262341 FTX262341 GDT262341 GNP262341 GXL262341 HHH262341 HRD262341 IAZ262341 IKV262341 IUR262341 JEN262341 JOJ262341 JYF262341 KIB262341 KRX262341 LBT262341 LLP262341 LVL262341 MFH262341 MPD262341 MYZ262341 NIV262341 NSR262341 OCN262341 OMJ262341 OWF262341 PGB262341 PPX262341 PZT262341 QJP262341 QTL262341 RDH262341 RND262341 RWZ262341 SGV262341 SQR262341 TAN262341 TKJ262341 TUF262341 UEB262341 UNX262341 UXT262341 VHP262341 VRL262341 WBH262341 WLD262341 WUZ262341 E327877 IN327877 SJ327877 ACF327877 AMB327877 AVX327877 BFT327877 BPP327877 BZL327877 CJH327877 CTD327877 DCZ327877 DMV327877 DWR327877 EGN327877 EQJ327877 FAF327877 FKB327877 FTX327877 GDT327877 GNP327877 GXL327877 HHH327877 HRD327877 IAZ327877 IKV327877 IUR327877 JEN327877 JOJ327877 JYF327877 KIB327877 KRX327877 LBT327877 LLP327877 LVL327877 MFH327877 MPD327877 MYZ327877 NIV327877 NSR327877 OCN327877 OMJ327877 OWF327877 PGB327877 PPX327877 PZT327877 QJP327877 QTL327877 RDH327877 RND327877 RWZ327877 SGV327877 SQR327877 TAN327877 TKJ327877 TUF327877 UEB327877 UNX327877 UXT327877 VHP327877 VRL327877 WBH327877 WLD327877 WUZ327877 E393413 IN393413 SJ393413 ACF393413 AMB393413 AVX393413 BFT393413 BPP393413 BZL393413 CJH393413 CTD393413 DCZ393413 DMV393413 DWR393413 EGN393413 EQJ393413 FAF393413 FKB393413 FTX393413 GDT393413 GNP393413 GXL393413 HHH393413 HRD393413 IAZ393413 IKV393413 IUR393413 JEN393413 JOJ393413 JYF393413 KIB393413 KRX393413 LBT393413 LLP393413 LVL393413 MFH393413 MPD393413 MYZ393413 NIV393413 NSR393413 OCN393413 OMJ393413 OWF393413 PGB393413 PPX393413 PZT393413 QJP393413 QTL393413 RDH393413 RND393413 RWZ393413 SGV393413 SQR393413 TAN393413 TKJ393413 TUF393413 UEB393413 UNX393413 UXT393413 VHP393413 VRL393413 WBH393413 WLD393413 WUZ393413 E458949 IN458949 SJ458949 ACF458949 AMB458949 AVX458949 BFT458949 BPP458949 BZL458949 CJH458949 CTD458949 DCZ458949 DMV458949 DWR458949 EGN458949 EQJ458949 FAF458949 FKB458949 FTX458949 GDT458949 GNP458949 GXL458949 HHH458949 HRD458949 IAZ458949 IKV458949 IUR458949 JEN458949 JOJ458949 JYF458949 KIB458949 KRX458949 LBT458949 LLP458949 LVL458949 MFH458949 MPD458949 MYZ458949 NIV458949 NSR458949 OCN458949 OMJ458949 OWF458949 PGB458949 PPX458949 PZT458949 QJP458949 QTL458949 RDH458949 RND458949 RWZ458949 SGV458949 SQR458949 TAN458949 TKJ458949 TUF458949 UEB458949 UNX458949 UXT458949 VHP458949 VRL458949 WBH458949 WLD458949 WUZ458949 E524485 IN524485 SJ524485 ACF524485 AMB524485 AVX524485 BFT524485 BPP524485 BZL524485 CJH524485 CTD524485 DCZ524485 DMV524485 DWR524485 EGN524485 EQJ524485 FAF524485 FKB524485 FTX524485 GDT524485 GNP524485 GXL524485 HHH524485 HRD524485 IAZ524485 IKV524485 IUR524485 JEN524485 JOJ524485 JYF524485 KIB524485 KRX524485 LBT524485 LLP524485 LVL524485 MFH524485 MPD524485 MYZ524485 NIV524485 NSR524485 OCN524485 OMJ524485 OWF524485 PGB524485 PPX524485 PZT524485 QJP524485 QTL524485 RDH524485 RND524485 RWZ524485 SGV524485 SQR524485 TAN524485 TKJ524485 TUF524485 UEB524485 UNX524485 UXT524485 VHP524485 VRL524485 WBH524485 WLD524485 WUZ524485 E590021 IN590021 SJ590021 ACF590021 AMB590021 AVX590021 BFT590021 BPP590021 BZL590021 CJH590021 CTD590021 DCZ590021 DMV590021 DWR590021 EGN590021 EQJ590021 FAF590021 FKB590021 FTX590021 GDT590021 GNP590021 GXL590021 HHH590021 HRD590021 IAZ590021 IKV590021 IUR590021 JEN590021 JOJ590021 JYF590021 KIB590021 KRX590021 LBT590021 LLP590021 LVL590021 MFH590021 MPD590021 MYZ590021 NIV590021 NSR590021 OCN590021 OMJ590021 OWF590021 PGB590021 PPX590021 PZT590021 QJP590021 QTL590021 RDH590021 RND590021 RWZ590021 SGV590021 SQR590021 TAN590021 TKJ590021 TUF590021 UEB590021 UNX590021 UXT590021 VHP590021 VRL590021 WBH590021 WLD590021 WUZ590021 E655557 IN655557 SJ655557 ACF655557 AMB655557 AVX655557 BFT655557 BPP655557 BZL655557 CJH655557 CTD655557 DCZ655557 DMV655557 DWR655557 EGN655557 EQJ655557 FAF655557 FKB655557 FTX655557 GDT655557 GNP655557 GXL655557 HHH655557 HRD655557 IAZ655557 IKV655557 IUR655557 JEN655557 JOJ655557 JYF655557 KIB655557 KRX655557 LBT655557 LLP655557 LVL655557 MFH655557 MPD655557 MYZ655557 NIV655557 NSR655557 OCN655557 OMJ655557 OWF655557 PGB655557 PPX655557 PZT655557 QJP655557 QTL655557 RDH655557 RND655557 RWZ655557 SGV655557 SQR655557 TAN655557 TKJ655557 TUF655557 UEB655557 UNX655557 UXT655557 VHP655557 VRL655557 WBH655557 WLD655557 WUZ655557 E721093 IN721093 SJ721093 ACF721093 AMB721093 AVX721093 BFT721093 BPP721093 BZL721093 CJH721093 CTD721093 DCZ721093 DMV721093 DWR721093 EGN721093 EQJ721093 FAF721093 FKB721093 FTX721093 GDT721093 GNP721093 GXL721093 HHH721093 HRD721093 IAZ721093 IKV721093 IUR721093 JEN721093 JOJ721093 JYF721093 KIB721093 KRX721093 LBT721093 LLP721093 LVL721093 MFH721093 MPD721093 MYZ721093 NIV721093 NSR721093 OCN721093 OMJ721093 OWF721093 PGB721093 PPX721093 PZT721093 QJP721093 QTL721093 RDH721093 RND721093 RWZ721093 SGV721093 SQR721093 TAN721093 TKJ721093 TUF721093 UEB721093 UNX721093 UXT721093 VHP721093 VRL721093 WBH721093 WLD721093 WUZ721093 E786629 IN786629 SJ786629 ACF786629 AMB786629 AVX786629 BFT786629 BPP786629 BZL786629 CJH786629 CTD786629 DCZ786629 DMV786629 DWR786629 EGN786629 EQJ786629 FAF786629 FKB786629 FTX786629 GDT786629 GNP786629 GXL786629 HHH786629 HRD786629 IAZ786629 IKV786629 IUR786629 JEN786629 JOJ786629 JYF786629 KIB786629 KRX786629 LBT786629 LLP786629 LVL786629 MFH786629 MPD786629 MYZ786629 NIV786629 NSR786629 OCN786629 OMJ786629 OWF786629 PGB786629 PPX786629 PZT786629 QJP786629 QTL786629 RDH786629 RND786629 RWZ786629 SGV786629 SQR786629 TAN786629 TKJ786629 TUF786629 UEB786629 UNX786629 UXT786629 VHP786629 VRL786629 WBH786629 WLD786629 WUZ786629 E852165 IN852165 SJ852165 ACF852165 AMB852165 AVX852165 BFT852165 BPP852165 BZL852165 CJH852165 CTD852165 DCZ852165 DMV852165 DWR852165 EGN852165 EQJ852165 FAF852165 FKB852165 FTX852165 GDT852165 GNP852165 GXL852165 HHH852165 HRD852165 IAZ852165 IKV852165 IUR852165 JEN852165 JOJ852165 JYF852165 KIB852165 KRX852165 LBT852165 LLP852165 LVL852165 MFH852165 MPD852165 MYZ852165 NIV852165 NSR852165 OCN852165 OMJ852165 OWF852165 PGB852165 PPX852165 PZT852165 QJP852165 QTL852165 RDH852165 RND852165 RWZ852165 SGV852165 SQR852165 TAN852165 TKJ852165 TUF852165 UEB852165 UNX852165 UXT852165 VHP852165 VRL852165 WBH852165 WLD852165 WUZ852165 E917701 IN917701 SJ917701 ACF917701 AMB917701 AVX917701 BFT917701 BPP917701 BZL917701 CJH917701 CTD917701 DCZ917701 DMV917701 DWR917701 EGN917701 EQJ917701 FAF917701 FKB917701 FTX917701 GDT917701 GNP917701 GXL917701 HHH917701 HRD917701 IAZ917701 IKV917701 IUR917701 JEN917701 JOJ917701 JYF917701 KIB917701 KRX917701 LBT917701 LLP917701 LVL917701 MFH917701 MPD917701 MYZ917701 NIV917701 NSR917701 OCN917701 OMJ917701 OWF917701 PGB917701 PPX917701 PZT917701 QJP917701 QTL917701 RDH917701 RND917701 RWZ917701 SGV917701 SQR917701 TAN917701 TKJ917701 TUF917701 UEB917701 UNX917701 UXT917701 VHP917701 VRL917701 WBH917701 WLD917701 WUZ917701 E983237 IN983237 SJ983237 ACF983237 AMB983237 AVX983237 BFT983237 BPP983237 BZL983237 CJH983237 CTD983237 DCZ983237 DMV983237 DWR983237 EGN983237 EQJ983237 FAF983237 FKB983237 FTX983237 GDT983237 GNP983237 GXL983237 HHH983237 HRD983237 IAZ983237 IKV983237 IUR983237 JEN983237 JOJ983237 JYF983237 KIB983237 KRX983237 LBT983237 LLP983237 LVL983237 MFH983237 MPD983237 MYZ983237 NIV983237 NSR983237 OCN983237 OMJ983237 OWF983237 PGB983237 PPX983237 PZT983237 QJP983237 QTL983237 RDH983237 RND983237 RWZ983237 SGV983237 SQR983237 TAN983237 TKJ983237 TUF983237 UEB983237 UNX983237 UXT983237 VHP983237 VRL983237 WBH983237 WLD983237 E46">
      <formula1>"mm,mil,oz-Cu"</formula1>
    </dataValidation>
    <dataValidation type="list" showInputMessage="1" showErrorMessage="1" sqref="E38:E45 IN59 SJ59 ACF59 AMB59 AVX59 BFT59 BPP59 BZL59 CJH59 CTD59 DCZ59 DMV59 DWR59 EGN59 EQJ59 FAF59 FKB59 FTX59 GDT59 GNP59 GXL59 HHH59 HRD59 IAZ59 IKV59 IUR59 JEN59 JOJ59 JYF59 KIB59 KRX59 LBT59 LLP59 LVL59 MFH59 MPD59 MYZ59 NIV59 NSR59 OCN59 OMJ59 OWF59 PGB59 PPX59 PZT59 QJP59 QTL59 RDH59 RND59 RWZ59 SGV59 SQR59 TAN59 TKJ59 TUF59 UEB59 UNX59 UXT59 VHP59 VRL59 WBH59 WLD59 WUZ59 E65742 IN65742 SJ65742 ACF65742 AMB65742 AVX65742 BFT65742 BPP65742 BZL65742 CJH65742 CTD65742 DCZ65742 DMV65742 DWR65742 EGN65742 EQJ65742 FAF65742 FKB65742 FTX65742 GDT65742 GNP65742 GXL65742 HHH65742 HRD65742 IAZ65742 IKV65742 IUR65742 JEN65742 JOJ65742 JYF65742 KIB65742 KRX65742 LBT65742 LLP65742 LVL65742 MFH65742 MPD65742 MYZ65742 NIV65742 NSR65742 OCN65742 OMJ65742 OWF65742 PGB65742 PPX65742 PZT65742 QJP65742 QTL65742 RDH65742 RND65742 RWZ65742 SGV65742 SQR65742 TAN65742 TKJ65742 TUF65742 UEB65742 UNX65742 UXT65742 VHP65742 VRL65742 WBH65742 WLD65742 WUZ65742 E131278 IN131278 SJ131278 ACF131278 AMB131278 AVX131278 BFT131278 BPP131278 BZL131278 CJH131278 CTD131278 DCZ131278 DMV131278 DWR131278 EGN131278 EQJ131278 FAF131278 FKB131278 FTX131278 GDT131278 GNP131278 GXL131278 HHH131278 HRD131278 IAZ131278 IKV131278 IUR131278 JEN131278 JOJ131278 JYF131278 KIB131278 KRX131278 LBT131278 LLP131278 LVL131278 MFH131278 MPD131278 MYZ131278 NIV131278 NSR131278 OCN131278 OMJ131278 OWF131278 PGB131278 PPX131278 PZT131278 QJP131278 QTL131278 RDH131278 RND131278 RWZ131278 SGV131278 SQR131278 TAN131278 TKJ131278 TUF131278 UEB131278 UNX131278 UXT131278 VHP131278 VRL131278 WBH131278 WLD131278 WUZ131278 E196814 IN196814 SJ196814 ACF196814 AMB196814 AVX196814 BFT196814 BPP196814 BZL196814 CJH196814 CTD196814 DCZ196814 DMV196814 DWR196814 EGN196814 EQJ196814 FAF196814 FKB196814 FTX196814 GDT196814 GNP196814 GXL196814 HHH196814 HRD196814 IAZ196814 IKV196814 IUR196814 JEN196814 JOJ196814 JYF196814 KIB196814 KRX196814 LBT196814 LLP196814 LVL196814 MFH196814 MPD196814 MYZ196814 NIV196814 NSR196814 OCN196814 OMJ196814 OWF196814 PGB196814 PPX196814 PZT196814 QJP196814 QTL196814 RDH196814 RND196814 RWZ196814 SGV196814 SQR196814 TAN196814 TKJ196814 TUF196814 UEB196814 UNX196814 UXT196814 VHP196814 VRL196814 WBH196814 WLD196814 WUZ196814 E262350 IN262350 SJ262350 ACF262350 AMB262350 AVX262350 BFT262350 BPP262350 BZL262350 CJH262350 CTD262350 DCZ262350 DMV262350 DWR262350 EGN262350 EQJ262350 FAF262350 FKB262350 FTX262350 GDT262350 GNP262350 GXL262350 HHH262350 HRD262350 IAZ262350 IKV262350 IUR262350 JEN262350 JOJ262350 JYF262350 KIB262350 KRX262350 LBT262350 LLP262350 LVL262350 MFH262350 MPD262350 MYZ262350 NIV262350 NSR262350 OCN262350 OMJ262350 OWF262350 PGB262350 PPX262350 PZT262350 QJP262350 QTL262350 RDH262350 RND262350 RWZ262350 SGV262350 SQR262350 TAN262350 TKJ262350 TUF262350 UEB262350 UNX262350 UXT262350 VHP262350 VRL262350 WBH262350 WLD262350 WUZ262350 E327886 IN327886 SJ327886 ACF327886 AMB327886 AVX327886 BFT327886 BPP327886 BZL327886 CJH327886 CTD327886 DCZ327886 DMV327886 DWR327886 EGN327886 EQJ327886 FAF327886 FKB327886 FTX327886 GDT327886 GNP327886 GXL327886 HHH327886 HRD327886 IAZ327886 IKV327886 IUR327886 JEN327886 JOJ327886 JYF327886 KIB327886 KRX327886 LBT327886 LLP327886 LVL327886 MFH327886 MPD327886 MYZ327886 NIV327886 NSR327886 OCN327886 OMJ327886 OWF327886 PGB327886 PPX327886 PZT327886 QJP327886 QTL327886 RDH327886 RND327886 RWZ327886 SGV327886 SQR327886 TAN327886 TKJ327886 TUF327886 UEB327886 UNX327886 UXT327886 VHP327886 VRL327886 WBH327886 WLD327886 WUZ327886 E393422 IN393422 SJ393422 ACF393422 AMB393422 AVX393422 BFT393422 BPP393422 BZL393422 CJH393422 CTD393422 DCZ393422 DMV393422 DWR393422 EGN393422 EQJ393422 FAF393422 FKB393422 FTX393422 GDT393422 GNP393422 GXL393422 HHH393422 HRD393422 IAZ393422 IKV393422 IUR393422 JEN393422 JOJ393422 JYF393422 KIB393422 KRX393422 LBT393422 LLP393422 LVL393422 MFH393422 MPD393422 MYZ393422 NIV393422 NSR393422 OCN393422 OMJ393422 OWF393422 PGB393422 PPX393422 PZT393422 QJP393422 QTL393422 RDH393422 RND393422 RWZ393422 SGV393422 SQR393422 TAN393422 TKJ393422 TUF393422 UEB393422 UNX393422 UXT393422 VHP393422 VRL393422 WBH393422 WLD393422 WUZ393422 E458958 IN458958 SJ458958 ACF458958 AMB458958 AVX458958 BFT458958 BPP458958 BZL458958 CJH458958 CTD458958 DCZ458958 DMV458958 DWR458958 EGN458958 EQJ458958 FAF458958 FKB458958 FTX458958 GDT458958 GNP458958 GXL458958 HHH458958 HRD458958 IAZ458958 IKV458958 IUR458958 JEN458958 JOJ458958 JYF458958 KIB458958 KRX458958 LBT458958 LLP458958 LVL458958 MFH458958 MPD458958 MYZ458958 NIV458958 NSR458958 OCN458958 OMJ458958 OWF458958 PGB458958 PPX458958 PZT458958 QJP458958 QTL458958 RDH458958 RND458958 RWZ458958 SGV458958 SQR458958 TAN458958 TKJ458958 TUF458958 UEB458958 UNX458958 UXT458958 VHP458958 VRL458958 WBH458958 WLD458958 WUZ458958 E524494 IN524494 SJ524494 ACF524494 AMB524494 AVX524494 BFT524494 BPP524494 BZL524494 CJH524494 CTD524494 DCZ524494 DMV524494 DWR524494 EGN524494 EQJ524494 FAF524494 FKB524494 FTX524494 GDT524494 GNP524494 GXL524494 HHH524494 HRD524494 IAZ524494 IKV524494 IUR524494 JEN524494 JOJ524494 JYF524494 KIB524494 KRX524494 LBT524494 LLP524494 LVL524494 MFH524494 MPD524494 MYZ524494 NIV524494 NSR524494 OCN524494 OMJ524494 OWF524494 PGB524494 PPX524494 PZT524494 QJP524494 QTL524494 RDH524494 RND524494 RWZ524494 SGV524494 SQR524494 TAN524494 TKJ524494 TUF524494 UEB524494 UNX524494 UXT524494 VHP524494 VRL524494 WBH524494 WLD524494 WUZ524494 E590030 IN590030 SJ590030 ACF590030 AMB590030 AVX590030 BFT590030 BPP590030 BZL590030 CJH590030 CTD590030 DCZ590030 DMV590030 DWR590030 EGN590030 EQJ590030 FAF590030 FKB590030 FTX590030 GDT590030 GNP590030 GXL590030 HHH590030 HRD590030 IAZ590030 IKV590030 IUR590030 JEN590030 JOJ590030 JYF590030 KIB590030 KRX590030 LBT590030 LLP590030 LVL590030 MFH590030 MPD590030 MYZ590030 NIV590030 NSR590030 OCN590030 OMJ590030 OWF590030 PGB590030 PPX590030 PZT590030 QJP590030 QTL590030 RDH590030 RND590030 RWZ590030 SGV590030 SQR590030 TAN590030 TKJ590030 TUF590030 UEB590030 UNX590030 UXT590030 VHP590030 VRL590030 WBH590030 WLD590030 WUZ590030 E655566 IN655566 SJ655566 ACF655566 AMB655566 AVX655566 BFT655566 BPP655566 BZL655566 CJH655566 CTD655566 DCZ655566 DMV655566 DWR655566 EGN655566 EQJ655566 FAF655566 FKB655566 FTX655566 GDT655566 GNP655566 GXL655566 HHH655566 HRD655566 IAZ655566 IKV655566 IUR655566 JEN655566 JOJ655566 JYF655566 KIB655566 KRX655566 LBT655566 LLP655566 LVL655566 MFH655566 MPD655566 MYZ655566 NIV655566 NSR655566 OCN655566 OMJ655566 OWF655566 PGB655566 PPX655566 PZT655566 QJP655566 QTL655566 RDH655566 RND655566 RWZ655566 SGV655566 SQR655566 TAN655566 TKJ655566 TUF655566 UEB655566 UNX655566 UXT655566 VHP655566 VRL655566 WBH655566 WLD655566 WUZ655566 E721102 IN721102 SJ721102 ACF721102 AMB721102 AVX721102 BFT721102 BPP721102 BZL721102 CJH721102 CTD721102 DCZ721102 DMV721102 DWR721102 EGN721102 EQJ721102 FAF721102 FKB721102 FTX721102 GDT721102 GNP721102 GXL721102 HHH721102 HRD721102 IAZ721102 IKV721102 IUR721102 JEN721102 JOJ721102 JYF721102 KIB721102 KRX721102 LBT721102 LLP721102 LVL721102 MFH721102 MPD721102 MYZ721102 NIV721102 NSR721102 OCN721102 OMJ721102 OWF721102 PGB721102 PPX721102 PZT721102 QJP721102 QTL721102 RDH721102 RND721102 RWZ721102 SGV721102 SQR721102 TAN721102 TKJ721102 TUF721102 UEB721102 UNX721102 UXT721102 VHP721102 VRL721102 WBH721102 WLD721102 WUZ721102 E786638 IN786638 SJ786638 ACF786638 AMB786638 AVX786638 BFT786638 BPP786638 BZL786638 CJH786638 CTD786638 DCZ786638 DMV786638 DWR786638 EGN786638 EQJ786638 FAF786638 FKB786638 FTX786638 GDT786638 GNP786638 GXL786638 HHH786638 HRD786638 IAZ786638 IKV786638 IUR786638 JEN786638 JOJ786638 JYF786638 KIB786638 KRX786638 LBT786638 LLP786638 LVL786638 MFH786638 MPD786638 MYZ786638 NIV786638 NSR786638 OCN786638 OMJ786638 OWF786638 PGB786638 PPX786638 PZT786638 QJP786638 QTL786638 RDH786638 RND786638 RWZ786638 SGV786638 SQR786638 TAN786638 TKJ786638 TUF786638 UEB786638 UNX786638 UXT786638 VHP786638 VRL786638 WBH786638 WLD786638 WUZ786638 E852174 IN852174 SJ852174 ACF852174 AMB852174 AVX852174 BFT852174 BPP852174 BZL852174 CJH852174 CTD852174 DCZ852174 DMV852174 DWR852174 EGN852174 EQJ852174 FAF852174 FKB852174 FTX852174 GDT852174 GNP852174 GXL852174 HHH852174 HRD852174 IAZ852174 IKV852174 IUR852174 JEN852174 JOJ852174 JYF852174 KIB852174 KRX852174 LBT852174 LLP852174 LVL852174 MFH852174 MPD852174 MYZ852174 NIV852174 NSR852174 OCN852174 OMJ852174 OWF852174 PGB852174 PPX852174 PZT852174 QJP852174 QTL852174 RDH852174 RND852174 RWZ852174 SGV852174 SQR852174 TAN852174 TKJ852174 TUF852174 UEB852174 UNX852174 UXT852174 VHP852174 VRL852174 WBH852174 WLD852174 WUZ852174 E917710 IN917710 SJ917710 ACF917710 AMB917710 AVX917710 BFT917710 BPP917710 BZL917710 CJH917710 CTD917710 DCZ917710 DMV917710 DWR917710 EGN917710 EQJ917710 FAF917710 FKB917710 FTX917710 GDT917710 GNP917710 GXL917710 HHH917710 HRD917710 IAZ917710 IKV917710 IUR917710 JEN917710 JOJ917710 JYF917710 KIB917710 KRX917710 LBT917710 LLP917710 LVL917710 MFH917710 MPD917710 MYZ917710 NIV917710 NSR917710 OCN917710 OMJ917710 OWF917710 PGB917710 PPX917710 PZT917710 QJP917710 QTL917710 RDH917710 RND917710 RWZ917710 SGV917710 SQR917710 TAN917710 TKJ917710 TUF917710 UEB917710 UNX917710 UXT917710 VHP917710 VRL917710 WBH917710 WLD917710 WUZ917710 E983246 IN983246 SJ983246 ACF983246 AMB983246 AVX983246 BFT983246 BPP983246 BZL983246 CJH983246 CTD983246 DCZ983246 DMV983246 DWR983246 EGN983246 EQJ983246 FAF983246 FKB983246 FTX983246 GDT983246 GNP983246 GXL983246 HHH983246 HRD983246 IAZ983246 IKV983246 IUR983246 JEN983246 JOJ983246 JYF983246 KIB983246 KRX983246 LBT983246 LLP983246 LVL983246 MFH983246 MPD983246 MYZ983246 NIV983246 NSR983246 OCN983246 OMJ983246 OWF983246 PGB983246 PPX983246 PZT983246 QJP983246 QTL983246 RDH983246 RND983246 RWZ983246 SGV983246 SQR983246 TAN983246 TKJ983246 TUF983246 UEB983246 UNX983246 UXT983246 VHP983246 VRL983246 WBH983246 WLD983246 WUZ983246 WUZ983223 IN33:IN45 SJ33:SJ45 ACF33:ACF45 AMB33:AMB45 AVX33:AVX45 BFT33:BFT45 BPP33:BPP45 BZL33:BZL45 CJH33:CJH45 CTD33:CTD45 DCZ33:DCZ45 DMV33:DMV45 DWR33:DWR45 EGN33:EGN45 EQJ33:EQJ45 FAF33:FAF45 FKB33:FKB45 FTX33:FTX45 GDT33:GDT45 GNP33:GNP45 GXL33:GXL45 HHH33:HHH45 HRD33:HRD45 IAZ33:IAZ45 IKV33:IKV45 IUR33:IUR45 JEN33:JEN45 JOJ33:JOJ45 JYF33:JYF45 KIB33:KIB45 KRX33:KRX45 LBT33:LBT45 LLP33:LLP45 LVL33:LVL45 MFH33:MFH45 MPD33:MPD45 MYZ33:MYZ45 NIV33:NIV45 NSR33:NSR45 OCN33:OCN45 OMJ33:OMJ45 OWF33:OWF45 PGB33:PGB45 PPX33:PPX45 PZT33:PZT45 QJP33:QJP45 QTL33:QTL45 RDH33:RDH45 RND33:RND45 RWZ33:RWZ45 SGV33:SGV45 SQR33:SQR45 TAN33:TAN45 TKJ33:TKJ45 TUF33:TUF45 UEB33:UEB45 UNX33:UNX45 UXT33:UXT45 VHP33:VHP45 VRL33:VRL45 WBH33:WBH45 WLD33:WLD45 WUZ33:WUZ45 E65724:E65732 IN65724:IN65732 SJ65724:SJ65732 ACF65724:ACF65732 AMB65724:AMB65732 AVX65724:AVX65732 BFT65724:BFT65732 BPP65724:BPP65732 BZL65724:BZL65732 CJH65724:CJH65732 CTD65724:CTD65732 DCZ65724:DCZ65732 DMV65724:DMV65732 DWR65724:DWR65732 EGN65724:EGN65732 EQJ65724:EQJ65732 FAF65724:FAF65732 FKB65724:FKB65732 FTX65724:FTX65732 GDT65724:GDT65732 GNP65724:GNP65732 GXL65724:GXL65732 HHH65724:HHH65732 HRD65724:HRD65732 IAZ65724:IAZ65732 IKV65724:IKV65732 IUR65724:IUR65732 JEN65724:JEN65732 JOJ65724:JOJ65732 JYF65724:JYF65732 KIB65724:KIB65732 KRX65724:KRX65732 LBT65724:LBT65732 LLP65724:LLP65732 LVL65724:LVL65732 MFH65724:MFH65732 MPD65724:MPD65732 MYZ65724:MYZ65732 NIV65724:NIV65732 NSR65724:NSR65732 OCN65724:OCN65732 OMJ65724:OMJ65732 OWF65724:OWF65732 PGB65724:PGB65732 PPX65724:PPX65732 PZT65724:PZT65732 QJP65724:QJP65732 QTL65724:QTL65732 RDH65724:RDH65732 RND65724:RND65732 RWZ65724:RWZ65732 SGV65724:SGV65732 SQR65724:SQR65732 TAN65724:TAN65732 TKJ65724:TKJ65732 TUF65724:TUF65732 UEB65724:UEB65732 UNX65724:UNX65732 UXT65724:UXT65732 VHP65724:VHP65732 VRL65724:VRL65732 WBH65724:WBH65732 WLD65724:WLD65732 WUZ65724:WUZ65732 E131260:E131268 IN131260:IN131268 SJ131260:SJ131268 ACF131260:ACF131268 AMB131260:AMB131268 AVX131260:AVX131268 BFT131260:BFT131268 BPP131260:BPP131268 BZL131260:BZL131268 CJH131260:CJH131268 CTD131260:CTD131268 DCZ131260:DCZ131268 DMV131260:DMV131268 DWR131260:DWR131268 EGN131260:EGN131268 EQJ131260:EQJ131268 FAF131260:FAF131268 FKB131260:FKB131268 FTX131260:FTX131268 GDT131260:GDT131268 GNP131260:GNP131268 GXL131260:GXL131268 HHH131260:HHH131268 HRD131260:HRD131268 IAZ131260:IAZ131268 IKV131260:IKV131268 IUR131260:IUR131268 JEN131260:JEN131268 JOJ131260:JOJ131268 JYF131260:JYF131268 KIB131260:KIB131268 KRX131260:KRX131268 LBT131260:LBT131268 LLP131260:LLP131268 LVL131260:LVL131268 MFH131260:MFH131268 MPD131260:MPD131268 MYZ131260:MYZ131268 NIV131260:NIV131268 NSR131260:NSR131268 OCN131260:OCN131268 OMJ131260:OMJ131268 OWF131260:OWF131268 PGB131260:PGB131268 PPX131260:PPX131268 PZT131260:PZT131268 QJP131260:QJP131268 QTL131260:QTL131268 RDH131260:RDH131268 RND131260:RND131268 RWZ131260:RWZ131268 SGV131260:SGV131268 SQR131260:SQR131268 TAN131260:TAN131268 TKJ131260:TKJ131268 TUF131260:TUF131268 UEB131260:UEB131268 UNX131260:UNX131268 UXT131260:UXT131268 VHP131260:VHP131268 VRL131260:VRL131268 WBH131260:WBH131268 WLD131260:WLD131268 WUZ131260:WUZ131268 E196796:E196804 IN196796:IN196804 SJ196796:SJ196804 ACF196796:ACF196804 AMB196796:AMB196804 AVX196796:AVX196804 BFT196796:BFT196804 BPP196796:BPP196804 BZL196796:BZL196804 CJH196796:CJH196804 CTD196796:CTD196804 DCZ196796:DCZ196804 DMV196796:DMV196804 DWR196796:DWR196804 EGN196796:EGN196804 EQJ196796:EQJ196804 FAF196796:FAF196804 FKB196796:FKB196804 FTX196796:FTX196804 GDT196796:GDT196804 GNP196796:GNP196804 GXL196796:GXL196804 HHH196796:HHH196804 HRD196796:HRD196804 IAZ196796:IAZ196804 IKV196796:IKV196804 IUR196796:IUR196804 JEN196796:JEN196804 JOJ196796:JOJ196804 JYF196796:JYF196804 KIB196796:KIB196804 KRX196796:KRX196804 LBT196796:LBT196804 LLP196796:LLP196804 LVL196796:LVL196804 MFH196796:MFH196804 MPD196796:MPD196804 MYZ196796:MYZ196804 NIV196796:NIV196804 NSR196796:NSR196804 OCN196796:OCN196804 OMJ196796:OMJ196804 OWF196796:OWF196804 PGB196796:PGB196804 PPX196796:PPX196804 PZT196796:PZT196804 QJP196796:QJP196804 QTL196796:QTL196804 RDH196796:RDH196804 RND196796:RND196804 RWZ196796:RWZ196804 SGV196796:SGV196804 SQR196796:SQR196804 TAN196796:TAN196804 TKJ196796:TKJ196804 TUF196796:TUF196804 UEB196796:UEB196804 UNX196796:UNX196804 UXT196796:UXT196804 VHP196796:VHP196804 VRL196796:VRL196804 WBH196796:WBH196804 WLD196796:WLD196804 WUZ196796:WUZ196804 E262332:E262340 IN262332:IN262340 SJ262332:SJ262340 ACF262332:ACF262340 AMB262332:AMB262340 AVX262332:AVX262340 BFT262332:BFT262340 BPP262332:BPP262340 BZL262332:BZL262340 CJH262332:CJH262340 CTD262332:CTD262340 DCZ262332:DCZ262340 DMV262332:DMV262340 DWR262332:DWR262340 EGN262332:EGN262340 EQJ262332:EQJ262340 FAF262332:FAF262340 FKB262332:FKB262340 FTX262332:FTX262340 GDT262332:GDT262340 GNP262332:GNP262340 GXL262332:GXL262340 HHH262332:HHH262340 HRD262332:HRD262340 IAZ262332:IAZ262340 IKV262332:IKV262340 IUR262332:IUR262340 JEN262332:JEN262340 JOJ262332:JOJ262340 JYF262332:JYF262340 KIB262332:KIB262340 KRX262332:KRX262340 LBT262332:LBT262340 LLP262332:LLP262340 LVL262332:LVL262340 MFH262332:MFH262340 MPD262332:MPD262340 MYZ262332:MYZ262340 NIV262332:NIV262340 NSR262332:NSR262340 OCN262332:OCN262340 OMJ262332:OMJ262340 OWF262332:OWF262340 PGB262332:PGB262340 PPX262332:PPX262340 PZT262332:PZT262340 QJP262332:QJP262340 QTL262332:QTL262340 RDH262332:RDH262340 RND262332:RND262340 RWZ262332:RWZ262340 SGV262332:SGV262340 SQR262332:SQR262340 TAN262332:TAN262340 TKJ262332:TKJ262340 TUF262332:TUF262340 UEB262332:UEB262340 UNX262332:UNX262340 UXT262332:UXT262340 VHP262332:VHP262340 VRL262332:VRL262340 WBH262332:WBH262340 WLD262332:WLD262340 WUZ262332:WUZ262340 E327868:E327876 IN327868:IN327876 SJ327868:SJ327876 ACF327868:ACF327876 AMB327868:AMB327876 AVX327868:AVX327876 BFT327868:BFT327876 BPP327868:BPP327876 BZL327868:BZL327876 CJH327868:CJH327876 CTD327868:CTD327876 DCZ327868:DCZ327876 DMV327868:DMV327876 DWR327868:DWR327876 EGN327868:EGN327876 EQJ327868:EQJ327876 FAF327868:FAF327876 FKB327868:FKB327876 FTX327868:FTX327876 GDT327868:GDT327876 GNP327868:GNP327876 GXL327868:GXL327876 HHH327868:HHH327876 HRD327868:HRD327876 IAZ327868:IAZ327876 IKV327868:IKV327876 IUR327868:IUR327876 JEN327868:JEN327876 JOJ327868:JOJ327876 JYF327868:JYF327876 KIB327868:KIB327876 KRX327868:KRX327876 LBT327868:LBT327876 LLP327868:LLP327876 LVL327868:LVL327876 MFH327868:MFH327876 MPD327868:MPD327876 MYZ327868:MYZ327876 NIV327868:NIV327876 NSR327868:NSR327876 OCN327868:OCN327876 OMJ327868:OMJ327876 OWF327868:OWF327876 PGB327868:PGB327876 PPX327868:PPX327876 PZT327868:PZT327876 QJP327868:QJP327876 QTL327868:QTL327876 RDH327868:RDH327876 RND327868:RND327876 RWZ327868:RWZ327876 SGV327868:SGV327876 SQR327868:SQR327876 TAN327868:TAN327876 TKJ327868:TKJ327876 TUF327868:TUF327876 UEB327868:UEB327876 UNX327868:UNX327876 UXT327868:UXT327876 VHP327868:VHP327876 VRL327868:VRL327876 WBH327868:WBH327876 WLD327868:WLD327876 WUZ327868:WUZ327876 E393404:E393412 IN393404:IN393412 SJ393404:SJ393412 ACF393404:ACF393412 AMB393404:AMB393412 AVX393404:AVX393412 BFT393404:BFT393412 BPP393404:BPP393412 BZL393404:BZL393412 CJH393404:CJH393412 CTD393404:CTD393412 DCZ393404:DCZ393412 DMV393404:DMV393412 DWR393404:DWR393412 EGN393404:EGN393412 EQJ393404:EQJ393412 FAF393404:FAF393412 FKB393404:FKB393412 FTX393404:FTX393412 GDT393404:GDT393412 GNP393404:GNP393412 GXL393404:GXL393412 HHH393404:HHH393412 HRD393404:HRD393412 IAZ393404:IAZ393412 IKV393404:IKV393412 IUR393404:IUR393412 JEN393404:JEN393412 JOJ393404:JOJ393412 JYF393404:JYF393412 KIB393404:KIB393412 KRX393404:KRX393412 LBT393404:LBT393412 LLP393404:LLP393412 LVL393404:LVL393412 MFH393404:MFH393412 MPD393404:MPD393412 MYZ393404:MYZ393412 NIV393404:NIV393412 NSR393404:NSR393412 OCN393404:OCN393412 OMJ393404:OMJ393412 OWF393404:OWF393412 PGB393404:PGB393412 PPX393404:PPX393412 PZT393404:PZT393412 QJP393404:QJP393412 QTL393404:QTL393412 RDH393404:RDH393412 RND393404:RND393412 RWZ393404:RWZ393412 SGV393404:SGV393412 SQR393404:SQR393412 TAN393404:TAN393412 TKJ393404:TKJ393412 TUF393404:TUF393412 UEB393404:UEB393412 UNX393404:UNX393412 UXT393404:UXT393412 VHP393404:VHP393412 VRL393404:VRL393412 WBH393404:WBH393412 WLD393404:WLD393412 WUZ393404:WUZ393412 E458940:E458948 IN458940:IN458948 SJ458940:SJ458948 ACF458940:ACF458948 AMB458940:AMB458948 AVX458940:AVX458948 BFT458940:BFT458948 BPP458940:BPP458948 BZL458940:BZL458948 CJH458940:CJH458948 CTD458940:CTD458948 DCZ458940:DCZ458948 DMV458940:DMV458948 DWR458940:DWR458948 EGN458940:EGN458948 EQJ458940:EQJ458948 FAF458940:FAF458948 FKB458940:FKB458948 FTX458940:FTX458948 GDT458940:GDT458948 GNP458940:GNP458948 GXL458940:GXL458948 HHH458940:HHH458948 HRD458940:HRD458948 IAZ458940:IAZ458948 IKV458940:IKV458948 IUR458940:IUR458948 JEN458940:JEN458948 JOJ458940:JOJ458948 JYF458940:JYF458948 KIB458940:KIB458948 KRX458940:KRX458948 LBT458940:LBT458948 LLP458940:LLP458948 LVL458940:LVL458948 MFH458940:MFH458948 MPD458940:MPD458948 MYZ458940:MYZ458948 NIV458940:NIV458948 NSR458940:NSR458948 OCN458940:OCN458948 OMJ458940:OMJ458948 OWF458940:OWF458948 PGB458940:PGB458948 PPX458940:PPX458948 PZT458940:PZT458948 QJP458940:QJP458948 QTL458940:QTL458948 RDH458940:RDH458948 RND458940:RND458948 RWZ458940:RWZ458948 SGV458940:SGV458948 SQR458940:SQR458948 TAN458940:TAN458948 TKJ458940:TKJ458948 TUF458940:TUF458948 UEB458940:UEB458948 UNX458940:UNX458948 UXT458940:UXT458948 VHP458940:VHP458948 VRL458940:VRL458948 WBH458940:WBH458948 WLD458940:WLD458948 WUZ458940:WUZ458948 E524476:E524484 IN524476:IN524484 SJ524476:SJ524484 ACF524476:ACF524484 AMB524476:AMB524484 AVX524476:AVX524484 BFT524476:BFT524484 BPP524476:BPP524484 BZL524476:BZL524484 CJH524476:CJH524484 CTD524476:CTD524484 DCZ524476:DCZ524484 DMV524476:DMV524484 DWR524476:DWR524484 EGN524476:EGN524484 EQJ524476:EQJ524484 FAF524476:FAF524484 FKB524476:FKB524484 FTX524476:FTX524484 GDT524476:GDT524484 GNP524476:GNP524484 GXL524476:GXL524484 HHH524476:HHH524484 HRD524476:HRD524484 IAZ524476:IAZ524484 IKV524476:IKV524484 IUR524476:IUR524484 JEN524476:JEN524484 JOJ524476:JOJ524484 JYF524476:JYF524484 KIB524476:KIB524484 KRX524476:KRX524484 LBT524476:LBT524484 LLP524476:LLP524484 LVL524476:LVL524484 MFH524476:MFH524484 MPD524476:MPD524484 MYZ524476:MYZ524484 NIV524476:NIV524484 NSR524476:NSR524484 OCN524476:OCN524484 OMJ524476:OMJ524484 OWF524476:OWF524484 PGB524476:PGB524484 PPX524476:PPX524484 PZT524476:PZT524484 QJP524476:QJP524484 QTL524476:QTL524484 RDH524476:RDH524484 RND524476:RND524484 RWZ524476:RWZ524484 SGV524476:SGV524484 SQR524476:SQR524484 TAN524476:TAN524484 TKJ524476:TKJ524484 TUF524476:TUF524484 UEB524476:UEB524484 UNX524476:UNX524484 UXT524476:UXT524484 VHP524476:VHP524484 VRL524476:VRL524484 WBH524476:WBH524484 WLD524476:WLD524484 WUZ524476:WUZ524484 E590012:E590020 IN590012:IN590020 SJ590012:SJ590020 ACF590012:ACF590020 AMB590012:AMB590020 AVX590012:AVX590020 BFT590012:BFT590020 BPP590012:BPP590020 BZL590012:BZL590020 CJH590012:CJH590020 CTD590012:CTD590020 DCZ590012:DCZ590020 DMV590012:DMV590020 DWR590012:DWR590020 EGN590012:EGN590020 EQJ590012:EQJ590020 FAF590012:FAF590020 FKB590012:FKB590020 FTX590012:FTX590020 GDT590012:GDT590020 GNP590012:GNP590020 GXL590012:GXL590020 HHH590012:HHH590020 HRD590012:HRD590020 IAZ590012:IAZ590020 IKV590012:IKV590020 IUR590012:IUR590020 JEN590012:JEN590020 JOJ590012:JOJ590020 JYF590012:JYF590020 KIB590012:KIB590020 KRX590012:KRX590020 LBT590012:LBT590020 LLP590012:LLP590020 LVL590012:LVL590020 MFH590012:MFH590020 MPD590012:MPD590020 MYZ590012:MYZ590020 NIV590012:NIV590020 NSR590012:NSR590020 OCN590012:OCN590020 OMJ590012:OMJ590020 OWF590012:OWF590020 PGB590012:PGB590020 PPX590012:PPX590020 PZT590012:PZT590020 QJP590012:QJP590020 QTL590012:QTL590020 RDH590012:RDH590020 RND590012:RND590020 RWZ590012:RWZ590020 SGV590012:SGV590020 SQR590012:SQR590020 TAN590012:TAN590020 TKJ590012:TKJ590020 TUF590012:TUF590020 UEB590012:UEB590020 UNX590012:UNX590020 UXT590012:UXT590020 VHP590012:VHP590020 VRL590012:VRL590020 WBH590012:WBH590020 WLD590012:WLD590020 WUZ590012:WUZ590020 E655548:E655556 IN655548:IN655556 SJ655548:SJ655556 ACF655548:ACF655556 AMB655548:AMB655556 AVX655548:AVX655556 BFT655548:BFT655556 BPP655548:BPP655556 BZL655548:BZL655556 CJH655548:CJH655556 CTD655548:CTD655556 DCZ655548:DCZ655556 DMV655548:DMV655556 DWR655548:DWR655556 EGN655548:EGN655556 EQJ655548:EQJ655556 FAF655548:FAF655556 FKB655548:FKB655556 FTX655548:FTX655556 GDT655548:GDT655556 GNP655548:GNP655556 GXL655548:GXL655556 HHH655548:HHH655556 HRD655548:HRD655556 IAZ655548:IAZ655556 IKV655548:IKV655556 IUR655548:IUR655556 JEN655548:JEN655556 JOJ655548:JOJ655556 JYF655548:JYF655556 KIB655548:KIB655556 KRX655548:KRX655556 LBT655548:LBT655556 LLP655548:LLP655556 LVL655548:LVL655556 MFH655548:MFH655556 MPD655548:MPD655556 MYZ655548:MYZ655556 NIV655548:NIV655556 NSR655548:NSR655556 OCN655548:OCN655556 OMJ655548:OMJ655556 OWF655548:OWF655556 PGB655548:PGB655556 PPX655548:PPX655556 PZT655548:PZT655556 QJP655548:QJP655556 QTL655548:QTL655556 RDH655548:RDH655556 RND655548:RND655556 RWZ655548:RWZ655556 SGV655548:SGV655556 SQR655548:SQR655556 TAN655548:TAN655556 TKJ655548:TKJ655556 TUF655548:TUF655556 UEB655548:UEB655556 UNX655548:UNX655556 UXT655548:UXT655556 VHP655548:VHP655556 VRL655548:VRL655556 WBH655548:WBH655556 WLD655548:WLD655556 WUZ655548:WUZ655556 E721084:E721092 IN721084:IN721092 SJ721084:SJ721092 ACF721084:ACF721092 AMB721084:AMB721092 AVX721084:AVX721092 BFT721084:BFT721092 BPP721084:BPP721092 BZL721084:BZL721092 CJH721084:CJH721092 CTD721084:CTD721092 DCZ721084:DCZ721092 DMV721084:DMV721092 DWR721084:DWR721092 EGN721084:EGN721092 EQJ721084:EQJ721092 FAF721084:FAF721092 FKB721084:FKB721092 FTX721084:FTX721092 GDT721084:GDT721092 GNP721084:GNP721092 GXL721084:GXL721092 HHH721084:HHH721092 HRD721084:HRD721092 IAZ721084:IAZ721092 IKV721084:IKV721092 IUR721084:IUR721092 JEN721084:JEN721092 JOJ721084:JOJ721092 JYF721084:JYF721092 KIB721084:KIB721092 KRX721084:KRX721092 LBT721084:LBT721092 LLP721084:LLP721092 LVL721084:LVL721092 MFH721084:MFH721092 MPD721084:MPD721092 MYZ721084:MYZ721092 NIV721084:NIV721092 NSR721084:NSR721092 OCN721084:OCN721092 OMJ721084:OMJ721092 OWF721084:OWF721092 PGB721084:PGB721092 PPX721084:PPX721092 PZT721084:PZT721092 QJP721084:QJP721092 QTL721084:QTL721092 RDH721084:RDH721092 RND721084:RND721092 RWZ721084:RWZ721092 SGV721084:SGV721092 SQR721084:SQR721092 TAN721084:TAN721092 TKJ721084:TKJ721092 TUF721084:TUF721092 UEB721084:UEB721092 UNX721084:UNX721092 UXT721084:UXT721092 VHP721084:VHP721092 VRL721084:VRL721092 WBH721084:WBH721092 WLD721084:WLD721092 WUZ721084:WUZ721092 E786620:E786628 IN786620:IN786628 SJ786620:SJ786628 ACF786620:ACF786628 AMB786620:AMB786628 AVX786620:AVX786628 BFT786620:BFT786628 BPP786620:BPP786628 BZL786620:BZL786628 CJH786620:CJH786628 CTD786620:CTD786628 DCZ786620:DCZ786628 DMV786620:DMV786628 DWR786620:DWR786628 EGN786620:EGN786628 EQJ786620:EQJ786628 FAF786620:FAF786628 FKB786620:FKB786628 FTX786620:FTX786628 GDT786620:GDT786628 GNP786620:GNP786628 GXL786620:GXL786628 HHH786620:HHH786628 HRD786620:HRD786628 IAZ786620:IAZ786628 IKV786620:IKV786628 IUR786620:IUR786628 JEN786620:JEN786628 JOJ786620:JOJ786628 JYF786620:JYF786628 KIB786620:KIB786628 KRX786620:KRX786628 LBT786620:LBT786628 LLP786620:LLP786628 LVL786620:LVL786628 MFH786620:MFH786628 MPD786620:MPD786628 MYZ786620:MYZ786628 NIV786620:NIV786628 NSR786620:NSR786628 OCN786620:OCN786628 OMJ786620:OMJ786628 OWF786620:OWF786628 PGB786620:PGB786628 PPX786620:PPX786628 PZT786620:PZT786628 QJP786620:QJP786628 QTL786620:QTL786628 RDH786620:RDH786628 RND786620:RND786628 RWZ786620:RWZ786628 SGV786620:SGV786628 SQR786620:SQR786628 TAN786620:TAN786628 TKJ786620:TKJ786628 TUF786620:TUF786628 UEB786620:UEB786628 UNX786620:UNX786628 UXT786620:UXT786628 VHP786620:VHP786628 VRL786620:VRL786628 WBH786620:WBH786628 WLD786620:WLD786628 WUZ786620:WUZ786628 E852156:E852164 IN852156:IN852164 SJ852156:SJ852164 ACF852156:ACF852164 AMB852156:AMB852164 AVX852156:AVX852164 BFT852156:BFT852164 BPP852156:BPP852164 BZL852156:BZL852164 CJH852156:CJH852164 CTD852156:CTD852164 DCZ852156:DCZ852164 DMV852156:DMV852164 DWR852156:DWR852164 EGN852156:EGN852164 EQJ852156:EQJ852164 FAF852156:FAF852164 FKB852156:FKB852164 FTX852156:FTX852164 GDT852156:GDT852164 GNP852156:GNP852164 GXL852156:GXL852164 HHH852156:HHH852164 HRD852156:HRD852164 IAZ852156:IAZ852164 IKV852156:IKV852164 IUR852156:IUR852164 JEN852156:JEN852164 JOJ852156:JOJ852164 JYF852156:JYF852164 KIB852156:KIB852164 KRX852156:KRX852164 LBT852156:LBT852164 LLP852156:LLP852164 LVL852156:LVL852164 MFH852156:MFH852164 MPD852156:MPD852164 MYZ852156:MYZ852164 NIV852156:NIV852164 NSR852156:NSR852164 OCN852156:OCN852164 OMJ852156:OMJ852164 OWF852156:OWF852164 PGB852156:PGB852164 PPX852156:PPX852164 PZT852156:PZT852164 QJP852156:QJP852164 QTL852156:QTL852164 RDH852156:RDH852164 RND852156:RND852164 RWZ852156:RWZ852164 SGV852156:SGV852164 SQR852156:SQR852164 TAN852156:TAN852164 TKJ852156:TKJ852164 TUF852156:TUF852164 UEB852156:UEB852164 UNX852156:UNX852164 UXT852156:UXT852164 VHP852156:VHP852164 VRL852156:VRL852164 WBH852156:WBH852164 WLD852156:WLD852164 WUZ852156:WUZ852164 E917692:E917700 IN917692:IN917700 SJ917692:SJ917700 ACF917692:ACF917700 AMB917692:AMB917700 AVX917692:AVX917700 BFT917692:BFT917700 BPP917692:BPP917700 BZL917692:BZL917700 CJH917692:CJH917700 CTD917692:CTD917700 DCZ917692:DCZ917700 DMV917692:DMV917700 DWR917692:DWR917700 EGN917692:EGN917700 EQJ917692:EQJ917700 FAF917692:FAF917700 FKB917692:FKB917700 FTX917692:FTX917700 GDT917692:GDT917700 GNP917692:GNP917700 GXL917692:GXL917700 HHH917692:HHH917700 HRD917692:HRD917700 IAZ917692:IAZ917700 IKV917692:IKV917700 IUR917692:IUR917700 JEN917692:JEN917700 JOJ917692:JOJ917700 JYF917692:JYF917700 KIB917692:KIB917700 KRX917692:KRX917700 LBT917692:LBT917700 LLP917692:LLP917700 LVL917692:LVL917700 MFH917692:MFH917700 MPD917692:MPD917700 MYZ917692:MYZ917700 NIV917692:NIV917700 NSR917692:NSR917700 OCN917692:OCN917700 OMJ917692:OMJ917700 OWF917692:OWF917700 PGB917692:PGB917700 PPX917692:PPX917700 PZT917692:PZT917700 QJP917692:QJP917700 QTL917692:QTL917700 RDH917692:RDH917700 RND917692:RND917700 RWZ917692:RWZ917700 SGV917692:SGV917700 SQR917692:SQR917700 TAN917692:TAN917700 TKJ917692:TKJ917700 TUF917692:TUF917700 UEB917692:UEB917700 UNX917692:UNX917700 UXT917692:UXT917700 VHP917692:VHP917700 VRL917692:VRL917700 WBH917692:WBH917700 WLD917692:WLD917700 WUZ917692:WUZ917700 E983228:E983236 IN983228:IN983236 SJ983228:SJ983236 ACF983228:ACF983236 AMB983228:AMB983236 AVX983228:AVX983236 BFT983228:BFT983236 BPP983228:BPP983236 BZL983228:BZL983236 CJH983228:CJH983236 CTD983228:CTD983236 DCZ983228:DCZ983236 DMV983228:DMV983236 DWR983228:DWR983236 EGN983228:EGN983236 EQJ983228:EQJ983236 FAF983228:FAF983236 FKB983228:FKB983236 FTX983228:FTX983236 GDT983228:GDT983236 GNP983228:GNP983236 GXL983228:GXL983236 HHH983228:HHH983236 HRD983228:HRD983236 IAZ983228:IAZ983236 IKV983228:IKV983236 IUR983228:IUR983236 JEN983228:JEN983236 JOJ983228:JOJ983236 JYF983228:JYF983236 KIB983228:KIB983236 KRX983228:KRX983236 LBT983228:LBT983236 LLP983228:LLP983236 LVL983228:LVL983236 MFH983228:MFH983236 MPD983228:MPD983236 MYZ983228:MYZ983236 NIV983228:NIV983236 NSR983228:NSR983236 OCN983228:OCN983236 OMJ983228:OMJ983236 OWF983228:OWF983236 PGB983228:PGB983236 PPX983228:PPX983236 PZT983228:PZT983236 QJP983228:QJP983236 QTL983228:QTL983236 RDH983228:RDH983236 RND983228:RND983236 RWZ983228:RWZ983236 SGV983228:SGV983236 SQR983228:SQR983236 TAN983228:TAN983236 TKJ983228:TKJ983236 TUF983228:TUF983236 UEB983228:UEB983236 UNX983228:UNX983236 UXT983228:UXT983236 VHP983228:VHP983236 VRL983228:VRL983236 WBH983228:WBH983236 WLD983228:WLD983236 WUZ983228:WUZ983236 E25 IN25:IN26 SJ25:SJ26 ACF25:ACF26 AMB25:AMB26 AVX25:AVX26 BFT25:BFT26 BPP25:BPP26 BZL25:BZL26 CJH25:CJH26 CTD25:CTD26 DCZ25:DCZ26 DMV25:DMV26 DWR25:DWR26 EGN25:EGN26 EQJ25:EQJ26 FAF25:FAF26 FKB25:FKB26 FTX25:FTX26 GDT25:GDT26 GNP25:GNP26 GXL25:GXL26 HHH25:HHH26 HRD25:HRD26 IAZ25:IAZ26 IKV25:IKV26 IUR25:IUR26 JEN25:JEN26 JOJ25:JOJ26 JYF25:JYF26 KIB25:KIB26 KRX25:KRX26 LBT25:LBT26 LLP25:LLP26 LVL25:LVL26 MFH25:MFH26 MPD25:MPD26 MYZ25:MYZ26 NIV25:NIV26 NSR25:NSR26 OCN25:OCN26 OMJ25:OMJ26 OWF25:OWF26 PGB25:PGB26 PPX25:PPX26 PZT25:PZT26 QJP25:QJP26 QTL25:QTL26 RDH25:RDH26 RND25:RND26 RWZ25:RWZ26 SGV25:SGV26 SQR25:SQR26 TAN25:TAN26 TKJ25:TKJ26 TUF25:TUF26 UEB25:UEB26 UNX25:UNX26 UXT25:UXT26 VHP25:VHP26 VRL25:VRL26 WBH25:WBH26 WLD25:WLD26 WUZ25:WUZ26 E65719 IN65719 SJ65719 ACF65719 AMB65719 AVX65719 BFT65719 BPP65719 BZL65719 CJH65719 CTD65719 DCZ65719 DMV65719 DWR65719 EGN65719 EQJ65719 FAF65719 FKB65719 FTX65719 GDT65719 GNP65719 GXL65719 HHH65719 HRD65719 IAZ65719 IKV65719 IUR65719 JEN65719 JOJ65719 JYF65719 KIB65719 KRX65719 LBT65719 LLP65719 LVL65719 MFH65719 MPD65719 MYZ65719 NIV65719 NSR65719 OCN65719 OMJ65719 OWF65719 PGB65719 PPX65719 PZT65719 QJP65719 QTL65719 RDH65719 RND65719 RWZ65719 SGV65719 SQR65719 TAN65719 TKJ65719 TUF65719 UEB65719 UNX65719 UXT65719 VHP65719 VRL65719 WBH65719 WLD65719 WUZ65719 E131255 IN131255 SJ131255 ACF131255 AMB131255 AVX131255 BFT131255 BPP131255 BZL131255 CJH131255 CTD131255 DCZ131255 DMV131255 DWR131255 EGN131255 EQJ131255 FAF131255 FKB131255 FTX131255 GDT131255 GNP131255 GXL131255 HHH131255 HRD131255 IAZ131255 IKV131255 IUR131255 JEN131255 JOJ131255 JYF131255 KIB131255 KRX131255 LBT131255 LLP131255 LVL131255 MFH131255 MPD131255 MYZ131255 NIV131255 NSR131255 OCN131255 OMJ131255 OWF131255 PGB131255 PPX131255 PZT131255 QJP131255 QTL131255 RDH131255 RND131255 RWZ131255 SGV131255 SQR131255 TAN131255 TKJ131255 TUF131255 UEB131255 UNX131255 UXT131255 VHP131255 VRL131255 WBH131255 WLD131255 WUZ131255 E196791 IN196791 SJ196791 ACF196791 AMB196791 AVX196791 BFT196791 BPP196791 BZL196791 CJH196791 CTD196791 DCZ196791 DMV196791 DWR196791 EGN196791 EQJ196791 FAF196791 FKB196791 FTX196791 GDT196791 GNP196791 GXL196791 HHH196791 HRD196791 IAZ196791 IKV196791 IUR196791 JEN196791 JOJ196791 JYF196791 KIB196791 KRX196791 LBT196791 LLP196791 LVL196791 MFH196791 MPD196791 MYZ196791 NIV196791 NSR196791 OCN196791 OMJ196791 OWF196791 PGB196791 PPX196791 PZT196791 QJP196791 QTL196791 RDH196791 RND196791 RWZ196791 SGV196791 SQR196791 TAN196791 TKJ196791 TUF196791 UEB196791 UNX196791 UXT196791 VHP196791 VRL196791 WBH196791 WLD196791 WUZ196791 E262327 IN262327 SJ262327 ACF262327 AMB262327 AVX262327 BFT262327 BPP262327 BZL262327 CJH262327 CTD262327 DCZ262327 DMV262327 DWR262327 EGN262327 EQJ262327 FAF262327 FKB262327 FTX262327 GDT262327 GNP262327 GXL262327 HHH262327 HRD262327 IAZ262327 IKV262327 IUR262327 JEN262327 JOJ262327 JYF262327 KIB262327 KRX262327 LBT262327 LLP262327 LVL262327 MFH262327 MPD262327 MYZ262327 NIV262327 NSR262327 OCN262327 OMJ262327 OWF262327 PGB262327 PPX262327 PZT262327 QJP262327 QTL262327 RDH262327 RND262327 RWZ262327 SGV262327 SQR262327 TAN262327 TKJ262327 TUF262327 UEB262327 UNX262327 UXT262327 VHP262327 VRL262327 WBH262327 WLD262327 WUZ262327 E327863 IN327863 SJ327863 ACF327863 AMB327863 AVX327863 BFT327863 BPP327863 BZL327863 CJH327863 CTD327863 DCZ327863 DMV327863 DWR327863 EGN327863 EQJ327863 FAF327863 FKB327863 FTX327863 GDT327863 GNP327863 GXL327863 HHH327863 HRD327863 IAZ327863 IKV327863 IUR327863 JEN327863 JOJ327863 JYF327863 KIB327863 KRX327863 LBT327863 LLP327863 LVL327863 MFH327863 MPD327863 MYZ327863 NIV327863 NSR327863 OCN327863 OMJ327863 OWF327863 PGB327863 PPX327863 PZT327863 QJP327863 QTL327863 RDH327863 RND327863 RWZ327863 SGV327863 SQR327863 TAN327863 TKJ327863 TUF327863 UEB327863 UNX327863 UXT327863 VHP327863 VRL327863 WBH327863 WLD327863 WUZ327863 E393399 IN393399 SJ393399 ACF393399 AMB393399 AVX393399 BFT393399 BPP393399 BZL393399 CJH393399 CTD393399 DCZ393399 DMV393399 DWR393399 EGN393399 EQJ393399 FAF393399 FKB393399 FTX393399 GDT393399 GNP393399 GXL393399 HHH393399 HRD393399 IAZ393399 IKV393399 IUR393399 JEN393399 JOJ393399 JYF393399 KIB393399 KRX393399 LBT393399 LLP393399 LVL393399 MFH393399 MPD393399 MYZ393399 NIV393399 NSR393399 OCN393399 OMJ393399 OWF393399 PGB393399 PPX393399 PZT393399 QJP393399 QTL393399 RDH393399 RND393399 RWZ393399 SGV393399 SQR393399 TAN393399 TKJ393399 TUF393399 UEB393399 UNX393399 UXT393399 VHP393399 VRL393399 WBH393399 WLD393399 WUZ393399 E458935 IN458935 SJ458935 ACF458935 AMB458935 AVX458935 BFT458935 BPP458935 BZL458935 CJH458935 CTD458935 DCZ458935 DMV458935 DWR458935 EGN458935 EQJ458935 FAF458935 FKB458935 FTX458935 GDT458935 GNP458935 GXL458935 HHH458935 HRD458935 IAZ458935 IKV458935 IUR458935 JEN458935 JOJ458935 JYF458935 KIB458935 KRX458935 LBT458935 LLP458935 LVL458935 MFH458935 MPD458935 MYZ458935 NIV458935 NSR458935 OCN458935 OMJ458935 OWF458935 PGB458935 PPX458935 PZT458935 QJP458935 QTL458935 RDH458935 RND458935 RWZ458935 SGV458935 SQR458935 TAN458935 TKJ458935 TUF458935 UEB458935 UNX458935 UXT458935 VHP458935 VRL458935 WBH458935 WLD458935 WUZ458935 E524471 IN524471 SJ524471 ACF524471 AMB524471 AVX524471 BFT524471 BPP524471 BZL524471 CJH524471 CTD524471 DCZ524471 DMV524471 DWR524471 EGN524471 EQJ524471 FAF524471 FKB524471 FTX524471 GDT524471 GNP524471 GXL524471 HHH524471 HRD524471 IAZ524471 IKV524471 IUR524471 JEN524471 JOJ524471 JYF524471 KIB524471 KRX524471 LBT524471 LLP524471 LVL524471 MFH524471 MPD524471 MYZ524471 NIV524471 NSR524471 OCN524471 OMJ524471 OWF524471 PGB524471 PPX524471 PZT524471 QJP524471 QTL524471 RDH524471 RND524471 RWZ524471 SGV524471 SQR524471 TAN524471 TKJ524471 TUF524471 UEB524471 UNX524471 UXT524471 VHP524471 VRL524471 WBH524471 WLD524471 WUZ524471 E590007 IN590007 SJ590007 ACF590007 AMB590007 AVX590007 BFT590007 BPP590007 BZL590007 CJH590007 CTD590007 DCZ590007 DMV590007 DWR590007 EGN590007 EQJ590007 FAF590007 FKB590007 FTX590007 GDT590007 GNP590007 GXL590007 HHH590007 HRD590007 IAZ590007 IKV590007 IUR590007 JEN590007 JOJ590007 JYF590007 KIB590007 KRX590007 LBT590007 LLP590007 LVL590007 MFH590007 MPD590007 MYZ590007 NIV590007 NSR590007 OCN590007 OMJ590007 OWF590007 PGB590007 PPX590007 PZT590007 QJP590007 QTL590007 RDH590007 RND590007 RWZ590007 SGV590007 SQR590007 TAN590007 TKJ590007 TUF590007 UEB590007 UNX590007 UXT590007 VHP590007 VRL590007 WBH590007 WLD590007 WUZ590007 E655543 IN655543 SJ655543 ACF655543 AMB655543 AVX655543 BFT655543 BPP655543 BZL655543 CJH655543 CTD655543 DCZ655543 DMV655543 DWR655543 EGN655543 EQJ655543 FAF655543 FKB655543 FTX655543 GDT655543 GNP655543 GXL655543 HHH655543 HRD655543 IAZ655543 IKV655543 IUR655543 JEN655543 JOJ655543 JYF655543 KIB655543 KRX655543 LBT655543 LLP655543 LVL655543 MFH655543 MPD655543 MYZ655543 NIV655543 NSR655543 OCN655543 OMJ655543 OWF655543 PGB655543 PPX655543 PZT655543 QJP655543 QTL655543 RDH655543 RND655543 RWZ655543 SGV655543 SQR655543 TAN655543 TKJ655543 TUF655543 UEB655543 UNX655543 UXT655543 VHP655543 VRL655543 WBH655543 WLD655543 WUZ655543 E721079 IN721079 SJ721079 ACF721079 AMB721079 AVX721079 BFT721079 BPP721079 BZL721079 CJH721079 CTD721079 DCZ721079 DMV721079 DWR721079 EGN721079 EQJ721079 FAF721079 FKB721079 FTX721079 GDT721079 GNP721079 GXL721079 HHH721079 HRD721079 IAZ721079 IKV721079 IUR721079 JEN721079 JOJ721079 JYF721079 KIB721079 KRX721079 LBT721079 LLP721079 LVL721079 MFH721079 MPD721079 MYZ721079 NIV721079 NSR721079 OCN721079 OMJ721079 OWF721079 PGB721079 PPX721079 PZT721079 QJP721079 QTL721079 RDH721079 RND721079 RWZ721079 SGV721079 SQR721079 TAN721079 TKJ721079 TUF721079 UEB721079 UNX721079 UXT721079 VHP721079 VRL721079 WBH721079 WLD721079 WUZ721079 E786615 IN786615 SJ786615 ACF786615 AMB786615 AVX786615 BFT786615 BPP786615 BZL786615 CJH786615 CTD786615 DCZ786615 DMV786615 DWR786615 EGN786615 EQJ786615 FAF786615 FKB786615 FTX786615 GDT786615 GNP786615 GXL786615 HHH786615 HRD786615 IAZ786615 IKV786615 IUR786615 JEN786615 JOJ786615 JYF786615 KIB786615 KRX786615 LBT786615 LLP786615 LVL786615 MFH786615 MPD786615 MYZ786615 NIV786615 NSR786615 OCN786615 OMJ786615 OWF786615 PGB786615 PPX786615 PZT786615 QJP786615 QTL786615 RDH786615 RND786615 RWZ786615 SGV786615 SQR786615 TAN786615 TKJ786615 TUF786615 UEB786615 UNX786615 UXT786615 VHP786615 VRL786615 WBH786615 WLD786615 WUZ786615 E852151 IN852151 SJ852151 ACF852151 AMB852151 AVX852151 BFT852151 BPP852151 BZL852151 CJH852151 CTD852151 DCZ852151 DMV852151 DWR852151 EGN852151 EQJ852151 FAF852151 FKB852151 FTX852151 GDT852151 GNP852151 GXL852151 HHH852151 HRD852151 IAZ852151 IKV852151 IUR852151 JEN852151 JOJ852151 JYF852151 KIB852151 KRX852151 LBT852151 LLP852151 LVL852151 MFH852151 MPD852151 MYZ852151 NIV852151 NSR852151 OCN852151 OMJ852151 OWF852151 PGB852151 PPX852151 PZT852151 QJP852151 QTL852151 RDH852151 RND852151 RWZ852151 SGV852151 SQR852151 TAN852151 TKJ852151 TUF852151 UEB852151 UNX852151 UXT852151 VHP852151 VRL852151 WBH852151 WLD852151 WUZ852151 E917687 IN917687 SJ917687 ACF917687 AMB917687 AVX917687 BFT917687 BPP917687 BZL917687 CJH917687 CTD917687 DCZ917687 DMV917687 DWR917687 EGN917687 EQJ917687 FAF917687 FKB917687 FTX917687 GDT917687 GNP917687 GXL917687 HHH917687 HRD917687 IAZ917687 IKV917687 IUR917687 JEN917687 JOJ917687 JYF917687 KIB917687 KRX917687 LBT917687 LLP917687 LVL917687 MFH917687 MPD917687 MYZ917687 NIV917687 NSR917687 OCN917687 OMJ917687 OWF917687 PGB917687 PPX917687 PZT917687 QJP917687 QTL917687 RDH917687 RND917687 RWZ917687 SGV917687 SQR917687 TAN917687 TKJ917687 TUF917687 UEB917687 UNX917687 UXT917687 VHP917687 VRL917687 WBH917687 WLD917687 WUZ917687 E983223 IN983223 SJ983223 ACF983223 AMB983223 AVX983223 BFT983223 BPP983223 BZL983223 CJH983223 CTD983223 DCZ983223 DMV983223 DWR983223 EGN983223 EQJ983223 FAF983223 FKB983223 FTX983223 GDT983223 GNP983223 GXL983223 HHH983223 HRD983223 IAZ983223 IKV983223 IUR983223 JEN983223 JOJ983223 JYF983223 KIB983223 KRX983223 LBT983223 LLP983223 LVL983223 MFH983223 MPD983223 MYZ983223 NIV983223 NSR983223 OCN983223 OMJ983223 OWF983223 PGB983223 PPX983223 PZT983223 QJP983223 QTL983223 RDH983223 RND983223 RWZ983223 SGV983223 SQR983223 TAN983223 TKJ983223 TUF983223 UEB983223 UNX983223 UXT983223 VHP983223 VRL983223 WBH983223 WLD983223 E33:E36 E59">
      <formula1>"mm,mil"</formula1>
    </dataValidation>
    <dataValidation type="decimal" operator="greaterThan" allowBlank="1" showInputMessage="1" showErrorMessage="1" sqref="D24 IM24 SI24 ACE24 AMA24 AVW24 BFS24 BPO24 BZK24 CJG24 CTC24 DCY24 DMU24 DWQ24 EGM24 EQI24 FAE24 FKA24 FTW24 GDS24 GNO24 GXK24 HHG24 HRC24 IAY24 IKU24 IUQ24 JEM24 JOI24 JYE24 KIA24 KRW24 LBS24 LLO24 LVK24 MFG24 MPC24 MYY24 NIU24 NSQ24 OCM24 OMI24 OWE24 PGA24 PPW24 PZS24 QJO24 QTK24 RDG24 RNC24 RWY24 SGU24 SQQ24 TAM24 TKI24 TUE24 UEA24 UNW24 UXS24 VHO24 VRK24 WBG24 WLC24 WUY24 D65718 IM65718 SI65718 ACE65718 AMA65718 AVW65718 BFS65718 BPO65718 BZK65718 CJG65718 CTC65718 DCY65718 DMU65718 DWQ65718 EGM65718 EQI65718 FAE65718 FKA65718 FTW65718 GDS65718 GNO65718 GXK65718 HHG65718 HRC65718 IAY65718 IKU65718 IUQ65718 JEM65718 JOI65718 JYE65718 KIA65718 KRW65718 LBS65718 LLO65718 LVK65718 MFG65718 MPC65718 MYY65718 NIU65718 NSQ65718 OCM65718 OMI65718 OWE65718 PGA65718 PPW65718 PZS65718 QJO65718 QTK65718 RDG65718 RNC65718 RWY65718 SGU65718 SQQ65718 TAM65718 TKI65718 TUE65718 UEA65718 UNW65718 UXS65718 VHO65718 VRK65718 WBG65718 WLC65718 WUY65718 D131254 IM131254 SI131254 ACE131254 AMA131254 AVW131254 BFS131254 BPO131254 BZK131254 CJG131254 CTC131254 DCY131254 DMU131254 DWQ131254 EGM131254 EQI131254 FAE131254 FKA131254 FTW131254 GDS131254 GNO131254 GXK131254 HHG131254 HRC131254 IAY131254 IKU131254 IUQ131254 JEM131254 JOI131254 JYE131254 KIA131254 KRW131254 LBS131254 LLO131254 LVK131254 MFG131254 MPC131254 MYY131254 NIU131254 NSQ131254 OCM131254 OMI131254 OWE131254 PGA131254 PPW131254 PZS131254 QJO131254 QTK131254 RDG131254 RNC131254 RWY131254 SGU131254 SQQ131254 TAM131254 TKI131254 TUE131254 UEA131254 UNW131254 UXS131254 VHO131254 VRK131254 WBG131254 WLC131254 WUY131254 D196790 IM196790 SI196790 ACE196790 AMA196790 AVW196790 BFS196790 BPO196790 BZK196790 CJG196790 CTC196790 DCY196790 DMU196790 DWQ196790 EGM196790 EQI196790 FAE196790 FKA196790 FTW196790 GDS196790 GNO196790 GXK196790 HHG196790 HRC196790 IAY196790 IKU196790 IUQ196790 JEM196790 JOI196790 JYE196790 KIA196790 KRW196790 LBS196790 LLO196790 LVK196790 MFG196790 MPC196790 MYY196790 NIU196790 NSQ196790 OCM196790 OMI196790 OWE196790 PGA196790 PPW196790 PZS196790 QJO196790 QTK196790 RDG196790 RNC196790 RWY196790 SGU196790 SQQ196790 TAM196790 TKI196790 TUE196790 UEA196790 UNW196790 UXS196790 VHO196790 VRK196790 WBG196790 WLC196790 WUY196790 D262326 IM262326 SI262326 ACE262326 AMA262326 AVW262326 BFS262326 BPO262326 BZK262326 CJG262326 CTC262326 DCY262326 DMU262326 DWQ262326 EGM262326 EQI262326 FAE262326 FKA262326 FTW262326 GDS262326 GNO262326 GXK262326 HHG262326 HRC262326 IAY262326 IKU262326 IUQ262326 JEM262326 JOI262326 JYE262326 KIA262326 KRW262326 LBS262326 LLO262326 LVK262326 MFG262326 MPC262326 MYY262326 NIU262326 NSQ262326 OCM262326 OMI262326 OWE262326 PGA262326 PPW262326 PZS262326 QJO262326 QTK262326 RDG262326 RNC262326 RWY262326 SGU262326 SQQ262326 TAM262326 TKI262326 TUE262326 UEA262326 UNW262326 UXS262326 VHO262326 VRK262326 WBG262326 WLC262326 WUY262326 D327862 IM327862 SI327862 ACE327862 AMA327862 AVW327862 BFS327862 BPO327862 BZK327862 CJG327862 CTC327862 DCY327862 DMU327862 DWQ327862 EGM327862 EQI327862 FAE327862 FKA327862 FTW327862 GDS327862 GNO327862 GXK327862 HHG327862 HRC327862 IAY327862 IKU327862 IUQ327862 JEM327862 JOI327862 JYE327862 KIA327862 KRW327862 LBS327862 LLO327862 LVK327862 MFG327862 MPC327862 MYY327862 NIU327862 NSQ327862 OCM327862 OMI327862 OWE327862 PGA327862 PPW327862 PZS327862 QJO327862 QTK327862 RDG327862 RNC327862 RWY327862 SGU327862 SQQ327862 TAM327862 TKI327862 TUE327862 UEA327862 UNW327862 UXS327862 VHO327862 VRK327862 WBG327862 WLC327862 WUY327862 D393398 IM393398 SI393398 ACE393398 AMA393398 AVW393398 BFS393398 BPO393398 BZK393398 CJG393398 CTC393398 DCY393398 DMU393398 DWQ393398 EGM393398 EQI393398 FAE393398 FKA393398 FTW393398 GDS393398 GNO393398 GXK393398 HHG393398 HRC393398 IAY393398 IKU393398 IUQ393398 JEM393398 JOI393398 JYE393398 KIA393398 KRW393398 LBS393398 LLO393398 LVK393398 MFG393398 MPC393398 MYY393398 NIU393398 NSQ393398 OCM393398 OMI393398 OWE393398 PGA393398 PPW393398 PZS393398 QJO393398 QTK393398 RDG393398 RNC393398 RWY393398 SGU393398 SQQ393398 TAM393398 TKI393398 TUE393398 UEA393398 UNW393398 UXS393398 VHO393398 VRK393398 WBG393398 WLC393398 WUY393398 D458934 IM458934 SI458934 ACE458934 AMA458934 AVW458934 BFS458934 BPO458934 BZK458934 CJG458934 CTC458934 DCY458934 DMU458934 DWQ458934 EGM458934 EQI458934 FAE458934 FKA458934 FTW458934 GDS458934 GNO458934 GXK458934 HHG458934 HRC458934 IAY458934 IKU458934 IUQ458934 JEM458934 JOI458934 JYE458934 KIA458934 KRW458934 LBS458934 LLO458934 LVK458934 MFG458934 MPC458934 MYY458934 NIU458934 NSQ458934 OCM458934 OMI458934 OWE458934 PGA458934 PPW458934 PZS458934 QJO458934 QTK458934 RDG458934 RNC458934 RWY458934 SGU458934 SQQ458934 TAM458934 TKI458934 TUE458934 UEA458934 UNW458934 UXS458934 VHO458934 VRK458934 WBG458934 WLC458934 WUY458934 D524470 IM524470 SI524470 ACE524470 AMA524470 AVW524470 BFS524470 BPO524470 BZK524470 CJG524470 CTC524470 DCY524470 DMU524470 DWQ524470 EGM524470 EQI524470 FAE524470 FKA524470 FTW524470 GDS524470 GNO524470 GXK524470 HHG524470 HRC524470 IAY524470 IKU524470 IUQ524470 JEM524470 JOI524470 JYE524470 KIA524470 KRW524470 LBS524470 LLO524470 LVK524470 MFG524470 MPC524470 MYY524470 NIU524470 NSQ524470 OCM524470 OMI524470 OWE524470 PGA524470 PPW524470 PZS524470 QJO524470 QTK524470 RDG524470 RNC524470 RWY524470 SGU524470 SQQ524470 TAM524470 TKI524470 TUE524470 UEA524470 UNW524470 UXS524470 VHO524470 VRK524470 WBG524470 WLC524470 WUY524470 D590006 IM590006 SI590006 ACE590006 AMA590006 AVW590006 BFS590006 BPO590006 BZK590006 CJG590006 CTC590006 DCY590006 DMU590006 DWQ590006 EGM590006 EQI590006 FAE590006 FKA590006 FTW590006 GDS590006 GNO590006 GXK590006 HHG590006 HRC590006 IAY590006 IKU590006 IUQ590006 JEM590006 JOI590006 JYE590006 KIA590006 KRW590006 LBS590006 LLO590006 LVK590006 MFG590006 MPC590006 MYY590006 NIU590006 NSQ590006 OCM590006 OMI590006 OWE590006 PGA590006 PPW590006 PZS590006 QJO590006 QTK590006 RDG590006 RNC590006 RWY590006 SGU590006 SQQ590006 TAM590006 TKI590006 TUE590006 UEA590006 UNW590006 UXS590006 VHO590006 VRK590006 WBG590006 WLC590006 WUY590006 D655542 IM655542 SI655542 ACE655542 AMA655542 AVW655542 BFS655542 BPO655542 BZK655542 CJG655542 CTC655542 DCY655542 DMU655542 DWQ655542 EGM655542 EQI655542 FAE655542 FKA655542 FTW655542 GDS655542 GNO655542 GXK655542 HHG655542 HRC655542 IAY655542 IKU655542 IUQ655542 JEM655542 JOI655542 JYE655542 KIA655542 KRW655542 LBS655542 LLO655542 LVK655542 MFG655542 MPC655542 MYY655542 NIU655542 NSQ655542 OCM655542 OMI655542 OWE655542 PGA655542 PPW655542 PZS655542 QJO655542 QTK655542 RDG655542 RNC655542 RWY655542 SGU655542 SQQ655542 TAM655542 TKI655542 TUE655542 UEA655542 UNW655542 UXS655542 VHO655542 VRK655542 WBG655542 WLC655542 WUY655542 D721078 IM721078 SI721078 ACE721078 AMA721078 AVW721078 BFS721078 BPO721078 BZK721078 CJG721078 CTC721078 DCY721078 DMU721078 DWQ721078 EGM721078 EQI721078 FAE721078 FKA721078 FTW721078 GDS721078 GNO721078 GXK721078 HHG721078 HRC721078 IAY721078 IKU721078 IUQ721078 JEM721078 JOI721078 JYE721078 KIA721078 KRW721078 LBS721078 LLO721078 LVK721078 MFG721078 MPC721078 MYY721078 NIU721078 NSQ721078 OCM721078 OMI721078 OWE721078 PGA721078 PPW721078 PZS721078 QJO721078 QTK721078 RDG721078 RNC721078 RWY721078 SGU721078 SQQ721078 TAM721078 TKI721078 TUE721078 UEA721078 UNW721078 UXS721078 VHO721078 VRK721078 WBG721078 WLC721078 WUY721078 D786614 IM786614 SI786614 ACE786614 AMA786614 AVW786614 BFS786614 BPO786614 BZK786614 CJG786614 CTC786614 DCY786614 DMU786614 DWQ786614 EGM786614 EQI786614 FAE786614 FKA786614 FTW786614 GDS786614 GNO786614 GXK786614 HHG786614 HRC786614 IAY786614 IKU786614 IUQ786614 JEM786614 JOI786614 JYE786614 KIA786614 KRW786614 LBS786614 LLO786614 LVK786614 MFG786614 MPC786614 MYY786614 NIU786614 NSQ786614 OCM786614 OMI786614 OWE786614 PGA786614 PPW786614 PZS786614 QJO786614 QTK786614 RDG786614 RNC786614 RWY786614 SGU786614 SQQ786614 TAM786614 TKI786614 TUE786614 UEA786614 UNW786614 UXS786614 VHO786614 VRK786614 WBG786614 WLC786614 WUY786614 D852150 IM852150 SI852150 ACE852150 AMA852150 AVW852150 BFS852150 BPO852150 BZK852150 CJG852150 CTC852150 DCY852150 DMU852150 DWQ852150 EGM852150 EQI852150 FAE852150 FKA852150 FTW852150 GDS852150 GNO852150 GXK852150 HHG852150 HRC852150 IAY852150 IKU852150 IUQ852150 JEM852150 JOI852150 JYE852150 KIA852150 KRW852150 LBS852150 LLO852150 LVK852150 MFG852150 MPC852150 MYY852150 NIU852150 NSQ852150 OCM852150 OMI852150 OWE852150 PGA852150 PPW852150 PZS852150 QJO852150 QTK852150 RDG852150 RNC852150 RWY852150 SGU852150 SQQ852150 TAM852150 TKI852150 TUE852150 UEA852150 UNW852150 UXS852150 VHO852150 VRK852150 WBG852150 WLC852150 WUY852150 D917686 IM917686 SI917686 ACE917686 AMA917686 AVW917686 BFS917686 BPO917686 BZK917686 CJG917686 CTC917686 DCY917686 DMU917686 DWQ917686 EGM917686 EQI917686 FAE917686 FKA917686 FTW917686 GDS917686 GNO917686 GXK917686 HHG917686 HRC917686 IAY917686 IKU917686 IUQ917686 JEM917686 JOI917686 JYE917686 KIA917686 KRW917686 LBS917686 LLO917686 LVK917686 MFG917686 MPC917686 MYY917686 NIU917686 NSQ917686 OCM917686 OMI917686 OWE917686 PGA917686 PPW917686 PZS917686 QJO917686 QTK917686 RDG917686 RNC917686 RWY917686 SGU917686 SQQ917686 TAM917686 TKI917686 TUE917686 UEA917686 UNW917686 UXS917686 VHO917686 VRK917686 WBG917686 WLC917686 WUY917686 D983222 IM983222 SI983222 ACE983222 AMA983222 AVW983222 BFS983222 BPO983222 BZK983222 CJG983222 CTC983222 DCY983222 DMU983222 DWQ983222 EGM983222 EQI983222 FAE983222 FKA983222 FTW983222 GDS983222 GNO983222 GXK983222 HHG983222 HRC983222 IAY983222 IKU983222 IUQ983222 JEM983222 JOI983222 JYE983222 KIA983222 KRW983222 LBS983222 LLO983222 LVK983222 MFG983222 MPC983222 MYY983222 NIU983222 NSQ983222 OCM983222 OMI983222 OWE983222 PGA983222 PPW983222 PZS983222 QJO983222 QTK983222 RDG983222 RNC983222 RWY983222 SGU983222 SQQ983222 TAM983222 TKI983222 TUE983222 UEA983222 UNW983222 UXS983222 VHO983222 VRK983222 WBG983222 WLC983222 WUY983222">
      <formula1>0.1</formula1>
    </dataValidation>
    <dataValidation type="list" errorStyle="information" allowBlank="1" showInputMessage="1" showErrorMessage="1" errorTitle="Capacitor" error="1.68e-8 is appropriate value for copper traces." sqref="WUY983238 IM49 SI49 ACE49 AMA49 AVW49 BFS49 BPO49 BZK49 CJG49 CTC49 DCY49 DMU49 DWQ49 EGM49 EQI49 FAE49 FKA49 FTW49 GDS49 GNO49 GXK49 HHG49 HRC49 IAY49 IKU49 IUQ49 JEM49 JOI49 JYE49 KIA49 KRW49 LBS49 LLO49 LVK49 MFG49 MPC49 MYY49 NIU49 NSQ49 OCM49 OMI49 OWE49 PGA49 PPW49 PZS49 QJO49 QTK49 RDG49 RNC49 RWY49 SGU49 SQQ49 TAM49 TKI49 TUE49 UEA49 UNW49 UXS49 VHO49 VRK49 WBG49 WLC49 WUY49 D65734 IM65734 SI65734 ACE65734 AMA65734 AVW65734 BFS65734 BPO65734 BZK65734 CJG65734 CTC65734 DCY65734 DMU65734 DWQ65734 EGM65734 EQI65734 FAE65734 FKA65734 FTW65734 GDS65734 GNO65734 GXK65734 HHG65734 HRC65734 IAY65734 IKU65734 IUQ65734 JEM65734 JOI65734 JYE65734 KIA65734 KRW65734 LBS65734 LLO65734 LVK65734 MFG65734 MPC65734 MYY65734 NIU65734 NSQ65734 OCM65734 OMI65734 OWE65734 PGA65734 PPW65734 PZS65734 QJO65734 QTK65734 RDG65734 RNC65734 RWY65734 SGU65734 SQQ65734 TAM65734 TKI65734 TUE65734 UEA65734 UNW65734 UXS65734 VHO65734 VRK65734 WBG65734 WLC65734 WUY65734 D131270 IM131270 SI131270 ACE131270 AMA131270 AVW131270 BFS131270 BPO131270 BZK131270 CJG131270 CTC131270 DCY131270 DMU131270 DWQ131270 EGM131270 EQI131270 FAE131270 FKA131270 FTW131270 GDS131270 GNO131270 GXK131270 HHG131270 HRC131270 IAY131270 IKU131270 IUQ131270 JEM131270 JOI131270 JYE131270 KIA131270 KRW131270 LBS131270 LLO131270 LVK131270 MFG131270 MPC131270 MYY131270 NIU131270 NSQ131270 OCM131270 OMI131270 OWE131270 PGA131270 PPW131270 PZS131270 QJO131270 QTK131270 RDG131270 RNC131270 RWY131270 SGU131270 SQQ131270 TAM131270 TKI131270 TUE131270 UEA131270 UNW131270 UXS131270 VHO131270 VRK131270 WBG131270 WLC131270 WUY131270 D196806 IM196806 SI196806 ACE196806 AMA196806 AVW196806 BFS196806 BPO196806 BZK196806 CJG196806 CTC196806 DCY196806 DMU196806 DWQ196806 EGM196806 EQI196806 FAE196806 FKA196806 FTW196806 GDS196806 GNO196806 GXK196806 HHG196806 HRC196806 IAY196806 IKU196806 IUQ196806 JEM196806 JOI196806 JYE196806 KIA196806 KRW196806 LBS196806 LLO196806 LVK196806 MFG196806 MPC196806 MYY196806 NIU196806 NSQ196806 OCM196806 OMI196806 OWE196806 PGA196806 PPW196806 PZS196806 QJO196806 QTK196806 RDG196806 RNC196806 RWY196806 SGU196806 SQQ196806 TAM196806 TKI196806 TUE196806 UEA196806 UNW196806 UXS196806 VHO196806 VRK196806 WBG196806 WLC196806 WUY196806 D262342 IM262342 SI262342 ACE262342 AMA262342 AVW262342 BFS262342 BPO262342 BZK262342 CJG262342 CTC262342 DCY262342 DMU262342 DWQ262342 EGM262342 EQI262342 FAE262342 FKA262342 FTW262342 GDS262342 GNO262342 GXK262342 HHG262342 HRC262342 IAY262342 IKU262342 IUQ262342 JEM262342 JOI262342 JYE262342 KIA262342 KRW262342 LBS262342 LLO262342 LVK262342 MFG262342 MPC262342 MYY262342 NIU262342 NSQ262342 OCM262342 OMI262342 OWE262342 PGA262342 PPW262342 PZS262342 QJO262342 QTK262342 RDG262342 RNC262342 RWY262342 SGU262342 SQQ262342 TAM262342 TKI262342 TUE262342 UEA262342 UNW262342 UXS262342 VHO262342 VRK262342 WBG262342 WLC262342 WUY262342 D327878 IM327878 SI327878 ACE327878 AMA327878 AVW327878 BFS327878 BPO327878 BZK327878 CJG327878 CTC327878 DCY327878 DMU327878 DWQ327878 EGM327878 EQI327878 FAE327878 FKA327878 FTW327878 GDS327878 GNO327878 GXK327878 HHG327878 HRC327878 IAY327878 IKU327878 IUQ327878 JEM327878 JOI327878 JYE327878 KIA327878 KRW327878 LBS327878 LLO327878 LVK327878 MFG327878 MPC327878 MYY327878 NIU327878 NSQ327878 OCM327878 OMI327878 OWE327878 PGA327878 PPW327878 PZS327878 QJO327878 QTK327878 RDG327878 RNC327878 RWY327878 SGU327878 SQQ327878 TAM327878 TKI327878 TUE327878 UEA327878 UNW327878 UXS327878 VHO327878 VRK327878 WBG327878 WLC327878 WUY327878 D393414 IM393414 SI393414 ACE393414 AMA393414 AVW393414 BFS393414 BPO393414 BZK393414 CJG393414 CTC393414 DCY393414 DMU393414 DWQ393414 EGM393414 EQI393414 FAE393414 FKA393414 FTW393414 GDS393414 GNO393414 GXK393414 HHG393414 HRC393414 IAY393414 IKU393414 IUQ393414 JEM393414 JOI393414 JYE393414 KIA393414 KRW393414 LBS393414 LLO393414 LVK393414 MFG393414 MPC393414 MYY393414 NIU393414 NSQ393414 OCM393414 OMI393414 OWE393414 PGA393414 PPW393414 PZS393414 QJO393414 QTK393414 RDG393414 RNC393414 RWY393414 SGU393414 SQQ393414 TAM393414 TKI393414 TUE393414 UEA393414 UNW393414 UXS393414 VHO393414 VRK393414 WBG393414 WLC393414 WUY393414 D458950 IM458950 SI458950 ACE458950 AMA458950 AVW458950 BFS458950 BPO458950 BZK458950 CJG458950 CTC458950 DCY458950 DMU458950 DWQ458950 EGM458950 EQI458950 FAE458950 FKA458950 FTW458950 GDS458950 GNO458950 GXK458950 HHG458950 HRC458950 IAY458950 IKU458950 IUQ458950 JEM458950 JOI458950 JYE458950 KIA458950 KRW458950 LBS458950 LLO458950 LVK458950 MFG458950 MPC458950 MYY458950 NIU458950 NSQ458950 OCM458950 OMI458950 OWE458950 PGA458950 PPW458950 PZS458950 QJO458950 QTK458950 RDG458950 RNC458950 RWY458950 SGU458950 SQQ458950 TAM458950 TKI458950 TUE458950 UEA458950 UNW458950 UXS458950 VHO458950 VRK458950 WBG458950 WLC458950 WUY458950 D524486 IM524486 SI524486 ACE524486 AMA524486 AVW524486 BFS524486 BPO524486 BZK524486 CJG524486 CTC524486 DCY524486 DMU524486 DWQ524486 EGM524486 EQI524486 FAE524486 FKA524486 FTW524486 GDS524486 GNO524486 GXK524486 HHG524486 HRC524486 IAY524486 IKU524486 IUQ524486 JEM524486 JOI524486 JYE524486 KIA524486 KRW524486 LBS524486 LLO524486 LVK524486 MFG524486 MPC524486 MYY524486 NIU524486 NSQ524486 OCM524486 OMI524486 OWE524486 PGA524486 PPW524486 PZS524486 QJO524486 QTK524486 RDG524486 RNC524486 RWY524486 SGU524486 SQQ524486 TAM524486 TKI524486 TUE524486 UEA524486 UNW524486 UXS524486 VHO524486 VRK524486 WBG524486 WLC524486 WUY524486 D590022 IM590022 SI590022 ACE590022 AMA590022 AVW590022 BFS590022 BPO590022 BZK590022 CJG590022 CTC590022 DCY590022 DMU590022 DWQ590022 EGM590022 EQI590022 FAE590022 FKA590022 FTW590022 GDS590022 GNO590022 GXK590022 HHG590022 HRC590022 IAY590022 IKU590022 IUQ590022 JEM590022 JOI590022 JYE590022 KIA590022 KRW590022 LBS590022 LLO590022 LVK590022 MFG590022 MPC590022 MYY590022 NIU590022 NSQ590022 OCM590022 OMI590022 OWE590022 PGA590022 PPW590022 PZS590022 QJO590022 QTK590022 RDG590022 RNC590022 RWY590022 SGU590022 SQQ590022 TAM590022 TKI590022 TUE590022 UEA590022 UNW590022 UXS590022 VHO590022 VRK590022 WBG590022 WLC590022 WUY590022 D655558 IM655558 SI655558 ACE655558 AMA655558 AVW655558 BFS655558 BPO655558 BZK655558 CJG655558 CTC655558 DCY655558 DMU655558 DWQ655558 EGM655558 EQI655558 FAE655558 FKA655558 FTW655558 GDS655558 GNO655558 GXK655558 HHG655558 HRC655558 IAY655558 IKU655558 IUQ655558 JEM655558 JOI655558 JYE655558 KIA655558 KRW655558 LBS655558 LLO655558 LVK655558 MFG655558 MPC655558 MYY655558 NIU655558 NSQ655558 OCM655558 OMI655558 OWE655558 PGA655558 PPW655558 PZS655558 QJO655558 QTK655558 RDG655558 RNC655558 RWY655558 SGU655558 SQQ655558 TAM655558 TKI655558 TUE655558 UEA655558 UNW655558 UXS655558 VHO655558 VRK655558 WBG655558 WLC655558 WUY655558 D721094 IM721094 SI721094 ACE721094 AMA721094 AVW721094 BFS721094 BPO721094 BZK721094 CJG721094 CTC721094 DCY721094 DMU721094 DWQ721094 EGM721094 EQI721094 FAE721094 FKA721094 FTW721094 GDS721094 GNO721094 GXK721094 HHG721094 HRC721094 IAY721094 IKU721094 IUQ721094 JEM721094 JOI721094 JYE721094 KIA721094 KRW721094 LBS721094 LLO721094 LVK721094 MFG721094 MPC721094 MYY721094 NIU721094 NSQ721094 OCM721094 OMI721094 OWE721094 PGA721094 PPW721094 PZS721094 QJO721094 QTK721094 RDG721094 RNC721094 RWY721094 SGU721094 SQQ721094 TAM721094 TKI721094 TUE721094 UEA721094 UNW721094 UXS721094 VHO721094 VRK721094 WBG721094 WLC721094 WUY721094 D786630 IM786630 SI786630 ACE786630 AMA786630 AVW786630 BFS786630 BPO786630 BZK786630 CJG786630 CTC786630 DCY786630 DMU786630 DWQ786630 EGM786630 EQI786630 FAE786630 FKA786630 FTW786630 GDS786630 GNO786630 GXK786630 HHG786630 HRC786630 IAY786630 IKU786630 IUQ786630 JEM786630 JOI786630 JYE786630 KIA786630 KRW786630 LBS786630 LLO786630 LVK786630 MFG786630 MPC786630 MYY786630 NIU786630 NSQ786630 OCM786630 OMI786630 OWE786630 PGA786630 PPW786630 PZS786630 QJO786630 QTK786630 RDG786630 RNC786630 RWY786630 SGU786630 SQQ786630 TAM786630 TKI786630 TUE786630 UEA786630 UNW786630 UXS786630 VHO786630 VRK786630 WBG786630 WLC786630 WUY786630 D852166 IM852166 SI852166 ACE852166 AMA852166 AVW852166 BFS852166 BPO852166 BZK852166 CJG852166 CTC852166 DCY852166 DMU852166 DWQ852166 EGM852166 EQI852166 FAE852166 FKA852166 FTW852166 GDS852166 GNO852166 GXK852166 HHG852166 HRC852166 IAY852166 IKU852166 IUQ852166 JEM852166 JOI852166 JYE852166 KIA852166 KRW852166 LBS852166 LLO852166 LVK852166 MFG852166 MPC852166 MYY852166 NIU852166 NSQ852166 OCM852166 OMI852166 OWE852166 PGA852166 PPW852166 PZS852166 QJO852166 QTK852166 RDG852166 RNC852166 RWY852166 SGU852166 SQQ852166 TAM852166 TKI852166 TUE852166 UEA852166 UNW852166 UXS852166 VHO852166 VRK852166 WBG852166 WLC852166 WUY852166 D917702 IM917702 SI917702 ACE917702 AMA917702 AVW917702 BFS917702 BPO917702 BZK917702 CJG917702 CTC917702 DCY917702 DMU917702 DWQ917702 EGM917702 EQI917702 FAE917702 FKA917702 FTW917702 GDS917702 GNO917702 GXK917702 HHG917702 HRC917702 IAY917702 IKU917702 IUQ917702 JEM917702 JOI917702 JYE917702 KIA917702 KRW917702 LBS917702 LLO917702 LVK917702 MFG917702 MPC917702 MYY917702 NIU917702 NSQ917702 OCM917702 OMI917702 OWE917702 PGA917702 PPW917702 PZS917702 QJO917702 QTK917702 RDG917702 RNC917702 RWY917702 SGU917702 SQQ917702 TAM917702 TKI917702 TUE917702 UEA917702 UNW917702 UXS917702 VHO917702 VRK917702 WBG917702 WLC917702 WUY917702 D983238 IM983238 SI983238 ACE983238 AMA983238 AVW983238 BFS983238 BPO983238 BZK983238 CJG983238 CTC983238 DCY983238 DMU983238 DWQ983238 EGM983238 EQI983238 FAE983238 FKA983238 FTW983238 GDS983238 GNO983238 GXK983238 HHG983238 HRC983238 IAY983238 IKU983238 IUQ983238 JEM983238 JOI983238 JYE983238 KIA983238 KRW983238 LBS983238 LLO983238 LVK983238 MFG983238 MPC983238 MYY983238 NIU983238 NSQ983238 OCM983238 OMI983238 OWE983238 PGA983238 PPW983238 PZS983238 QJO983238 QTK983238 RDG983238 RNC983238 RWY983238 SGU983238 SQQ983238 TAM983238 TKI983238 TUE983238 UEA983238 UNW983238 UXS983238 VHO983238 VRK983238 WBG983238 WLC983238">
      <formula1>"1.68e-8"</formula1>
    </dataValidation>
    <dataValidation type="list" errorStyle="information" allowBlank="1" showInputMessage="1" showErrorMessage="1" errorTitle="USe appropriate value" error="PCB traces should use 0.393 for copper." sqref="WUY983239 IM50 SI50 ACE50 AMA50 AVW50 BFS50 BPO50 BZK50 CJG50 CTC50 DCY50 DMU50 DWQ50 EGM50 EQI50 FAE50 FKA50 FTW50 GDS50 GNO50 GXK50 HHG50 HRC50 IAY50 IKU50 IUQ50 JEM50 JOI50 JYE50 KIA50 KRW50 LBS50 LLO50 LVK50 MFG50 MPC50 MYY50 NIU50 NSQ50 OCM50 OMI50 OWE50 PGA50 PPW50 PZS50 QJO50 QTK50 RDG50 RNC50 RWY50 SGU50 SQQ50 TAM50 TKI50 TUE50 UEA50 UNW50 UXS50 VHO50 VRK50 WBG50 WLC50 WUY50 D65735 IM65735 SI65735 ACE65735 AMA65735 AVW65735 BFS65735 BPO65735 BZK65735 CJG65735 CTC65735 DCY65735 DMU65735 DWQ65735 EGM65735 EQI65735 FAE65735 FKA65735 FTW65735 GDS65735 GNO65735 GXK65735 HHG65735 HRC65735 IAY65735 IKU65735 IUQ65735 JEM65735 JOI65735 JYE65735 KIA65735 KRW65735 LBS65735 LLO65735 LVK65735 MFG65735 MPC65735 MYY65735 NIU65735 NSQ65735 OCM65735 OMI65735 OWE65735 PGA65735 PPW65735 PZS65735 QJO65735 QTK65735 RDG65735 RNC65735 RWY65735 SGU65735 SQQ65735 TAM65735 TKI65735 TUE65735 UEA65735 UNW65735 UXS65735 VHO65735 VRK65735 WBG65735 WLC65735 WUY65735 D131271 IM131271 SI131271 ACE131271 AMA131271 AVW131271 BFS131271 BPO131271 BZK131271 CJG131271 CTC131271 DCY131271 DMU131271 DWQ131271 EGM131271 EQI131271 FAE131271 FKA131271 FTW131271 GDS131271 GNO131271 GXK131271 HHG131271 HRC131271 IAY131271 IKU131271 IUQ131271 JEM131271 JOI131271 JYE131271 KIA131271 KRW131271 LBS131271 LLO131271 LVK131271 MFG131271 MPC131271 MYY131271 NIU131271 NSQ131271 OCM131271 OMI131271 OWE131271 PGA131271 PPW131271 PZS131271 QJO131271 QTK131271 RDG131271 RNC131271 RWY131271 SGU131271 SQQ131271 TAM131271 TKI131271 TUE131271 UEA131271 UNW131271 UXS131271 VHO131271 VRK131271 WBG131271 WLC131271 WUY131271 D196807 IM196807 SI196807 ACE196807 AMA196807 AVW196807 BFS196807 BPO196807 BZK196807 CJG196807 CTC196807 DCY196807 DMU196807 DWQ196807 EGM196807 EQI196807 FAE196807 FKA196807 FTW196807 GDS196807 GNO196807 GXK196807 HHG196807 HRC196807 IAY196807 IKU196807 IUQ196807 JEM196807 JOI196807 JYE196807 KIA196807 KRW196807 LBS196807 LLO196807 LVK196807 MFG196807 MPC196807 MYY196807 NIU196807 NSQ196807 OCM196807 OMI196807 OWE196807 PGA196807 PPW196807 PZS196807 QJO196807 QTK196807 RDG196807 RNC196807 RWY196807 SGU196807 SQQ196807 TAM196807 TKI196807 TUE196807 UEA196807 UNW196807 UXS196807 VHO196807 VRK196807 WBG196807 WLC196807 WUY196807 D262343 IM262343 SI262343 ACE262343 AMA262343 AVW262343 BFS262343 BPO262343 BZK262343 CJG262343 CTC262343 DCY262343 DMU262343 DWQ262343 EGM262343 EQI262343 FAE262343 FKA262343 FTW262343 GDS262343 GNO262343 GXK262343 HHG262343 HRC262343 IAY262343 IKU262343 IUQ262343 JEM262343 JOI262343 JYE262343 KIA262343 KRW262343 LBS262343 LLO262343 LVK262343 MFG262343 MPC262343 MYY262343 NIU262343 NSQ262343 OCM262343 OMI262343 OWE262343 PGA262343 PPW262343 PZS262343 QJO262343 QTK262343 RDG262343 RNC262343 RWY262343 SGU262343 SQQ262343 TAM262343 TKI262343 TUE262343 UEA262343 UNW262343 UXS262343 VHO262343 VRK262343 WBG262343 WLC262343 WUY262343 D327879 IM327879 SI327879 ACE327879 AMA327879 AVW327879 BFS327879 BPO327879 BZK327879 CJG327879 CTC327879 DCY327879 DMU327879 DWQ327879 EGM327879 EQI327879 FAE327879 FKA327879 FTW327879 GDS327879 GNO327879 GXK327879 HHG327879 HRC327879 IAY327879 IKU327879 IUQ327879 JEM327879 JOI327879 JYE327879 KIA327879 KRW327879 LBS327879 LLO327879 LVK327879 MFG327879 MPC327879 MYY327879 NIU327879 NSQ327879 OCM327879 OMI327879 OWE327879 PGA327879 PPW327879 PZS327879 QJO327879 QTK327879 RDG327879 RNC327879 RWY327879 SGU327879 SQQ327879 TAM327879 TKI327879 TUE327879 UEA327879 UNW327879 UXS327879 VHO327879 VRK327879 WBG327879 WLC327879 WUY327879 D393415 IM393415 SI393415 ACE393415 AMA393415 AVW393415 BFS393415 BPO393415 BZK393415 CJG393415 CTC393415 DCY393415 DMU393415 DWQ393415 EGM393415 EQI393415 FAE393415 FKA393415 FTW393415 GDS393415 GNO393415 GXK393415 HHG393415 HRC393415 IAY393415 IKU393415 IUQ393415 JEM393415 JOI393415 JYE393415 KIA393415 KRW393415 LBS393415 LLO393415 LVK393415 MFG393415 MPC393415 MYY393415 NIU393415 NSQ393415 OCM393415 OMI393415 OWE393415 PGA393415 PPW393415 PZS393415 QJO393415 QTK393415 RDG393415 RNC393415 RWY393415 SGU393415 SQQ393415 TAM393415 TKI393415 TUE393415 UEA393415 UNW393415 UXS393415 VHO393415 VRK393415 WBG393415 WLC393415 WUY393415 D458951 IM458951 SI458951 ACE458951 AMA458951 AVW458951 BFS458951 BPO458951 BZK458951 CJG458951 CTC458951 DCY458951 DMU458951 DWQ458951 EGM458951 EQI458951 FAE458951 FKA458951 FTW458951 GDS458951 GNO458951 GXK458951 HHG458951 HRC458951 IAY458951 IKU458951 IUQ458951 JEM458951 JOI458951 JYE458951 KIA458951 KRW458951 LBS458951 LLO458951 LVK458951 MFG458951 MPC458951 MYY458951 NIU458951 NSQ458951 OCM458951 OMI458951 OWE458951 PGA458951 PPW458951 PZS458951 QJO458951 QTK458951 RDG458951 RNC458951 RWY458951 SGU458951 SQQ458951 TAM458951 TKI458951 TUE458951 UEA458951 UNW458951 UXS458951 VHO458951 VRK458951 WBG458951 WLC458951 WUY458951 D524487 IM524487 SI524487 ACE524487 AMA524487 AVW524487 BFS524487 BPO524487 BZK524487 CJG524487 CTC524487 DCY524487 DMU524487 DWQ524487 EGM524487 EQI524487 FAE524487 FKA524487 FTW524487 GDS524487 GNO524487 GXK524487 HHG524487 HRC524487 IAY524487 IKU524487 IUQ524487 JEM524487 JOI524487 JYE524487 KIA524487 KRW524487 LBS524487 LLO524487 LVK524487 MFG524487 MPC524487 MYY524487 NIU524487 NSQ524487 OCM524487 OMI524487 OWE524487 PGA524487 PPW524487 PZS524487 QJO524487 QTK524487 RDG524487 RNC524487 RWY524487 SGU524487 SQQ524487 TAM524487 TKI524487 TUE524487 UEA524487 UNW524487 UXS524487 VHO524487 VRK524487 WBG524487 WLC524487 WUY524487 D590023 IM590023 SI590023 ACE590023 AMA590023 AVW590023 BFS590023 BPO590023 BZK590023 CJG590023 CTC590023 DCY590023 DMU590023 DWQ590023 EGM590023 EQI590023 FAE590023 FKA590023 FTW590023 GDS590023 GNO590023 GXK590023 HHG590023 HRC590023 IAY590023 IKU590023 IUQ590023 JEM590023 JOI590023 JYE590023 KIA590023 KRW590023 LBS590023 LLO590023 LVK590023 MFG590023 MPC590023 MYY590023 NIU590023 NSQ590023 OCM590023 OMI590023 OWE590023 PGA590023 PPW590023 PZS590023 QJO590023 QTK590023 RDG590023 RNC590023 RWY590023 SGU590023 SQQ590023 TAM590023 TKI590023 TUE590023 UEA590023 UNW590023 UXS590023 VHO590023 VRK590023 WBG590023 WLC590023 WUY590023 D655559 IM655559 SI655559 ACE655559 AMA655559 AVW655559 BFS655559 BPO655559 BZK655559 CJG655559 CTC655559 DCY655559 DMU655559 DWQ655559 EGM655559 EQI655559 FAE655559 FKA655559 FTW655559 GDS655559 GNO655559 GXK655559 HHG655559 HRC655559 IAY655559 IKU655559 IUQ655559 JEM655559 JOI655559 JYE655559 KIA655559 KRW655559 LBS655559 LLO655559 LVK655559 MFG655559 MPC655559 MYY655559 NIU655559 NSQ655559 OCM655559 OMI655559 OWE655559 PGA655559 PPW655559 PZS655559 QJO655559 QTK655559 RDG655559 RNC655559 RWY655559 SGU655559 SQQ655559 TAM655559 TKI655559 TUE655559 UEA655559 UNW655559 UXS655559 VHO655559 VRK655559 WBG655559 WLC655559 WUY655559 D721095 IM721095 SI721095 ACE721095 AMA721095 AVW721095 BFS721095 BPO721095 BZK721095 CJG721095 CTC721095 DCY721095 DMU721095 DWQ721095 EGM721095 EQI721095 FAE721095 FKA721095 FTW721095 GDS721095 GNO721095 GXK721095 HHG721095 HRC721095 IAY721095 IKU721095 IUQ721095 JEM721095 JOI721095 JYE721095 KIA721095 KRW721095 LBS721095 LLO721095 LVK721095 MFG721095 MPC721095 MYY721095 NIU721095 NSQ721095 OCM721095 OMI721095 OWE721095 PGA721095 PPW721095 PZS721095 QJO721095 QTK721095 RDG721095 RNC721095 RWY721095 SGU721095 SQQ721095 TAM721095 TKI721095 TUE721095 UEA721095 UNW721095 UXS721095 VHO721095 VRK721095 WBG721095 WLC721095 WUY721095 D786631 IM786631 SI786631 ACE786631 AMA786631 AVW786631 BFS786631 BPO786631 BZK786631 CJG786631 CTC786631 DCY786631 DMU786631 DWQ786631 EGM786631 EQI786631 FAE786631 FKA786631 FTW786631 GDS786631 GNO786631 GXK786631 HHG786631 HRC786631 IAY786631 IKU786631 IUQ786631 JEM786631 JOI786631 JYE786631 KIA786631 KRW786631 LBS786631 LLO786631 LVK786631 MFG786631 MPC786631 MYY786631 NIU786631 NSQ786631 OCM786631 OMI786631 OWE786631 PGA786631 PPW786631 PZS786631 QJO786631 QTK786631 RDG786631 RNC786631 RWY786631 SGU786631 SQQ786631 TAM786631 TKI786631 TUE786631 UEA786631 UNW786631 UXS786631 VHO786631 VRK786631 WBG786631 WLC786631 WUY786631 D852167 IM852167 SI852167 ACE852167 AMA852167 AVW852167 BFS852167 BPO852167 BZK852167 CJG852167 CTC852167 DCY852167 DMU852167 DWQ852167 EGM852167 EQI852167 FAE852167 FKA852167 FTW852167 GDS852167 GNO852167 GXK852167 HHG852167 HRC852167 IAY852167 IKU852167 IUQ852167 JEM852167 JOI852167 JYE852167 KIA852167 KRW852167 LBS852167 LLO852167 LVK852167 MFG852167 MPC852167 MYY852167 NIU852167 NSQ852167 OCM852167 OMI852167 OWE852167 PGA852167 PPW852167 PZS852167 QJO852167 QTK852167 RDG852167 RNC852167 RWY852167 SGU852167 SQQ852167 TAM852167 TKI852167 TUE852167 UEA852167 UNW852167 UXS852167 VHO852167 VRK852167 WBG852167 WLC852167 WUY852167 D917703 IM917703 SI917703 ACE917703 AMA917703 AVW917703 BFS917703 BPO917703 BZK917703 CJG917703 CTC917703 DCY917703 DMU917703 DWQ917703 EGM917703 EQI917703 FAE917703 FKA917703 FTW917703 GDS917703 GNO917703 GXK917703 HHG917703 HRC917703 IAY917703 IKU917703 IUQ917703 JEM917703 JOI917703 JYE917703 KIA917703 KRW917703 LBS917703 LLO917703 LVK917703 MFG917703 MPC917703 MYY917703 NIU917703 NSQ917703 OCM917703 OMI917703 OWE917703 PGA917703 PPW917703 PZS917703 QJO917703 QTK917703 RDG917703 RNC917703 RWY917703 SGU917703 SQQ917703 TAM917703 TKI917703 TUE917703 UEA917703 UNW917703 UXS917703 VHO917703 VRK917703 WBG917703 WLC917703 WUY917703 D983239 IM983239 SI983239 ACE983239 AMA983239 AVW983239 BFS983239 BPO983239 BZK983239 CJG983239 CTC983239 DCY983239 DMU983239 DWQ983239 EGM983239 EQI983239 FAE983239 FKA983239 FTW983239 GDS983239 GNO983239 GXK983239 HHG983239 HRC983239 IAY983239 IKU983239 IUQ983239 JEM983239 JOI983239 JYE983239 KIA983239 KRW983239 LBS983239 LLO983239 LVK983239 MFG983239 MPC983239 MYY983239 NIU983239 NSQ983239 OCM983239 OMI983239 OWE983239 PGA983239 PPW983239 PZS983239 QJO983239 QTK983239 RDG983239 RNC983239 RWY983239 SGU983239 SQQ983239 TAM983239 TKI983239 TUE983239 UEA983239 UNW983239 UXS983239 VHO983239 VRK983239 WBG983239 WLC983239">
      <formula1>"0.393"</formula1>
    </dataValidation>
    <dataValidation type="decimal" operator="greaterThanOrEqual" allowBlank="1" showInputMessage="1" showErrorMessage="1" sqref="D52 IM52 SI52 ACE52 AMA52 AVW52 BFS52 BPO52 BZK52 CJG52 CTC52 DCY52 DMU52 DWQ52 EGM52 EQI52 FAE52 FKA52 FTW52 GDS52 GNO52 GXK52 HHG52 HRC52 IAY52 IKU52 IUQ52 JEM52 JOI52 JYE52 KIA52 KRW52 LBS52 LLO52 LVK52 MFG52 MPC52 MYY52 NIU52 NSQ52 OCM52 OMI52 OWE52 PGA52 PPW52 PZS52 QJO52 QTK52 RDG52 RNC52 RWY52 SGU52 SQQ52 TAM52 TKI52 TUE52 UEA52 UNW52 UXS52 VHO52 VRK52 WBG52 WLC52 WUY52 D65737 IM65737 SI65737 ACE65737 AMA65737 AVW65737 BFS65737 BPO65737 BZK65737 CJG65737 CTC65737 DCY65737 DMU65737 DWQ65737 EGM65737 EQI65737 FAE65737 FKA65737 FTW65737 GDS65737 GNO65737 GXK65737 HHG65737 HRC65737 IAY65737 IKU65737 IUQ65737 JEM65737 JOI65737 JYE65737 KIA65737 KRW65737 LBS65737 LLO65737 LVK65737 MFG65737 MPC65737 MYY65737 NIU65737 NSQ65737 OCM65737 OMI65737 OWE65737 PGA65737 PPW65737 PZS65737 QJO65737 QTK65737 RDG65737 RNC65737 RWY65737 SGU65737 SQQ65737 TAM65737 TKI65737 TUE65737 UEA65737 UNW65737 UXS65737 VHO65737 VRK65737 WBG65737 WLC65737 WUY65737 D131273 IM131273 SI131273 ACE131273 AMA131273 AVW131273 BFS131273 BPO131273 BZK131273 CJG131273 CTC131273 DCY131273 DMU131273 DWQ131273 EGM131273 EQI131273 FAE131273 FKA131273 FTW131273 GDS131273 GNO131273 GXK131273 HHG131273 HRC131273 IAY131273 IKU131273 IUQ131273 JEM131273 JOI131273 JYE131273 KIA131273 KRW131273 LBS131273 LLO131273 LVK131273 MFG131273 MPC131273 MYY131273 NIU131273 NSQ131273 OCM131273 OMI131273 OWE131273 PGA131273 PPW131273 PZS131273 QJO131273 QTK131273 RDG131273 RNC131273 RWY131273 SGU131273 SQQ131273 TAM131273 TKI131273 TUE131273 UEA131273 UNW131273 UXS131273 VHO131273 VRK131273 WBG131273 WLC131273 WUY131273 D196809 IM196809 SI196809 ACE196809 AMA196809 AVW196809 BFS196809 BPO196809 BZK196809 CJG196809 CTC196809 DCY196809 DMU196809 DWQ196809 EGM196809 EQI196809 FAE196809 FKA196809 FTW196809 GDS196809 GNO196809 GXK196809 HHG196809 HRC196809 IAY196809 IKU196809 IUQ196809 JEM196809 JOI196809 JYE196809 KIA196809 KRW196809 LBS196809 LLO196809 LVK196809 MFG196809 MPC196809 MYY196809 NIU196809 NSQ196809 OCM196809 OMI196809 OWE196809 PGA196809 PPW196809 PZS196809 QJO196809 QTK196809 RDG196809 RNC196809 RWY196809 SGU196809 SQQ196809 TAM196809 TKI196809 TUE196809 UEA196809 UNW196809 UXS196809 VHO196809 VRK196809 WBG196809 WLC196809 WUY196809 D262345 IM262345 SI262345 ACE262345 AMA262345 AVW262345 BFS262345 BPO262345 BZK262345 CJG262345 CTC262345 DCY262345 DMU262345 DWQ262345 EGM262345 EQI262345 FAE262345 FKA262345 FTW262345 GDS262345 GNO262345 GXK262345 HHG262345 HRC262345 IAY262345 IKU262345 IUQ262345 JEM262345 JOI262345 JYE262345 KIA262345 KRW262345 LBS262345 LLO262345 LVK262345 MFG262345 MPC262345 MYY262345 NIU262345 NSQ262345 OCM262345 OMI262345 OWE262345 PGA262345 PPW262345 PZS262345 QJO262345 QTK262345 RDG262345 RNC262345 RWY262345 SGU262345 SQQ262345 TAM262345 TKI262345 TUE262345 UEA262345 UNW262345 UXS262345 VHO262345 VRK262345 WBG262345 WLC262345 WUY262345 D327881 IM327881 SI327881 ACE327881 AMA327881 AVW327881 BFS327881 BPO327881 BZK327881 CJG327881 CTC327881 DCY327881 DMU327881 DWQ327881 EGM327881 EQI327881 FAE327881 FKA327881 FTW327881 GDS327881 GNO327881 GXK327881 HHG327881 HRC327881 IAY327881 IKU327881 IUQ327881 JEM327881 JOI327881 JYE327881 KIA327881 KRW327881 LBS327881 LLO327881 LVK327881 MFG327881 MPC327881 MYY327881 NIU327881 NSQ327881 OCM327881 OMI327881 OWE327881 PGA327881 PPW327881 PZS327881 QJO327881 QTK327881 RDG327881 RNC327881 RWY327881 SGU327881 SQQ327881 TAM327881 TKI327881 TUE327881 UEA327881 UNW327881 UXS327881 VHO327881 VRK327881 WBG327881 WLC327881 WUY327881 D393417 IM393417 SI393417 ACE393417 AMA393417 AVW393417 BFS393417 BPO393417 BZK393417 CJG393417 CTC393417 DCY393417 DMU393417 DWQ393417 EGM393417 EQI393417 FAE393417 FKA393417 FTW393417 GDS393417 GNO393417 GXK393417 HHG393417 HRC393417 IAY393417 IKU393417 IUQ393417 JEM393417 JOI393417 JYE393417 KIA393417 KRW393417 LBS393417 LLO393417 LVK393417 MFG393417 MPC393417 MYY393417 NIU393417 NSQ393417 OCM393417 OMI393417 OWE393417 PGA393417 PPW393417 PZS393417 QJO393417 QTK393417 RDG393417 RNC393417 RWY393417 SGU393417 SQQ393417 TAM393417 TKI393417 TUE393417 UEA393417 UNW393417 UXS393417 VHO393417 VRK393417 WBG393417 WLC393417 WUY393417 D458953 IM458953 SI458953 ACE458953 AMA458953 AVW458953 BFS458953 BPO458953 BZK458953 CJG458953 CTC458953 DCY458953 DMU458953 DWQ458953 EGM458953 EQI458953 FAE458953 FKA458953 FTW458953 GDS458953 GNO458953 GXK458953 HHG458953 HRC458953 IAY458953 IKU458953 IUQ458953 JEM458953 JOI458953 JYE458953 KIA458953 KRW458953 LBS458953 LLO458953 LVK458953 MFG458953 MPC458953 MYY458953 NIU458953 NSQ458953 OCM458953 OMI458953 OWE458953 PGA458953 PPW458953 PZS458953 QJO458953 QTK458953 RDG458953 RNC458953 RWY458953 SGU458953 SQQ458953 TAM458953 TKI458953 TUE458953 UEA458953 UNW458953 UXS458953 VHO458953 VRK458953 WBG458953 WLC458953 WUY458953 D524489 IM524489 SI524489 ACE524489 AMA524489 AVW524489 BFS524489 BPO524489 BZK524489 CJG524489 CTC524489 DCY524489 DMU524489 DWQ524489 EGM524489 EQI524489 FAE524489 FKA524489 FTW524489 GDS524489 GNO524489 GXK524489 HHG524489 HRC524489 IAY524489 IKU524489 IUQ524489 JEM524489 JOI524489 JYE524489 KIA524489 KRW524489 LBS524489 LLO524489 LVK524489 MFG524489 MPC524489 MYY524489 NIU524489 NSQ524489 OCM524489 OMI524489 OWE524489 PGA524489 PPW524489 PZS524489 QJO524489 QTK524489 RDG524489 RNC524489 RWY524489 SGU524489 SQQ524489 TAM524489 TKI524489 TUE524489 UEA524489 UNW524489 UXS524489 VHO524489 VRK524489 WBG524489 WLC524489 WUY524489 D590025 IM590025 SI590025 ACE590025 AMA590025 AVW590025 BFS590025 BPO590025 BZK590025 CJG590025 CTC590025 DCY590025 DMU590025 DWQ590025 EGM590025 EQI590025 FAE590025 FKA590025 FTW590025 GDS590025 GNO590025 GXK590025 HHG590025 HRC590025 IAY590025 IKU590025 IUQ590025 JEM590025 JOI590025 JYE590025 KIA590025 KRW590025 LBS590025 LLO590025 LVK590025 MFG590025 MPC590025 MYY590025 NIU590025 NSQ590025 OCM590025 OMI590025 OWE590025 PGA590025 PPW590025 PZS590025 QJO590025 QTK590025 RDG590025 RNC590025 RWY590025 SGU590025 SQQ590025 TAM590025 TKI590025 TUE590025 UEA590025 UNW590025 UXS590025 VHO590025 VRK590025 WBG590025 WLC590025 WUY590025 D655561 IM655561 SI655561 ACE655561 AMA655561 AVW655561 BFS655561 BPO655561 BZK655561 CJG655561 CTC655561 DCY655561 DMU655561 DWQ655561 EGM655561 EQI655561 FAE655561 FKA655561 FTW655561 GDS655561 GNO655561 GXK655561 HHG655561 HRC655561 IAY655561 IKU655561 IUQ655561 JEM655561 JOI655561 JYE655561 KIA655561 KRW655561 LBS655561 LLO655561 LVK655561 MFG655561 MPC655561 MYY655561 NIU655561 NSQ655561 OCM655561 OMI655561 OWE655561 PGA655561 PPW655561 PZS655561 QJO655561 QTK655561 RDG655561 RNC655561 RWY655561 SGU655561 SQQ655561 TAM655561 TKI655561 TUE655561 UEA655561 UNW655561 UXS655561 VHO655561 VRK655561 WBG655561 WLC655561 WUY655561 D721097 IM721097 SI721097 ACE721097 AMA721097 AVW721097 BFS721097 BPO721097 BZK721097 CJG721097 CTC721097 DCY721097 DMU721097 DWQ721097 EGM721097 EQI721097 FAE721097 FKA721097 FTW721097 GDS721097 GNO721097 GXK721097 HHG721097 HRC721097 IAY721097 IKU721097 IUQ721097 JEM721097 JOI721097 JYE721097 KIA721097 KRW721097 LBS721097 LLO721097 LVK721097 MFG721097 MPC721097 MYY721097 NIU721097 NSQ721097 OCM721097 OMI721097 OWE721097 PGA721097 PPW721097 PZS721097 QJO721097 QTK721097 RDG721097 RNC721097 RWY721097 SGU721097 SQQ721097 TAM721097 TKI721097 TUE721097 UEA721097 UNW721097 UXS721097 VHO721097 VRK721097 WBG721097 WLC721097 WUY721097 D786633 IM786633 SI786633 ACE786633 AMA786633 AVW786633 BFS786633 BPO786633 BZK786633 CJG786633 CTC786633 DCY786633 DMU786633 DWQ786633 EGM786633 EQI786633 FAE786633 FKA786633 FTW786633 GDS786633 GNO786633 GXK786633 HHG786633 HRC786633 IAY786633 IKU786633 IUQ786633 JEM786633 JOI786633 JYE786633 KIA786633 KRW786633 LBS786633 LLO786633 LVK786633 MFG786633 MPC786633 MYY786633 NIU786633 NSQ786633 OCM786633 OMI786633 OWE786633 PGA786633 PPW786633 PZS786633 QJO786633 QTK786633 RDG786633 RNC786633 RWY786633 SGU786633 SQQ786633 TAM786633 TKI786633 TUE786633 UEA786633 UNW786633 UXS786633 VHO786633 VRK786633 WBG786633 WLC786633 WUY786633 D852169 IM852169 SI852169 ACE852169 AMA852169 AVW852169 BFS852169 BPO852169 BZK852169 CJG852169 CTC852169 DCY852169 DMU852169 DWQ852169 EGM852169 EQI852169 FAE852169 FKA852169 FTW852169 GDS852169 GNO852169 GXK852169 HHG852169 HRC852169 IAY852169 IKU852169 IUQ852169 JEM852169 JOI852169 JYE852169 KIA852169 KRW852169 LBS852169 LLO852169 LVK852169 MFG852169 MPC852169 MYY852169 NIU852169 NSQ852169 OCM852169 OMI852169 OWE852169 PGA852169 PPW852169 PZS852169 QJO852169 QTK852169 RDG852169 RNC852169 RWY852169 SGU852169 SQQ852169 TAM852169 TKI852169 TUE852169 UEA852169 UNW852169 UXS852169 VHO852169 VRK852169 WBG852169 WLC852169 WUY852169 D917705 IM917705 SI917705 ACE917705 AMA917705 AVW917705 BFS917705 BPO917705 BZK917705 CJG917705 CTC917705 DCY917705 DMU917705 DWQ917705 EGM917705 EQI917705 FAE917705 FKA917705 FTW917705 GDS917705 GNO917705 GXK917705 HHG917705 HRC917705 IAY917705 IKU917705 IUQ917705 JEM917705 JOI917705 JYE917705 KIA917705 KRW917705 LBS917705 LLO917705 LVK917705 MFG917705 MPC917705 MYY917705 NIU917705 NSQ917705 OCM917705 OMI917705 OWE917705 PGA917705 PPW917705 PZS917705 QJO917705 QTK917705 RDG917705 RNC917705 RWY917705 SGU917705 SQQ917705 TAM917705 TKI917705 TUE917705 UEA917705 UNW917705 UXS917705 VHO917705 VRK917705 WBG917705 WLC917705 WUY917705 D983241 IM983241 SI983241 ACE983241 AMA983241 AVW983241 BFS983241 BPO983241 BZK983241 CJG983241 CTC983241 DCY983241 DMU983241 DWQ983241 EGM983241 EQI983241 FAE983241 FKA983241 FTW983241 GDS983241 GNO983241 GXK983241 HHG983241 HRC983241 IAY983241 IKU983241 IUQ983241 JEM983241 JOI983241 JYE983241 KIA983241 KRW983241 LBS983241 LLO983241 LVK983241 MFG983241 MPC983241 MYY983241 NIU983241 NSQ983241 OCM983241 OMI983241 OWE983241 PGA983241 PPW983241 PZS983241 QJO983241 QTK983241 RDG983241 RNC983241 RWY983241 SGU983241 SQQ983241 TAM983241 TKI983241 TUE983241 UEA983241 UNW983241 UXS983241 VHO983241 VRK983241 WBG983241 WLC983241 WUY983241">
      <formula1>0</formula1>
    </dataValidation>
    <dataValidation type="list" errorStyle="information" allowBlank="1" showInputMessage="1" showErrorMessage="1" errorTitle="Set appropriate vale" error="For Copper PCBs, 1.00 is appropriate value." sqref="WUY983240 IM51 SI51 ACE51 AMA51 AVW51 BFS51 BPO51 BZK51 CJG51 CTC51 DCY51 DMU51 DWQ51 EGM51 EQI51 FAE51 FKA51 FTW51 GDS51 GNO51 GXK51 HHG51 HRC51 IAY51 IKU51 IUQ51 JEM51 JOI51 JYE51 KIA51 KRW51 LBS51 LLO51 LVK51 MFG51 MPC51 MYY51 NIU51 NSQ51 OCM51 OMI51 OWE51 PGA51 PPW51 PZS51 QJO51 QTK51 RDG51 RNC51 RWY51 SGU51 SQQ51 TAM51 TKI51 TUE51 UEA51 UNW51 UXS51 VHO51 VRK51 WBG51 WLC51 WUY51 D65736 IM65736 SI65736 ACE65736 AMA65736 AVW65736 BFS65736 BPO65736 BZK65736 CJG65736 CTC65736 DCY65736 DMU65736 DWQ65736 EGM65736 EQI65736 FAE65736 FKA65736 FTW65736 GDS65736 GNO65736 GXK65736 HHG65736 HRC65736 IAY65736 IKU65736 IUQ65736 JEM65736 JOI65736 JYE65736 KIA65736 KRW65736 LBS65736 LLO65736 LVK65736 MFG65736 MPC65736 MYY65736 NIU65736 NSQ65736 OCM65736 OMI65736 OWE65736 PGA65736 PPW65736 PZS65736 QJO65736 QTK65736 RDG65736 RNC65736 RWY65736 SGU65736 SQQ65736 TAM65736 TKI65736 TUE65736 UEA65736 UNW65736 UXS65736 VHO65736 VRK65736 WBG65736 WLC65736 WUY65736 D131272 IM131272 SI131272 ACE131272 AMA131272 AVW131272 BFS131272 BPO131272 BZK131272 CJG131272 CTC131272 DCY131272 DMU131272 DWQ131272 EGM131272 EQI131272 FAE131272 FKA131272 FTW131272 GDS131272 GNO131272 GXK131272 HHG131272 HRC131272 IAY131272 IKU131272 IUQ131272 JEM131272 JOI131272 JYE131272 KIA131272 KRW131272 LBS131272 LLO131272 LVK131272 MFG131272 MPC131272 MYY131272 NIU131272 NSQ131272 OCM131272 OMI131272 OWE131272 PGA131272 PPW131272 PZS131272 QJO131272 QTK131272 RDG131272 RNC131272 RWY131272 SGU131272 SQQ131272 TAM131272 TKI131272 TUE131272 UEA131272 UNW131272 UXS131272 VHO131272 VRK131272 WBG131272 WLC131272 WUY131272 D196808 IM196808 SI196808 ACE196808 AMA196808 AVW196808 BFS196808 BPO196808 BZK196808 CJG196808 CTC196808 DCY196808 DMU196808 DWQ196808 EGM196808 EQI196808 FAE196808 FKA196808 FTW196808 GDS196808 GNO196808 GXK196808 HHG196808 HRC196808 IAY196808 IKU196808 IUQ196808 JEM196808 JOI196808 JYE196808 KIA196808 KRW196808 LBS196808 LLO196808 LVK196808 MFG196808 MPC196808 MYY196808 NIU196808 NSQ196808 OCM196808 OMI196808 OWE196808 PGA196808 PPW196808 PZS196808 QJO196808 QTK196808 RDG196808 RNC196808 RWY196808 SGU196808 SQQ196808 TAM196808 TKI196808 TUE196808 UEA196808 UNW196808 UXS196808 VHO196808 VRK196808 WBG196808 WLC196808 WUY196808 D262344 IM262344 SI262344 ACE262344 AMA262344 AVW262344 BFS262344 BPO262344 BZK262344 CJG262344 CTC262344 DCY262344 DMU262344 DWQ262344 EGM262344 EQI262344 FAE262344 FKA262344 FTW262344 GDS262344 GNO262344 GXK262344 HHG262344 HRC262344 IAY262344 IKU262344 IUQ262344 JEM262344 JOI262344 JYE262344 KIA262344 KRW262344 LBS262344 LLO262344 LVK262344 MFG262344 MPC262344 MYY262344 NIU262344 NSQ262344 OCM262344 OMI262344 OWE262344 PGA262344 PPW262344 PZS262344 QJO262344 QTK262344 RDG262344 RNC262344 RWY262344 SGU262344 SQQ262344 TAM262344 TKI262344 TUE262344 UEA262344 UNW262344 UXS262344 VHO262344 VRK262344 WBG262344 WLC262344 WUY262344 D327880 IM327880 SI327880 ACE327880 AMA327880 AVW327880 BFS327880 BPO327880 BZK327880 CJG327880 CTC327880 DCY327880 DMU327880 DWQ327880 EGM327880 EQI327880 FAE327880 FKA327880 FTW327880 GDS327880 GNO327880 GXK327880 HHG327880 HRC327880 IAY327880 IKU327880 IUQ327880 JEM327880 JOI327880 JYE327880 KIA327880 KRW327880 LBS327880 LLO327880 LVK327880 MFG327880 MPC327880 MYY327880 NIU327880 NSQ327880 OCM327880 OMI327880 OWE327880 PGA327880 PPW327880 PZS327880 QJO327880 QTK327880 RDG327880 RNC327880 RWY327880 SGU327880 SQQ327880 TAM327880 TKI327880 TUE327880 UEA327880 UNW327880 UXS327880 VHO327880 VRK327880 WBG327880 WLC327880 WUY327880 D393416 IM393416 SI393416 ACE393416 AMA393416 AVW393416 BFS393416 BPO393416 BZK393416 CJG393416 CTC393416 DCY393416 DMU393416 DWQ393416 EGM393416 EQI393416 FAE393416 FKA393416 FTW393416 GDS393416 GNO393416 GXK393416 HHG393416 HRC393416 IAY393416 IKU393416 IUQ393416 JEM393416 JOI393416 JYE393416 KIA393416 KRW393416 LBS393416 LLO393416 LVK393416 MFG393416 MPC393416 MYY393416 NIU393416 NSQ393416 OCM393416 OMI393416 OWE393416 PGA393416 PPW393416 PZS393416 QJO393416 QTK393416 RDG393416 RNC393416 RWY393416 SGU393416 SQQ393416 TAM393416 TKI393416 TUE393416 UEA393416 UNW393416 UXS393416 VHO393416 VRK393416 WBG393416 WLC393416 WUY393416 D458952 IM458952 SI458952 ACE458952 AMA458952 AVW458952 BFS458952 BPO458952 BZK458952 CJG458952 CTC458952 DCY458952 DMU458952 DWQ458952 EGM458952 EQI458952 FAE458952 FKA458952 FTW458952 GDS458952 GNO458952 GXK458952 HHG458952 HRC458952 IAY458952 IKU458952 IUQ458952 JEM458952 JOI458952 JYE458952 KIA458952 KRW458952 LBS458952 LLO458952 LVK458952 MFG458952 MPC458952 MYY458952 NIU458952 NSQ458952 OCM458952 OMI458952 OWE458952 PGA458952 PPW458952 PZS458952 QJO458952 QTK458952 RDG458952 RNC458952 RWY458952 SGU458952 SQQ458952 TAM458952 TKI458952 TUE458952 UEA458952 UNW458952 UXS458952 VHO458952 VRK458952 WBG458952 WLC458952 WUY458952 D524488 IM524488 SI524488 ACE524488 AMA524488 AVW524488 BFS524488 BPO524488 BZK524488 CJG524488 CTC524488 DCY524488 DMU524488 DWQ524488 EGM524488 EQI524488 FAE524488 FKA524488 FTW524488 GDS524488 GNO524488 GXK524488 HHG524488 HRC524488 IAY524488 IKU524488 IUQ524488 JEM524488 JOI524488 JYE524488 KIA524488 KRW524488 LBS524488 LLO524488 LVK524488 MFG524488 MPC524488 MYY524488 NIU524488 NSQ524488 OCM524488 OMI524488 OWE524488 PGA524488 PPW524488 PZS524488 QJO524488 QTK524488 RDG524488 RNC524488 RWY524488 SGU524488 SQQ524488 TAM524488 TKI524488 TUE524488 UEA524488 UNW524488 UXS524488 VHO524488 VRK524488 WBG524488 WLC524488 WUY524488 D590024 IM590024 SI590024 ACE590024 AMA590024 AVW590024 BFS590024 BPO590024 BZK590024 CJG590024 CTC590024 DCY590024 DMU590024 DWQ590024 EGM590024 EQI590024 FAE590024 FKA590024 FTW590024 GDS590024 GNO590024 GXK590024 HHG590024 HRC590024 IAY590024 IKU590024 IUQ590024 JEM590024 JOI590024 JYE590024 KIA590024 KRW590024 LBS590024 LLO590024 LVK590024 MFG590024 MPC590024 MYY590024 NIU590024 NSQ590024 OCM590024 OMI590024 OWE590024 PGA590024 PPW590024 PZS590024 QJO590024 QTK590024 RDG590024 RNC590024 RWY590024 SGU590024 SQQ590024 TAM590024 TKI590024 TUE590024 UEA590024 UNW590024 UXS590024 VHO590024 VRK590024 WBG590024 WLC590024 WUY590024 D655560 IM655560 SI655560 ACE655560 AMA655560 AVW655560 BFS655560 BPO655560 BZK655560 CJG655560 CTC655560 DCY655560 DMU655560 DWQ655560 EGM655560 EQI655560 FAE655560 FKA655560 FTW655560 GDS655560 GNO655560 GXK655560 HHG655560 HRC655560 IAY655560 IKU655560 IUQ655560 JEM655560 JOI655560 JYE655560 KIA655560 KRW655560 LBS655560 LLO655560 LVK655560 MFG655560 MPC655560 MYY655560 NIU655560 NSQ655560 OCM655560 OMI655560 OWE655560 PGA655560 PPW655560 PZS655560 QJO655560 QTK655560 RDG655560 RNC655560 RWY655560 SGU655560 SQQ655560 TAM655560 TKI655560 TUE655560 UEA655560 UNW655560 UXS655560 VHO655560 VRK655560 WBG655560 WLC655560 WUY655560 D721096 IM721096 SI721096 ACE721096 AMA721096 AVW721096 BFS721096 BPO721096 BZK721096 CJG721096 CTC721096 DCY721096 DMU721096 DWQ721096 EGM721096 EQI721096 FAE721096 FKA721096 FTW721096 GDS721096 GNO721096 GXK721096 HHG721096 HRC721096 IAY721096 IKU721096 IUQ721096 JEM721096 JOI721096 JYE721096 KIA721096 KRW721096 LBS721096 LLO721096 LVK721096 MFG721096 MPC721096 MYY721096 NIU721096 NSQ721096 OCM721096 OMI721096 OWE721096 PGA721096 PPW721096 PZS721096 QJO721096 QTK721096 RDG721096 RNC721096 RWY721096 SGU721096 SQQ721096 TAM721096 TKI721096 TUE721096 UEA721096 UNW721096 UXS721096 VHO721096 VRK721096 WBG721096 WLC721096 WUY721096 D786632 IM786632 SI786632 ACE786632 AMA786632 AVW786632 BFS786632 BPO786632 BZK786632 CJG786632 CTC786632 DCY786632 DMU786632 DWQ786632 EGM786632 EQI786632 FAE786632 FKA786632 FTW786632 GDS786632 GNO786632 GXK786632 HHG786632 HRC786632 IAY786632 IKU786632 IUQ786632 JEM786632 JOI786632 JYE786632 KIA786632 KRW786632 LBS786632 LLO786632 LVK786632 MFG786632 MPC786632 MYY786632 NIU786632 NSQ786632 OCM786632 OMI786632 OWE786632 PGA786632 PPW786632 PZS786632 QJO786632 QTK786632 RDG786632 RNC786632 RWY786632 SGU786632 SQQ786632 TAM786632 TKI786632 TUE786632 UEA786632 UNW786632 UXS786632 VHO786632 VRK786632 WBG786632 WLC786632 WUY786632 D852168 IM852168 SI852168 ACE852168 AMA852168 AVW852168 BFS852168 BPO852168 BZK852168 CJG852168 CTC852168 DCY852168 DMU852168 DWQ852168 EGM852168 EQI852168 FAE852168 FKA852168 FTW852168 GDS852168 GNO852168 GXK852168 HHG852168 HRC852168 IAY852168 IKU852168 IUQ852168 JEM852168 JOI852168 JYE852168 KIA852168 KRW852168 LBS852168 LLO852168 LVK852168 MFG852168 MPC852168 MYY852168 NIU852168 NSQ852168 OCM852168 OMI852168 OWE852168 PGA852168 PPW852168 PZS852168 QJO852168 QTK852168 RDG852168 RNC852168 RWY852168 SGU852168 SQQ852168 TAM852168 TKI852168 TUE852168 UEA852168 UNW852168 UXS852168 VHO852168 VRK852168 WBG852168 WLC852168 WUY852168 D917704 IM917704 SI917704 ACE917704 AMA917704 AVW917704 BFS917704 BPO917704 BZK917704 CJG917704 CTC917704 DCY917704 DMU917704 DWQ917704 EGM917704 EQI917704 FAE917704 FKA917704 FTW917704 GDS917704 GNO917704 GXK917704 HHG917704 HRC917704 IAY917704 IKU917704 IUQ917704 JEM917704 JOI917704 JYE917704 KIA917704 KRW917704 LBS917704 LLO917704 LVK917704 MFG917704 MPC917704 MYY917704 NIU917704 NSQ917704 OCM917704 OMI917704 OWE917704 PGA917704 PPW917704 PZS917704 QJO917704 QTK917704 RDG917704 RNC917704 RWY917704 SGU917704 SQQ917704 TAM917704 TKI917704 TUE917704 UEA917704 UNW917704 UXS917704 VHO917704 VRK917704 WBG917704 WLC917704 WUY917704 D983240 IM983240 SI983240 ACE983240 AMA983240 AVW983240 BFS983240 BPO983240 BZK983240 CJG983240 CTC983240 DCY983240 DMU983240 DWQ983240 EGM983240 EQI983240 FAE983240 FKA983240 FTW983240 GDS983240 GNO983240 GXK983240 HHG983240 HRC983240 IAY983240 IKU983240 IUQ983240 JEM983240 JOI983240 JYE983240 KIA983240 KRW983240 LBS983240 LLO983240 LVK983240 MFG983240 MPC983240 MYY983240 NIU983240 NSQ983240 OCM983240 OMI983240 OWE983240 PGA983240 PPW983240 PZS983240 QJO983240 QTK983240 RDG983240 RNC983240 RWY983240 SGU983240 SQQ983240 TAM983240 TKI983240 TUE983240 UEA983240 UNW983240 UXS983240 VHO983240 VRK983240 WBG983240 WLC983240">
      <formula1>"1.0"</formula1>
    </dataValidation>
    <dataValidation type="list" showInputMessage="1" showErrorMessage="1" sqref="WUZ983224:WUZ983227 E65720:E65723 IN65720:IN65723 SJ65720:SJ65723 ACF65720:ACF65723 AMB65720:AMB65723 AVX65720:AVX65723 BFT65720:BFT65723 BPP65720:BPP65723 BZL65720:BZL65723 CJH65720:CJH65723 CTD65720:CTD65723 DCZ65720:DCZ65723 DMV65720:DMV65723 DWR65720:DWR65723 EGN65720:EGN65723 EQJ65720:EQJ65723 FAF65720:FAF65723 FKB65720:FKB65723 FTX65720:FTX65723 GDT65720:GDT65723 GNP65720:GNP65723 GXL65720:GXL65723 HHH65720:HHH65723 HRD65720:HRD65723 IAZ65720:IAZ65723 IKV65720:IKV65723 IUR65720:IUR65723 JEN65720:JEN65723 JOJ65720:JOJ65723 JYF65720:JYF65723 KIB65720:KIB65723 KRX65720:KRX65723 LBT65720:LBT65723 LLP65720:LLP65723 LVL65720:LVL65723 MFH65720:MFH65723 MPD65720:MPD65723 MYZ65720:MYZ65723 NIV65720:NIV65723 NSR65720:NSR65723 OCN65720:OCN65723 OMJ65720:OMJ65723 OWF65720:OWF65723 PGB65720:PGB65723 PPX65720:PPX65723 PZT65720:PZT65723 QJP65720:QJP65723 QTL65720:QTL65723 RDH65720:RDH65723 RND65720:RND65723 RWZ65720:RWZ65723 SGV65720:SGV65723 SQR65720:SQR65723 TAN65720:TAN65723 TKJ65720:TKJ65723 TUF65720:TUF65723 UEB65720:UEB65723 UNX65720:UNX65723 UXT65720:UXT65723 VHP65720:VHP65723 VRL65720:VRL65723 WBH65720:WBH65723 WLD65720:WLD65723 WUZ65720:WUZ65723 E131256:E131259 IN131256:IN131259 SJ131256:SJ131259 ACF131256:ACF131259 AMB131256:AMB131259 AVX131256:AVX131259 BFT131256:BFT131259 BPP131256:BPP131259 BZL131256:BZL131259 CJH131256:CJH131259 CTD131256:CTD131259 DCZ131256:DCZ131259 DMV131256:DMV131259 DWR131256:DWR131259 EGN131256:EGN131259 EQJ131256:EQJ131259 FAF131256:FAF131259 FKB131256:FKB131259 FTX131256:FTX131259 GDT131256:GDT131259 GNP131256:GNP131259 GXL131256:GXL131259 HHH131256:HHH131259 HRD131256:HRD131259 IAZ131256:IAZ131259 IKV131256:IKV131259 IUR131256:IUR131259 JEN131256:JEN131259 JOJ131256:JOJ131259 JYF131256:JYF131259 KIB131256:KIB131259 KRX131256:KRX131259 LBT131256:LBT131259 LLP131256:LLP131259 LVL131256:LVL131259 MFH131256:MFH131259 MPD131256:MPD131259 MYZ131256:MYZ131259 NIV131256:NIV131259 NSR131256:NSR131259 OCN131256:OCN131259 OMJ131256:OMJ131259 OWF131256:OWF131259 PGB131256:PGB131259 PPX131256:PPX131259 PZT131256:PZT131259 QJP131256:QJP131259 QTL131256:QTL131259 RDH131256:RDH131259 RND131256:RND131259 RWZ131256:RWZ131259 SGV131256:SGV131259 SQR131256:SQR131259 TAN131256:TAN131259 TKJ131256:TKJ131259 TUF131256:TUF131259 UEB131256:UEB131259 UNX131256:UNX131259 UXT131256:UXT131259 VHP131256:VHP131259 VRL131256:VRL131259 WBH131256:WBH131259 WLD131256:WLD131259 WUZ131256:WUZ131259 E196792:E196795 IN196792:IN196795 SJ196792:SJ196795 ACF196792:ACF196795 AMB196792:AMB196795 AVX196792:AVX196795 BFT196792:BFT196795 BPP196792:BPP196795 BZL196792:BZL196795 CJH196792:CJH196795 CTD196792:CTD196795 DCZ196792:DCZ196795 DMV196792:DMV196795 DWR196792:DWR196795 EGN196792:EGN196795 EQJ196792:EQJ196795 FAF196792:FAF196795 FKB196792:FKB196795 FTX196792:FTX196795 GDT196792:GDT196795 GNP196792:GNP196795 GXL196792:GXL196795 HHH196792:HHH196795 HRD196792:HRD196795 IAZ196792:IAZ196795 IKV196792:IKV196795 IUR196792:IUR196795 JEN196792:JEN196795 JOJ196792:JOJ196795 JYF196792:JYF196795 KIB196792:KIB196795 KRX196792:KRX196795 LBT196792:LBT196795 LLP196792:LLP196795 LVL196792:LVL196795 MFH196792:MFH196795 MPD196792:MPD196795 MYZ196792:MYZ196795 NIV196792:NIV196795 NSR196792:NSR196795 OCN196792:OCN196795 OMJ196792:OMJ196795 OWF196792:OWF196795 PGB196792:PGB196795 PPX196792:PPX196795 PZT196792:PZT196795 QJP196792:QJP196795 QTL196792:QTL196795 RDH196792:RDH196795 RND196792:RND196795 RWZ196792:RWZ196795 SGV196792:SGV196795 SQR196792:SQR196795 TAN196792:TAN196795 TKJ196792:TKJ196795 TUF196792:TUF196795 UEB196792:UEB196795 UNX196792:UNX196795 UXT196792:UXT196795 VHP196792:VHP196795 VRL196792:VRL196795 WBH196792:WBH196795 WLD196792:WLD196795 WUZ196792:WUZ196795 E262328:E262331 IN262328:IN262331 SJ262328:SJ262331 ACF262328:ACF262331 AMB262328:AMB262331 AVX262328:AVX262331 BFT262328:BFT262331 BPP262328:BPP262331 BZL262328:BZL262331 CJH262328:CJH262331 CTD262328:CTD262331 DCZ262328:DCZ262331 DMV262328:DMV262331 DWR262328:DWR262331 EGN262328:EGN262331 EQJ262328:EQJ262331 FAF262328:FAF262331 FKB262328:FKB262331 FTX262328:FTX262331 GDT262328:GDT262331 GNP262328:GNP262331 GXL262328:GXL262331 HHH262328:HHH262331 HRD262328:HRD262331 IAZ262328:IAZ262331 IKV262328:IKV262331 IUR262328:IUR262331 JEN262328:JEN262331 JOJ262328:JOJ262331 JYF262328:JYF262331 KIB262328:KIB262331 KRX262328:KRX262331 LBT262328:LBT262331 LLP262328:LLP262331 LVL262328:LVL262331 MFH262328:MFH262331 MPD262328:MPD262331 MYZ262328:MYZ262331 NIV262328:NIV262331 NSR262328:NSR262331 OCN262328:OCN262331 OMJ262328:OMJ262331 OWF262328:OWF262331 PGB262328:PGB262331 PPX262328:PPX262331 PZT262328:PZT262331 QJP262328:QJP262331 QTL262328:QTL262331 RDH262328:RDH262331 RND262328:RND262331 RWZ262328:RWZ262331 SGV262328:SGV262331 SQR262328:SQR262331 TAN262328:TAN262331 TKJ262328:TKJ262331 TUF262328:TUF262331 UEB262328:UEB262331 UNX262328:UNX262331 UXT262328:UXT262331 VHP262328:VHP262331 VRL262328:VRL262331 WBH262328:WBH262331 WLD262328:WLD262331 WUZ262328:WUZ262331 E327864:E327867 IN327864:IN327867 SJ327864:SJ327867 ACF327864:ACF327867 AMB327864:AMB327867 AVX327864:AVX327867 BFT327864:BFT327867 BPP327864:BPP327867 BZL327864:BZL327867 CJH327864:CJH327867 CTD327864:CTD327867 DCZ327864:DCZ327867 DMV327864:DMV327867 DWR327864:DWR327867 EGN327864:EGN327867 EQJ327864:EQJ327867 FAF327864:FAF327867 FKB327864:FKB327867 FTX327864:FTX327867 GDT327864:GDT327867 GNP327864:GNP327867 GXL327864:GXL327867 HHH327864:HHH327867 HRD327864:HRD327867 IAZ327864:IAZ327867 IKV327864:IKV327867 IUR327864:IUR327867 JEN327864:JEN327867 JOJ327864:JOJ327867 JYF327864:JYF327867 KIB327864:KIB327867 KRX327864:KRX327867 LBT327864:LBT327867 LLP327864:LLP327867 LVL327864:LVL327867 MFH327864:MFH327867 MPD327864:MPD327867 MYZ327864:MYZ327867 NIV327864:NIV327867 NSR327864:NSR327867 OCN327864:OCN327867 OMJ327864:OMJ327867 OWF327864:OWF327867 PGB327864:PGB327867 PPX327864:PPX327867 PZT327864:PZT327867 QJP327864:QJP327867 QTL327864:QTL327867 RDH327864:RDH327867 RND327864:RND327867 RWZ327864:RWZ327867 SGV327864:SGV327867 SQR327864:SQR327867 TAN327864:TAN327867 TKJ327864:TKJ327867 TUF327864:TUF327867 UEB327864:UEB327867 UNX327864:UNX327867 UXT327864:UXT327867 VHP327864:VHP327867 VRL327864:VRL327867 WBH327864:WBH327867 WLD327864:WLD327867 WUZ327864:WUZ327867 E393400:E393403 IN393400:IN393403 SJ393400:SJ393403 ACF393400:ACF393403 AMB393400:AMB393403 AVX393400:AVX393403 BFT393400:BFT393403 BPP393400:BPP393403 BZL393400:BZL393403 CJH393400:CJH393403 CTD393400:CTD393403 DCZ393400:DCZ393403 DMV393400:DMV393403 DWR393400:DWR393403 EGN393400:EGN393403 EQJ393400:EQJ393403 FAF393400:FAF393403 FKB393400:FKB393403 FTX393400:FTX393403 GDT393400:GDT393403 GNP393400:GNP393403 GXL393400:GXL393403 HHH393400:HHH393403 HRD393400:HRD393403 IAZ393400:IAZ393403 IKV393400:IKV393403 IUR393400:IUR393403 JEN393400:JEN393403 JOJ393400:JOJ393403 JYF393400:JYF393403 KIB393400:KIB393403 KRX393400:KRX393403 LBT393400:LBT393403 LLP393400:LLP393403 LVL393400:LVL393403 MFH393400:MFH393403 MPD393400:MPD393403 MYZ393400:MYZ393403 NIV393400:NIV393403 NSR393400:NSR393403 OCN393400:OCN393403 OMJ393400:OMJ393403 OWF393400:OWF393403 PGB393400:PGB393403 PPX393400:PPX393403 PZT393400:PZT393403 QJP393400:QJP393403 QTL393400:QTL393403 RDH393400:RDH393403 RND393400:RND393403 RWZ393400:RWZ393403 SGV393400:SGV393403 SQR393400:SQR393403 TAN393400:TAN393403 TKJ393400:TKJ393403 TUF393400:TUF393403 UEB393400:UEB393403 UNX393400:UNX393403 UXT393400:UXT393403 VHP393400:VHP393403 VRL393400:VRL393403 WBH393400:WBH393403 WLD393400:WLD393403 WUZ393400:WUZ393403 E458936:E458939 IN458936:IN458939 SJ458936:SJ458939 ACF458936:ACF458939 AMB458936:AMB458939 AVX458936:AVX458939 BFT458936:BFT458939 BPP458936:BPP458939 BZL458936:BZL458939 CJH458936:CJH458939 CTD458936:CTD458939 DCZ458936:DCZ458939 DMV458936:DMV458939 DWR458936:DWR458939 EGN458936:EGN458939 EQJ458936:EQJ458939 FAF458936:FAF458939 FKB458936:FKB458939 FTX458936:FTX458939 GDT458936:GDT458939 GNP458936:GNP458939 GXL458936:GXL458939 HHH458936:HHH458939 HRD458936:HRD458939 IAZ458936:IAZ458939 IKV458936:IKV458939 IUR458936:IUR458939 JEN458936:JEN458939 JOJ458936:JOJ458939 JYF458936:JYF458939 KIB458936:KIB458939 KRX458936:KRX458939 LBT458936:LBT458939 LLP458936:LLP458939 LVL458936:LVL458939 MFH458936:MFH458939 MPD458936:MPD458939 MYZ458936:MYZ458939 NIV458936:NIV458939 NSR458936:NSR458939 OCN458936:OCN458939 OMJ458936:OMJ458939 OWF458936:OWF458939 PGB458936:PGB458939 PPX458936:PPX458939 PZT458936:PZT458939 QJP458936:QJP458939 QTL458936:QTL458939 RDH458936:RDH458939 RND458936:RND458939 RWZ458936:RWZ458939 SGV458936:SGV458939 SQR458936:SQR458939 TAN458936:TAN458939 TKJ458936:TKJ458939 TUF458936:TUF458939 UEB458936:UEB458939 UNX458936:UNX458939 UXT458936:UXT458939 VHP458936:VHP458939 VRL458936:VRL458939 WBH458936:WBH458939 WLD458936:WLD458939 WUZ458936:WUZ458939 E524472:E524475 IN524472:IN524475 SJ524472:SJ524475 ACF524472:ACF524475 AMB524472:AMB524475 AVX524472:AVX524475 BFT524472:BFT524475 BPP524472:BPP524475 BZL524472:BZL524475 CJH524472:CJH524475 CTD524472:CTD524475 DCZ524472:DCZ524475 DMV524472:DMV524475 DWR524472:DWR524475 EGN524472:EGN524475 EQJ524472:EQJ524475 FAF524472:FAF524475 FKB524472:FKB524475 FTX524472:FTX524475 GDT524472:GDT524475 GNP524472:GNP524475 GXL524472:GXL524475 HHH524472:HHH524475 HRD524472:HRD524475 IAZ524472:IAZ524475 IKV524472:IKV524475 IUR524472:IUR524475 JEN524472:JEN524475 JOJ524472:JOJ524475 JYF524472:JYF524475 KIB524472:KIB524475 KRX524472:KRX524475 LBT524472:LBT524475 LLP524472:LLP524475 LVL524472:LVL524475 MFH524472:MFH524475 MPD524472:MPD524475 MYZ524472:MYZ524475 NIV524472:NIV524475 NSR524472:NSR524475 OCN524472:OCN524475 OMJ524472:OMJ524475 OWF524472:OWF524475 PGB524472:PGB524475 PPX524472:PPX524475 PZT524472:PZT524475 QJP524472:QJP524475 QTL524472:QTL524475 RDH524472:RDH524475 RND524472:RND524475 RWZ524472:RWZ524475 SGV524472:SGV524475 SQR524472:SQR524475 TAN524472:TAN524475 TKJ524472:TKJ524475 TUF524472:TUF524475 UEB524472:UEB524475 UNX524472:UNX524475 UXT524472:UXT524475 VHP524472:VHP524475 VRL524472:VRL524475 WBH524472:WBH524475 WLD524472:WLD524475 WUZ524472:WUZ524475 E590008:E590011 IN590008:IN590011 SJ590008:SJ590011 ACF590008:ACF590011 AMB590008:AMB590011 AVX590008:AVX590011 BFT590008:BFT590011 BPP590008:BPP590011 BZL590008:BZL590011 CJH590008:CJH590011 CTD590008:CTD590011 DCZ590008:DCZ590011 DMV590008:DMV590011 DWR590008:DWR590011 EGN590008:EGN590011 EQJ590008:EQJ590011 FAF590008:FAF590011 FKB590008:FKB590011 FTX590008:FTX590011 GDT590008:GDT590011 GNP590008:GNP590011 GXL590008:GXL590011 HHH590008:HHH590011 HRD590008:HRD590011 IAZ590008:IAZ590011 IKV590008:IKV590011 IUR590008:IUR590011 JEN590008:JEN590011 JOJ590008:JOJ590011 JYF590008:JYF590011 KIB590008:KIB590011 KRX590008:KRX590011 LBT590008:LBT590011 LLP590008:LLP590011 LVL590008:LVL590011 MFH590008:MFH590011 MPD590008:MPD590011 MYZ590008:MYZ590011 NIV590008:NIV590011 NSR590008:NSR590011 OCN590008:OCN590011 OMJ590008:OMJ590011 OWF590008:OWF590011 PGB590008:PGB590011 PPX590008:PPX590011 PZT590008:PZT590011 QJP590008:QJP590011 QTL590008:QTL590011 RDH590008:RDH590011 RND590008:RND590011 RWZ590008:RWZ590011 SGV590008:SGV590011 SQR590008:SQR590011 TAN590008:TAN590011 TKJ590008:TKJ590011 TUF590008:TUF590011 UEB590008:UEB590011 UNX590008:UNX590011 UXT590008:UXT590011 VHP590008:VHP590011 VRL590008:VRL590011 WBH590008:WBH590011 WLD590008:WLD590011 WUZ590008:WUZ590011 E655544:E655547 IN655544:IN655547 SJ655544:SJ655547 ACF655544:ACF655547 AMB655544:AMB655547 AVX655544:AVX655547 BFT655544:BFT655547 BPP655544:BPP655547 BZL655544:BZL655547 CJH655544:CJH655547 CTD655544:CTD655547 DCZ655544:DCZ655547 DMV655544:DMV655547 DWR655544:DWR655547 EGN655544:EGN655547 EQJ655544:EQJ655547 FAF655544:FAF655547 FKB655544:FKB655547 FTX655544:FTX655547 GDT655544:GDT655547 GNP655544:GNP655547 GXL655544:GXL655547 HHH655544:HHH655547 HRD655544:HRD655547 IAZ655544:IAZ655547 IKV655544:IKV655547 IUR655544:IUR655547 JEN655544:JEN655547 JOJ655544:JOJ655547 JYF655544:JYF655547 KIB655544:KIB655547 KRX655544:KRX655547 LBT655544:LBT655547 LLP655544:LLP655547 LVL655544:LVL655547 MFH655544:MFH655547 MPD655544:MPD655547 MYZ655544:MYZ655547 NIV655544:NIV655547 NSR655544:NSR655547 OCN655544:OCN655547 OMJ655544:OMJ655547 OWF655544:OWF655547 PGB655544:PGB655547 PPX655544:PPX655547 PZT655544:PZT655547 QJP655544:QJP655547 QTL655544:QTL655547 RDH655544:RDH655547 RND655544:RND655547 RWZ655544:RWZ655547 SGV655544:SGV655547 SQR655544:SQR655547 TAN655544:TAN655547 TKJ655544:TKJ655547 TUF655544:TUF655547 UEB655544:UEB655547 UNX655544:UNX655547 UXT655544:UXT655547 VHP655544:VHP655547 VRL655544:VRL655547 WBH655544:WBH655547 WLD655544:WLD655547 WUZ655544:WUZ655547 E721080:E721083 IN721080:IN721083 SJ721080:SJ721083 ACF721080:ACF721083 AMB721080:AMB721083 AVX721080:AVX721083 BFT721080:BFT721083 BPP721080:BPP721083 BZL721080:BZL721083 CJH721080:CJH721083 CTD721080:CTD721083 DCZ721080:DCZ721083 DMV721080:DMV721083 DWR721080:DWR721083 EGN721080:EGN721083 EQJ721080:EQJ721083 FAF721080:FAF721083 FKB721080:FKB721083 FTX721080:FTX721083 GDT721080:GDT721083 GNP721080:GNP721083 GXL721080:GXL721083 HHH721080:HHH721083 HRD721080:HRD721083 IAZ721080:IAZ721083 IKV721080:IKV721083 IUR721080:IUR721083 JEN721080:JEN721083 JOJ721080:JOJ721083 JYF721080:JYF721083 KIB721080:KIB721083 KRX721080:KRX721083 LBT721080:LBT721083 LLP721080:LLP721083 LVL721080:LVL721083 MFH721080:MFH721083 MPD721080:MPD721083 MYZ721080:MYZ721083 NIV721080:NIV721083 NSR721080:NSR721083 OCN721080:OCN721083 OMJ721080:OMJ721083 OWF721080:OWF721083 PGB721080:PGB721083 PPX721080:PPX721083 PZT721080:PZT721083 QJP721080:QJP721083 QTL721080:QTL721083 RDH721080:RDH721083 RND721080:RND721083 RWZ721080:RWZ721083 SGV721080:SGV721083 SQR721080:SQR721083 TAN721080:TAN721083 TKJ721080:TKJ721083 TUF721080:TUF721083 UEB721080:UEB721083 UNX721080:UNX721083 UXT721080:UXT721083 VHP721080:VHP721083 VRL721080:VRL721083 WBH721080:WBH721083 WLD721080:WLD721083 WUZ721080:WUZ721083 E786616:E786619 IN786616:IN786619 SJ786616:SJ786619 ACF786616:ACF786619 AMB786616:AMB786619 AVX786616:AVX786619 BFT786616:BFT786619 BPP786616:BPP786619 BZL786616:BZL786619 CJH786616:CJH786619 CTD786616:CTD786619 DCZ786616:DCZ786619 DMV786616:DMV786619 DWR786616:DWR786619 EGN786616:EGN786619 EQJ786616:EQJ786619 FAF786616:FAF786619 FKB786616:FKB786619 FTX786616:FTX786619 GDT786616:GDT786619 GNP786616:GNP786619 GXL786616:GXL786619 HHH786616:HHH786619 HRD786616:HRD786619 IAZ786616:IAZ786619 IKV786616:IKV786619 IUR786616:IUR786619 JEN786616:JEN786619 JOJ786616:JOJ786619 JYF786616:JYF786619 KIB786616:KIB786619 KRX786616:KRX786619 LBT786616:LBT786619 LLP786616:LLP786619 LVL786616:LVL786619 MFH786616:MFH786619 MPD786616:MPD786619 MYZ786616:MYZ786619 NIV786616:NIV786619 NSR786616:NSR786619 OCN786616:OCN786619 OMJ786616:OMJ786619 OWF786616:OWF786619 PGB786616:PGB786619 PPX786616:PPX786619 PZT786616:PZT786619 QJP786616:QJP786619 QTL786616:QTL786619 RDH786616:RDH786619 RND786616:RND786619 RWZ786616:RWZ786619 SGV786616:SGV786619 SQR786616:SQR786619 TAN786616:TAN786619 TKJ786616:TKJ786619 TUF786616:TUF786619 UEB786616:UEB786619 UNX786616:UNX786619 UXT786616:UXT786619 VHP786616:VHP786619 VRL786616:VRL786619 WBH786616:WBH786619 WLD786616:WLD786619 WUZ786616:WUZ786619 E852152:E852155 IN852152:IN852155 SJ852152:SJ852155 ACF852152:ACF852155 AMB852152:AMB852155 AVX852152:AVX852155 BFT852152:BFT852155 BPP852152:BPP852155 BZL852152:BZL852155 CJH852152:CJH852155 CTD852152:CTD852155 DCZ852152:DCZ852155 DMV852152:DMV852155 DWR852152:DWR852155 EGN852152:EGN852155 EQJ852152:EQJ852155 FAF852152:FAF852155 FKB852152:FKB852155 FTX852152:FTX852155 GDT852152:GDT852155 GNP852152:GNP852155 GXL852152:GXL852155 HHH852152:HHH852155 HRD852152:HRD852155 IAZ852152:IAZ852155 IKV852152:IKV852155 IUR852152:IUR852155 JEN852152:JEN852155 JOJ852152:JOJ852155 JYF852152:JYF852155 KIB852152:KIB852155 KRX852152:KRX852155 LBT852152:LBT852155 LLP852152:LLP852155 LVL852152:LVL852155 MFH852152:MFH852155 MPD852152:MPD852155 MYZ852152:MYZ852155 NIV852152:NIV852155 NSR852152:NSR852155 OCN852152:OCN852155 OMJ852152:OMJ852155 OWF852152:OWF852155 PGB852152:PGB852155 PPX852152:PPX852155 PZT852152:PZT852155 QJP852152:QJP852155 QTL852152:QTL852155 RDH852152:RDH852155 RND852152:RND852155 RWZ852152:RWZ852155 SGV852152:SGV852155 SQR852152:SQR852155 TAN852152:TAN852155 TKJ852152:TKJ852155 TUF852152:TUF852155 UEB852152:UEB852155 UNX852152:UNX852155 UXT852152:UXT852155 VHP852152:VHP852155 VRL852152:VRL852155 WBH852152:WBH852155 WLD852152:WLD852155 WUZ852152:WUZ852155 E917688:E917691 IN917688:IN917691 SJ917688:SJ917691 ACF917688:ACF917691 AMB917688:AMB917691 AVX917688:AVX917691 BFT917688:BFT917691 BPP917688:BPP917691 BZL917688:BZL917691 CJH917688:CJH917691 CTD917688:CTD917691 DCZ917688:DCZ917691 DMV917688:DMV917691 DWR917688:DWR917691 EGN917688:EGN917691 EQJ917688:EQJ917691 FAF917688:FAF917691 FKB917688:FKB917691 FTX917688:FTX917691 GDT917688:GDT917691 GNP917688:GNP917691 GXL917688:GXL917691 HHH917688:HHH917691 HRD917688:HRD917691 IAZ917688:IAZ917691 IKV917688:IKV917691 IUR917688:IUR917691 JEN917688:JEN917691 JOJ917688:JOJ917691 JYF917688:JYF917691 KIB917688:KIB917691 KRX917688:KRX917691 LBT917688:LBT917691 LLP917688:LLP917691 LVL917688:LVL917691 MFH917688:MFH917691 MPD917688:MPD917691 MYZ917688:MYZ917691 NIV917688:NIV917691 NSR917688:NSR917691 OCN917688:OCN917691 OMJ917688:OMJ917691 OWF917688:OWF917691 PGB917688:PGB917691 PPX917688:PPX917691 PZT917688:PZT917691 QJP917688:QJP917691 QTL917688:QTL917691 RDH917688:RDH917691 RND917688:RND917691 RWZ917688:RWZ917691 SGV917688:SGV917691 SQR917688:SQR917691 TAN917688:TAN917691 TKJ917688:TKJ917691 TUF917688:TUF917691 UEB917688:UEB917691 UNX917688:UNX917691 UXT917688:UXT917691 VHP917688:VHP917691 VRL917688:VRL917691 WBH917688:WBH917691 WLD917688:WLD917691 WUZ917688:WUZ917691 E983224:E983227 IN983224:IN983227 SJ983224:SJ983227 ACF983224:ACF983227 AMB983224:AMB983227 AVX983224:AVX983227 BFT983224:BFT983227 BPP983224:BPP983227 BZL983224:BZL983227 CJH983224:CJH983227 CTD983224:CTD983227 DCZ983224:DCZ983227 DMV983224:DMV983227 DWR983224:DWR983227 EGN983224:EGN983227 EQJ983224:EQJ983227 FAF983224:FAF983227 FKB983224:FKB983227 FTX983224:FTX983227 GDT983224:GDT983227 GNP983224:GNP983227 GXL983224:GXL983227 HHH983224:HHH983227 HRD983224:HRD983227 IAZ983224:IAZ983227 IKV983224:IKV983227 IUR983224:IUR983227 JEN983224:JEN983227 JOJ983224:JOJ983227 JYF983224:JYF983227 KIB983224:KIB983227 KRX983224:KRX983227 LBT983224:LBT983227 LLP983224:LLP983227 LVL983224:LVL983227 MFH983224:MFH983227 MPD983224:MPD983227 MYZ983224:MYZ983227 NIV983224:NIV983227 NSR983224:NSR983227 OCN983224:OCN983227 OMJ983224:OMJ983227 OWF983224:OWF983227 PGB983224:PGB983227 PPX983224:PPX983227 PZT983224:PZT983227 QJP983224:QJP983227 QTL983224:QTL983227 RDH983224:RDH983227 RND983224:RND983227 RWZ983224:RWZ983227 SGV983224:SGV983227 SQR983224:SQR983227 TAN983224:TAN983227 TKJ983224:TKJ983227 TUF983224:TUF983227 UEB983224:UEB983227 UNX983224:UNX983227 UXT983224:UXT983227 VHP983224:VHP983227 VRL983224:VRL983227 WBH983224:WBH983227 WLD983224:WLD983227 IN27:IN32 WUZ27:WUZ32 WLD27:WLD32 WBH27:WBH32 VRL27:VRL32 VHP27:VHP32 UXT27:UXT32 UNX27:UNX32 UEB27:UEB32 TUF27:TUF32 TKJ27:TKJ32 TAN27:TAN32 SQR27:SQR32 SGV27:SGV32 RWZ27:RWZ32 RND27:RND32 RDH27:RDH32 QTL27:QTL32 QJP27:QJP32 PZT27:PZT32 PPX27:PPX32 PGB27:PGB32 OWF27:OWF32 OMJ27:OMJ32 OCN27:OCN32 NSR27:NSR32 NIV27:NIV32 MYZ27:MYZ32 MPD27:MPD32 MFH27:MFH32 LVL27:LVL32 LLP27:LLP32 LBT27:LBT32 KRX27:KRX32 KIB27:KIB32 JYF27:JYF32 JOJ27:JOJ32 JEN27:JEN32 IUR27:IUR32 IKV27:IKV32 IAZ27:IAZ32 HRD27:HRD32 HHH27:HHH32 GXL27:GXL32 GNP27:GNP32 GDT27:GDT32 FTX27:FTX32 FKB27:FKB32 FAF27:FAF32 EQJ27:EQJ32 EGN27:EGN32 DWR27:DWR32 DMV27:DMV32 DCZ27:DCZ32 CTD27:CTD32 CJH27:CJH32 BZL27:BZL32 BPP27:BPP32 BFT27:BFT32 AVX27:AVX32 AMB27:AMB32 ACF27:ACF32 SJ27:SJ32">
      <formula1>"mm"</formula1>
    </dataValidation>
    <dataValidation type="decimal" operator="greaterThanOrEqual" allowBlank="1" showInputMessage="1" showErrorMessage="1" errorTitle="Incorrect value" error="This value cannot be less than 1.0" sqref="WUY983225 IM29:IM31 SI29:SI31 ACE29:ACE31 AMA29:AMA31 AVW29:AVW31 BFS29:BFS31 BPO29:BPO31 BZK29:BZK31 CJG29:CJG31 CTC29:CTC31 DCY29:DCY31 DMU29:DMU31 DWQ29:DWQ31 EGM29:EGM31 EQI29:EQI31 FAE29:FAE31 FKA29:FKA31 FTW29:FTW31 GDS29:GDS31 GNO29:GNO31 GXK29:GXK31 HHG29:HHG31 HRC29:HRC31 IAY29:IAY31 IKU29:IKU31 IUQ29:IUQ31 JEM29:JEM31 JOI29:JOI31 JYE29:JYE31 KIA29:KIA31 KRW29:KRW31 LBS29:LBS31 LLO29:LLO31 LVK29:LVK31 MFG29:MFG31 MPC29:MPC31 MYY29:MYY31 NIU29:NIU31 NSQ29:NSQ31 OCM29:OCM31 OMI29:OMI31 OWE29:OWE31 PGA29:PGA31 PPW29:PPW31 PZS29:PZS31 QJO29:QJO31 QTK29:QTK31 RDG29:RDG31 RNC29:RNC31 RWY29:RWY31 SGU29:SGU31 SQQ29:SQQ31 TAM29:TAM31 TKI29:TKI31 TUE29:TUE31 UEA29:UEA31 UNW29:UNW31 UXS29:UXS31 VHO29:VHO31 VRK29:VRK31 WBG29:WBG31 WLC29:WLC31 WUY29:WUY31 D65721 IM65721 SI65721 ACE65721 AMA65721 AVW65721 BFS65721 BPO65721 BZK65721 CJG65721 CTC65721 DCY65721 DMU65721 DWQ65721 EGM65721 EQI65721 FAE65721 FKA65721 FTW65721 GDS65721 GNO65721 GXK65721 HHG65721 HRC65721 IAY65721 IKU65721 IUQ65721 JEM65721 JOI65721 JYE65721 KIA65721 KRW65721 LBS65721 LLO65721 LVK65721 MFG65721 MPC65721 MYY65721 NIU65721 NSQ65721 OCM65721 OMI65721 OWE65721 PGA65721 PPW65721 PZS65721 QJO65721 QTK65721 RDG65721 RNC65721 RWY65721 SGU65721 SQQ65721 TAM65721 TKI65721 TUE65721 UEA65721 UNW65721 UXS65721 VHO65721 VRK65721 WBG65721 WLC65721 WUY65721 D131257 IM131257 SI131257 ACE131257 AMA131257 AVW131257 BFS131257 BPO131257 BZK131257 CJG131257 CTC131257 DCY131257 DMU131257 DWQ131257 EGM131257 EQI131257 FAE131257 FKA131257 FTW131257 GDS131257 GNO131257 GXK131257 HHG131257 HRC131257 IAY131257 IKU131257 IUQ131257 JEM131257 JOI131257 JYE131257 KIA131257 KRW131257 LBS131257 LLO131257 LVK131257 MFG131257 MPC131257 MYY131257 NIU131257 NSQ131257 OCM131257 OMI131257 OWE131257 PGA131257 PPW131257 PZS131257 QJO131257 QTK131257 RDG131257 RNC131257 RWY131257 SGU131257 SQQ131257 TAM131257 TKI131257 TUE131257 UEA131257 UNW131257 UXS131257 VHO131257 VRK131257 WBG131257 WLC131257 WUY131257 D196793 IM196793 SI196793 ACE196793 AMA196793 AVW196793 BFS196793 BPO196793 BZK196793 CJG196793 CTC196793 DCY196793 DMU196793 DWQ196793 EGM196793 EQI196793 FAE196793 FKA196793 FTW196793 GDS196793 GNO196793 GXK196793 HHG196793 HRC196793 IAY196793 IKU196793 IUQ196793 JEM196793 JOI196793 JYE196793 KIA196793 KRW196793 LBS196793 LLO196793 LVK196793 MFG196793 MPC196793 MYY196793 NIU196793 NSQ196793 OCM196793 OMI196793 OWE196793 PGA196793 PPW196793 PZS196793 QJO196793 QTK196793 RDG196793 RNC196793 RWY196793 SGU196793 SQQ196793 TAM196793 TKI196793 TUE196793 UEA196793 UNW196793 UXS196793 VHO196793 VRK196793 WBG196793 WLC196793 WUY196793 D262329 IM262329 SI262329 ACE262329 AMA262329 AVW262329 BFS262329 BPO262329 BZK262329 CJG262329 CTC262329 DCY262329 DMU262329 DWQ262329 EGM262329 EQI262329 FAE262329 FKA262329 FTW262329 GDS262329 GNO262329 GXK262329 HHG262329 HRC262329 IAY262329 IKU262329 IUQ262329 JEM262329 JOI262329 JYE262329 KIA262329 KRW262329 LBS262329 LLO262329 LVK262329 MFG262329 MPC262329 MYY262329 NIU262329 NSQ262329 OCM262329 OMI262329 OWE262329 PGA262329 PPW262329 PZS262329 QJO262329 QTK262329 RDG262329 RNC262329 RWY262329 SGU262329 SQQ262329 TAM262329 TKI262329 TUE262329 UEA262329 UNW262329 UXS262329 VHO262329 VRK262329 WBG262329 WLC262329 WUY262329 D327865 IM327865 SI327865 ACE327865 AMA327865 AVW327865 BFS327865 BPO327865 BZK327865 CJG327865 CTC327865 DCY327865 DMU327865 DWQ327865 EGM327865 EQI327865 FAE327865 FKA327865 FTW327865 GDS327865 GNO327865 GXK327865 HHG327865 HRC327865 IAY327865 IKU327865 IUQ327865 JEM327865 JOI327865 JYE327865 KIA327865 KRW327865 LBS327865 LLO327865 LVK327865 MFG327865 MPC327865 MYY327865 NIU327865 NSQ327865 OCM327865 OMI327865 OWE327865 PGA327865 PPW327865 PZS327865 QJO327865 QTK327865 RDG327865 RNC327865 RWY327865 SGU327865 SQQ327865 TAM327865 TKI327865 TUE327865 UEA327865 UNW327865 UXS327865 VHO327865 VRK327865 WBG327865 WLC327865 WUY327865 D393401 IM393401 SI393401 ACE393401 AMA393401 AVW393401 BFS393401 BPO393401 BZK393401 CJG393401 CTC393401 DCY393401 DMU393401 DWQ393401 EGM393401 EQI393401 FAE393401 FKA393401 FTW393401 GDS393401 GNO393401 GXK393401 HHG393401 HRC393401 IAY393401 IKU393401 IUQ393401 JEM393401 JOI393401 JYE393401 KIA393401 KRW393401 LBS393401 LLO393401 LVK393401 MFG393401 MPC393401 MYY393401 NIU393401 NSQ393401 OCM393401 OMI393401 OWE393401 PGA393401 PPW393401 PZS393401 QJO393401 QTK393401 RDG393401 RNC393401 RWY393401 SGU393401 SQQ393401 TAM393401 TKI393401 TUE393401 UEA393401 UNW393401 UXS393401 VHO393401 VRK393401 WBG393401 WLC393401 WUY393401 D458937 IM458937 SI458937 ACE458937 AMA458937 AVW458937 BFS458937 BPO458937 BZK458937 CJG458937 CTC458937 DCY458937 DMU458937 DWQ458937 EGM458937 EQI458937 FAE458937 FKA458937 FTW458937 GDS458937 GNO458937 GXK458937 HHG458937 HRC458937 IAY458937 IKU458937 IUQ458937 JEM458937 JOI458937 JYE458937 KIA458937 KRW458937 LBS458937 LLO458937 LVK458937 MFG458937 MPC458937 MYY458937 NIU458937 NSQ458937 OCM458937 OMI458937 OWE458937 PGA458937 PPW458937 PZS458937 QJO458937 QTK458937 RDG458937 RNC458937 RWY458937 SGU458937 SQQ458937 TAM458937 TKI458937 TUE458937 UEA458937 UNW458937 UXS458937 VHO458937 VRK458937 WBG458937 WLC458937 WUY458937 D524473 IM524473 SI524473 ACE524473 AMA524473 AVW524473 BFS524473 BPO524473 BZK524473 CJG524473 CTC524473 DCY524473 DMU524473 DWQ524473 EGM524473 EQI524473 FAE524473 FKA524473 FTW524473 GDS524473 GNO524473 GXK524473 HHG524473 HRC524473 IAY524473 IKU524473 IUQ524473 JEM524473 JOI524473 JYE524473 KIA524473 KRW524473 LBS524473 LLO524473 LVK524473 MFG524473 MPC524473 MYY524473 NIU524473 NSQ524473 OCM524473 OMI524473 OWE524473 PGA524473 PPW524473 PZS524473 QJO524473 QTK524473 RDG524473 RNC524473 RWY524473 SGU524473 SQQ524473 TAM524473 TKI524473 TUE524473 UEA524473 UNW524473 UXS524473 VHO524473 VRK524473 WBG524473 WLC524473 WUY524473 D590009 IM590009 SI590009 ACE590009 AMA590009 AVW590009 BFS590009 BPO590009 BZK590009 CJG590009 CTC590009 DCY590009 DMU590009 DWQ590009 EGM590009 EQI590009 FAE590009 FKA590009 FTW590009 GDS590009 GNO590009 GXK590009 HHG590009 HRC590009 IAY590009 IKU590009 IUQ590009 JEM590009 JOI590009 JYE590009 KIA590009 KRW590009 LBS590009 LLO590009 LVK590009 MFG590009 MPC590009 MYY590009 NIU590009 NSQ590009 OCM590009 OMI590009 OWE590009 PGA590009 PPW590009 PZS590009 QJO590009 QTK590009 RDG590009 RNC590009 RWY590009 SGU590009 SQQ590009 TAM590009 TKI590009 TUE590009 UEA590009 UNW590009 UXS590009 VHO590009 VRK590009 WBG590009 WLC590009 WUY590009 D655545 IM655545 SI655545 ACE655545 AMA655545 AVW655545 BFS655545 BPO655545 BZK655545 CJG655545 CTC655545 DCY655545 DMU655545 DWQ655545 EGM655545 EQI655545 FAE655545 FKA655545 FTW655545 GDS655545 GNO655545 GXK655545 HHG655545 HRC655545 IAY655545 IKU655545 IUQ655545 JEM655545 JOI655545 JYE655545 KIA655545 KRW655545 LBS655545 LLO655545 LVK655545 MFG655545 MPC655545 MYY655545 NIU655545 NSQ655545 OCM655545 OMI655545 OWE655545 PGA655545 PPW655545 PZS655545 QJO655545 QTK655545 RDG655545 RNC655545 RWY655545 SGU655545 SQQ655545 TAM655545 TKI655545 TUE655545 UEA655545 UNW655545 UXS655545 VHO655545 VRK655545 WBG655545 WLC655545 WUY655545 D721081 IM721081 SI721081 ACE721081 AMA721081 AVW721081 BFS721081 BPO721081 BZK721081 CJG721081 CTC721081 DCY721081 DMU721081 DWQ721081 EGM721081 EQI721081 FAE721081 FKA721081 FTW721081 GDS721081 GNO721081 GXK721081 HHG721081 HRC721081 IAY721081 IKU721081 IUQ721081 JEM721081 JOI721081 JYE721081 KIA721081 KRW721081 LBS721081 LLO721081 LVK721081 MFG721081 MPC721081 MYY721081 NIU721081 NSQ721081 OCM721081 OMI721081 OWE721081 PGA721081 PPW721081 PZS721081 QJO721081 QTK721081 RDG721081 RNC721081 RWY721081 SGU721081 SQQ721081 TAM721081 TKI721081 TUE721081 UEA721081 UNW721081 UXS721081 VHO721081 VRK721081 WBG721081 WLC721081 WUY721081 D786617 IM786617 SI786617 ACE786617 AMA786617 AVW786617 BFS786617 BPO786617 BZK786617 CJG786617 CTC786617 DCY786617 DMU786617 DWQ786617 EGM786617 EQI786617 FAE786617 FKA786617 FTW786617 GDS786617 GNO786617 GXK786617 HHG786617 HRC786617 IAY786617 IKU786617 IUQ786617 JEM786617 JOI786617 JYE786617 KIA786617 KRW786617 LBS786617 LLO786617 LVK786617 MFG786617 MPC786617 MYY786617 NIU786617 NSQ786617 OCM786617 OMI786617 OWE786617 PGA786617 PPW786617 PZS786617 QJO786617 QTK786617 RDG786617 RNC786617 RWY786617 SGU786617 SQQ786617 TAM786617 TKI786617 TUE786617 UEA786617 UNW786617 UXS786617 VHO786617 VRK786617 WBG786617 WLC786617 WUY786617 D852153 IM852153 SI852153 ACE852153 AMA852153 AVW852153 BFS852153 BPO852153 BZK852153 CJG852153 CTC852153 DCY852153 DMU852153 DWQ852153 EGM852153 EQI852153 FAE852153 FKA852153 FTW852153 GDS852153 GNO852153 GXK852153 HHG852153 HRC852153 IAY852153 IKU852153 IUQ852153 JEM852153 JOI852153 JYE852153 KIA852153 KRW852153 LBS852153 LLO852153 LVK852153 MFG852153 MPC852153 MYY852153 NIU852153 NSQ852153 OCM852153 OMI852153 OWE852153 PGA852153 PPW852153 PZS852153 QJO852153 QTK852153 RDG852153 RNC852153 RWY852153 SGU852153 SQQ852153 TAM852153 TKI852153 TUE852153 UEA852153 UNW852153 UXS852153 VHO852153 VRK852153 WBG852153 WLC852153 WUY852153 D917689 IM917689 SI917689 ACE917689 AMA917689 AVW917689 BFS917689 BPO917689 BZK917689 CJG917689 CTC917689 DCY917689 DMU917689 DWQ917689 EGM917689 EQI917689 FAE917689 FKA917689 FTW917689 GDS917689 GNO917689 GXK917689 HHG917689 HRC917689 IAY917689 IKU917689 IUQ917689 JEM917689 JOI917689 JYE917689 KIA917689 KRW917689 LBS917689 LLO917689 LVK917689 MFG917689 MPC917689 MYY917689 NIU917689 NSQ917689 OCM917689 OMI917689 OWE917689 PGA917689 PPW917689 PZS917689 QJO917689 QTK917689 RDG917689 RNC917689 RWY917689 SGU917689 SQQ917689 TAM917689 TKI917689 TUE917689 UEA917689 UNW917689 UXS917689 VHO917689 VRK917689 WBG917689 WLC917689 WUY917689 D983225 IM983225 SI983225 ACE983225 AMA983225 AVW983225 BFS983225 BPO983225 BZK983225 CJG983225 CTC983225 DCY983225 DMU983225 DWQ983225 EGM983225 EQI983225 FAE983225 FKA983225 FTW983225 GDS983225 GNO983225 GXK983225 HHG983225 HRC983225 IAY983225 IKU983225 IUQ983225 JEM983225 JOI983225 JYE983225 KIA983225 KRW983225 LBS983225 LLO983225 LVK983225 MFG983225 MPC983225 MYY983225 NIU983225 NSQ983225 OCM983225 OMI983225 OWE983225 PGA983225 PPW983225 PZS983225 QJO983225 QTK983225 RDG983225 RNC983225 RWY983225 SGU983225 SQQ983225 TAM983225 TKI983225 TUE983225 UEA983225 UNW983225 UXS983225 VHO983225 VRK983225 WBG983225 WLC983225 D29">
      <formula1>1</formula1>
    </dataValidation>
    <dataValidation type="list" allowBlank="1" showInputMessage="1" showErrorMessage="1" sqref="D20">
      <formula1>$B$245:$B$250</formula1>
    </dataValidation>
    <dataValidation type="decimal" errorStyle="information" operator="greaterThan" allowBlank="1" showInputMessage="1" showErrorMessage="1" errorTitle="USe appropriate value" error="PCB traces should use 0.393 for copper." sqref="D50">
      <formula1>0.001</formula1>
    </dataValidation>
    <dataValidation errorStyle="information" allowBlank="1" showInputMessage="1" showErrorMessage="1" errorTitle="Set appropriate vale" error="For Copper PCBs, 1.00 is appropriate value." sqref="D51"/>
    <dataValidation errorStyle="information" allowBlank="1" showInputMessage="1" showErrorMessage="1" errorTitle="Capacitor" error="1.68e-8 is appropriate value for copper traces." sqref="D49"/>
    <dataValidation type="decimal" errorStyle="warning" allowBlank="1" showInputMessage="1" showErrorMessage="1" error="This thickness may not be manufacturable. " sqref="D46 D48">
      <formula1>0.001</formula1>
      <formula2>15</formula2>
    </dataValidation>
    <dataValidation errorStyle="warning" allowBlank="1" showInputMessage="1" showErrorMessage="1" error="This thickness may not be manufacturable. " sqref="D47"/>
    <dataValidation operator="greaterThanOrEqual" allowBlank="1" showInputMessage="1" showErrorMessage="1" errorTitle="Incorrect value" error="This value cannot be less than 1.0" sqref="D30:D31"/>
    <dataValidation type="list" allowBlank="1" showInputMessage="1" showErrorMessage="1" sqref="D28">
      <formula1>"Circular,Racetrack"</formula1>
    </dataValidation>
    <dataValidation type="list" allowBlank="1" showInputMessage="1" showErrorMessage="1" sqref="E206">
      <formula1>"mm,mil"</formula1>
    </dataValidation>
  </dataValidations>
  <hyperlinks>
    <hyperlink ref="F2" location="Contents!A1" display="Return to Main page"/>
    <hyperlink ref="B4" r:id="rId1"/>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progId="Acrobat Document" dvAspect="DVASPECT_ICON" shapeId="2049" r:id="rId5">
          <objectPr locked="0" defaultSize="0" r:id="rId6">
            <anchor moveWithCells="1">
              <from>
                <xdr:col>3</xdr:col>
                <xdr:colOff>333375</xdr:colOff>
                <xdr:row>13</xdr:row>
                <xdr:rowOff>161925</xdr:rowOff>
              </from>
              <to>
                <xdr:col>3</xdr:col>
                <xdr:colOff>1247775</xdr:colOff>
                <xdr:row>17</xdr:row>
                <xdr:rowOff>114300</xdr:rowOff>
              </to>
            </anchor>
          </objectPr>
        </oleObject>
      </mc:Choice>
      <mc:Fallback>
        <oleObject progId="Acrobat Document" dvAspect="DVASPECT_ICON" shapeId="2049"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4" tint="0.59999389629810485"/>
  </sheetPr>
  <dimension ref="B2:V213"/>
  <sheetViews>
    <sheetView showGridLines="0" showRowColHeaders="0" zoomScaleNormal="100" workbookViewId="0">
      <selection activeCell="D4" sqref="D4"/>
    </sheetView>
  </sheetViews>
  <sheetFormatPr defaultRowHeight="13.5" x14ac:dyDescent="0.15"/>
  <cols>
    <col min="2" max="2" width="16.875" customWidth="1"/>
    <col min="3" max="3" width="10.25" customWidth="1"/>
    <col min="4" max="4" width="14.5" customWidth="1"/>
    <col min="5" max="5" width="4.75" customWidth="1"/>
    <col min="6" max="6" width="14.5" customWidth="1"/>
    <col min="7" max="7" width="4.125" customWidth="1"/>
    <col min="8" max="8" width="14.5" customWidth="1"/>
    <col min="9" max="9" width="4.5" customWidth="1"/>
    <col min="10" max="10" width="14.5" customWidth="1"/>
    <col min="11" max="11" width="4.25" customWidth="1"/>
  </cols>
  <sheetData>
    <row r="2" spans="2:16" ht="17.25" x14ac:dyDescent="0.2">
      <c r="B2" s="4" t="s">
        <v>1616</v>
      </c>
      <c r="F2" s="20" t="s">
        <v>198</v>
      </c>
    </row>
    <row r="3" spans="2:16" ht="17.25" x14ac:dyDescent="0.2">
      <c r="C3" s="4"/>
      <c r="H3" s="20"/>
    </row>
    <row r="4" spans="2:16" ht="14.25" x14ac:dyDescent="0.15">
      <c r="C4" s="413" t="s">
        <v>813</v>
      </c>
      <c r="D4" s="45" t="s">
        <v>484</v>
      </c>
    </row>
    <row r="5" spans="2:16" ht="14.25" x14ac:dyDescent="0.15">
      <c r="C5" s="22"/>
      <c r="D5" s="309" t="s">
        <v>719</v>
      </c>
      <c r="F5" s="309" t="s">
        <v>720</v>
      </c>
      <c r="H5" s="309" t="s">
        <v>721</v>
      </c>
      <c r="J5" s="309" t="s">
        <v>722</v>
      </c>
      <c r="K5" s="330"/>
      <c r="L5" s="330"/>
      <c r="M5" s="330"/>
      <c r="N5" s="330"/>
      <c r="O5" s="330"/>
      <c r="P5" s="330"/>
    </row>
    <row r="6" spans="2:16" hidden="1" x14ac:dyDescent="0.15">
      <c r="D6" s="409"/>
      <c r="F6" s="11"/>
      <c r="H6" s="11"/>
      <c r="J6" s="11"/>
      <c r="K6" s="330"/>
      <c r="L6" s="330"/>
      <c r="M6" s="330"/>
      <c r="N6" s="330"/>
      <c r="O6" s="330"/>
      <c r="P6" s="330"/>
    </row>
    <row r="7" spans="2:16" ht="14.25" x14ac:dyDescent="0.15">
      <c r="B7" s="22" t="s">
        <v>737</v>
      </c>
      <c r="D7" s="410" t="b">
        <v>1</v>
      </c>
      <c r="E7" s="403"/>
      <c r="F7" s="412" t="b">
        <v>1</v>
      </c>
      <c r="G7" s="404"/>
      <c r="H7" s="412" t="b">
        <v>1</v>
      </c>
      <c r="I7" s="404"/>
      <c r="J7" s="412" t="b">
        <v>0</v>
      </c>
      <c r="K7" s="85" t="str">
        <f>IF(AND(D4="LDC2112",OR(H7=TRUE(),J7=TRUE())),"LDC2112 does not have Ch2 or Ch3","")</f>
        <v/>
      </c>
      <c r="L7" s="330"/>
      <c r="M7" s="330"/>
      <c r="N7" s="330"/>
      <c r="O7" s="330"/>
      <c r="P7" s="330"/>
    </row>
    <row r="8" spans="2:16" ht="14.25" x14ac:dyDescent="0.15">
      <c r="B8" s="22" t="s">
        <v>723</v>
      </c>
      <c r="D8" s="410" t="b">
        <v>1</v>
      </c>
      <c r="E8" s="403"/>
      <c r="F8" s="412" t="b">
        <v>1</v>
      </c>
      <c r="G8" s="404"/>
      <c r="H8" s="412" t="b">
        <v>0</v>
      </c>
      <c r="I8" s="404"/>
      <c r="J8" s="412" t="b">
        <v>0</v>
      </c>
      <c r="K8" s="85" t="str">
        <f>IF(SUM(D11,F11,H11,J11)&gt;SUM(D12,F12,H12,J12),"LP Mode requires Enabled Button","")</f>
        <v/>
      </c>
      <c r="L8" s="330"/>
      <c r="M8" s="330"/>
      <c r="N8" s="330"/>
      <c r="O8" s="330"/>
      <c r="P8" s="330"/>
    </row>
    <row r="9" spans="2:16" ht="14.25" x14ac:dyDescent="0.15">
      <c r="B9" s="22"/>
      <c r="D9" s="411"/>
      <c r="L9" s="330"/>
      <c r="M9" s="330"/>
      <c r="N9" s="330"/>
      <c r="O9" s="330"/>
      <c r="P9" s="330"/>
    </row>
    <row r="10" spans="2:16" hidden="1" x14ac:dyDescent="0.15">
      <c r="B10" s="7" t="s">
        <v>724</v>
      </c>
      <c r="D10" s="75">
        <f>IF(D7=TRUE(),1,0)</f>
        <v>1</v>
      </c>
      <c r="F10" s="75">
        <f t="shared" ref="F10" si="0">IF(F7=TRUE(),1,0)</f>
        <v>1</v>
      </c>
      <c r="H10" s="75">
        <f>IF(H7=TRUE(),IF(D4="LDC2114",1,0),0)</f>
        <v>1</v>
      </c>
      <c r="J10" s="75">
        <f>IF(J7=TRUE(),IF(D4="LDC2114",1,0),0)</f>
        <v>0</v>
      </c>
      <c r="L10" s="330"/>
      <c r="M10" s="330"/>
      <c r="N10" s="330"/>
      <c r="O10" s="330"/>
      <c r="P10" s="330"/>
    </row>
    <row r="11" spans="2:16" hidden="1" x14ac:dyDescent="0.15">
      <c r="B11" s="7" t="s">
        <v>726</v>
      </c>
      <c r="D11" s="75">
        <f>IF(D8=TRUE(),1,0)</f>
        <v>1</v>
      </c>
      <c r="E11" s="12"/>
      <c r="F11" s="75">
        <f>IF(F8=TRUE(),1,0)</f>
        <v>1</v>
      </c>
      <c r="G11" s="12"/>
      <c r="H11" s="75">
        <f>IF(H8=TRUE(),1,0)</f>
        <v>0</v>
      </c>
      <c r="I11" s="12"/>
      <c r="J11" s="75">
        <f>IF(J8=TRUE(),1,0)</f>
        <v>0</v>
      </c>
      <c r="L11" s="330"/>
      <c r="M11" s="330"/>
      <c r="N11" s="330"/>
      <c r="O11" s="330"/>
      <c r="P11" s="330"/>
    </row>
    <row r="12" spans="2:16" hidden="1" x14ac:dyDescent="0.15">
      <c r="B12" s="7" t="s">
        <v>725</v>
      </c>
      <c r="D12" s="75">
        <f>IF(D8=TRUE(),IF(D7=TRUE(),1,0),0)</f>
        <v>1</v>
      </c>
      <c r="F12" s="75">
        <f t="shared" ref="F12:J12" si="1">IF(F8=TRUE(),IF(F7=TRUE(),1,0),0)</f>
        <v>1</v>
      </c>
      <c r="H12" s="75">
        <f t="shared" si="1"/>
        <v>0</v>
      </c>
      <c r="J12" s="75">
        <f t="shared" si="1"/>
        <v>0</v>
      </c>
      <c r="L12" s="330"/>
      <c r="M12" s="330"/>
      <c r="N12" s="330"/>
      <c r="O12" s="330"/>
      <c r="P12" s="330"/>
    </row>
    <row r="13" spans="2:16" ht="16.5" x14ac:dyDescent="0.25">
      <c r="B13" s="9" t="s">
        <v>1637</v>
      </c>
      <c r="D13" s="152">
        <v>2</v>
      </c>
      <c r="E13" s="6" t="s">
        <v>243</v>
      </c>
      <c r="F13" s="152">
        <v>2</v>
      </c>
      <c r="G13" s="6" t="s">
        <v>243</v>
      </c>
      <c r="H13" s="152">
        <v>2</v>
      </c>
      <c r="I13" s="6" t="s">
        <v>243</v>
      </c>
      <c r="J13" s="152">
        <v>2</v>
      </c>
      <c r="K13" s="6" t="s">
        <v>243</v>
      </c>
      <c r="L13" s="330"/>
      <c r="M13" s="330"/>
      <c r="N13" s="330"/>
      <c r="O13" s="330"/>
      <c r="P13" s="330"/>
    </row>
    <row r="14" spans="2:16" ht="14.25" x14ac:dyDescent="0.2">
      <c r="B14" s="9" t="s">
        <v>1636</v>
      </c>
      <c r="D14" s="170" t="str">
        <f>IF(D13&lt;3,"350Ω ≤ RP ≤ 4kΩ","800Ω ≤ RP ≤ 10kΩ")</f>
        <v>350Ω ≤ RP ≤ 4kΩ</v>
      </c>
      <c r="E14" s="6"/>
      <c r="F14" s="170" t="str">
        <f>IF(F13&lt;3,"350Ω ≤ RP ≤ 4kΩ","800Ω ≤ RP ≤ 10kΩ")</f>
        <v>350Ω ≤ RP ≤ 4kΩ</v>
      </c>
      <c r="G14" s="6"/>
      <c r="H14" s="170" t="str">
        <f>IF(H13&lt;3,"350Ω ≤ RP ≤ 4kΩ","800Ω ≤ RP ≤ 10kΩ")</f>
        <v>350Ω ≤ RP ≤ 4kΩ</v>
      </c>
      <c r="I14" s="6"/>
      <c r="J14" s="170" t="str">
        <f>IF(J13&lt;3,"350Ω ≤ RP ≤ 4kΩ","800Ω ≤ RP ≤ 10kΩ")</f>
        <v>350Ω ≤ RP ≤ 4kΩ</v>
      </c>
      <c r="K14" s="6"/>
      <c r="L14" s="330"/>
      <c r="M14" s="330"/>
      <c r="N14" s="330"/>
      <c r="O14" s="330"/>
      <c r="P14" s="330"/>
    </row>
    <row r="15" spans="2:16" ht="16.5" x14ac:dyDescent="0.25">
      <c r="B15" s="9" t="s">
        <v>642</v>
      </c>
      <c r="D15" s="51">
        <v>18</v>
      </c>
      <c r="E15" s="6" t="s">
        <v>0</v>
      </c>
      <c r="F15" s="51">
        <v>20</v>
      </c>
      <c r="G15" s="6" t="s">
        <v>0</v>
      </c>
      <c r="H15" s="51">
        <v>20</v>
      </c>
      <c r="I15" s="6" t="s">
        <v>0</v>
      </c>
      <c r="J15" s="51">
        <v>20</v>
      </c>
      <c r="K15" s="6" t="s">
        <v>0</v>
      </c>
      <c r="L15" s="330"/>
      <c r="M15" s="330"/>
      <c r="N15" s="330"/>
      <c r="O15" s="330"/>
      <c r="P15" s="330"/>
    </row>
    <row r="16" spans="2:16" x14ac:dyDescent="0.15">
      <c r="B16" s="9" t="s">
        <v>640</v>
      </c>
      <c r="D16" s="358">
        <v>1</v>
      </c>
      <c r="E16" s="6" t="s">
        <v>229</v>
      </c>
      <c r="F16" s="358">
        <v>1</v>
      </c>
      <c r="G16" s="6" t="s">
        <v>229</v>
      </c>
      <c r="H16" s="358">
        <v>1</v>
      </c>
      <c r="I16" s="6" t="s">
        <v>229</v>
      </c>
      <c r="J16" s="358">
        <v>1</v>
      </c>
      <c r="K16" s="6" t="s">
        <v>229</v>
      </c>
      <c r="L16" s="330"/>
      <c r="M16" s="330"/>
      <c r="N16" s="330"/>
      <c r="O16" s="330"/>
      <c r="P16" s="330"/>
    </row>
    <row r="17" spans="2:16" hidden="1" x14ac:dyDescent="0.15">
      <c r="B17" s="7" t="s">
        <v>618</v>
      </c>
      <c r="D17" s="354">
        <f>IF(D14="800Ω ≤ RP ≤ 10kΩ",1,0)</f>
        <v>0</v>
      </c>
      <c r="E17" s="6"/>
      <c r="F17" s="354">
        <f>IF(F14="800Ω ≤ RP ≤ 10kΩ",1,0)</f>
        <v>0</v>
      </c>
      <c r="G17" s="6"/>
      <c r="H17" s="354">
        <f>IF(H14="800Ω ≤ RP ≤ 10kΩ",1,0)</f>
        <v>0</v>
      </c>
      <c r="I17" s="6"/>
      <c r="J17" s="354">
        <f>IF(J14="800Ω ≤ RP ≤ 10kΩ",1,0)</f>
        <v>0</v>
      </c>
      <c r="K17" s="6"/>
      <c r="L17" s="330"/>
      <c r="M17" s="330"/>
      <c r="N17" s="330"/>
      <c r="O17" s="330"/>
      <c r="P17" s="330"/>
    </row>
    <row r="18" spans="2:16" hidden="1" x14ac:dyDescent="0.15">
      <c r="B18" s="7" t="s">
        <v>621</v>
      </c>
      <c r="D18" s="355">
        <f>IF(D15&lt;3.3,0,IF(D15&lt;10,1,2))</f>
        <v>2</v>
      </c>
      <c r="E18" s="6"/>
      <c r="F18" s="355">
        <f>IF(F15&lt;3.3,0,IF(F15&lt;10,1,2))</f>
        <v>2</v>
      </c>
      <c r="G18" s="6"/>
      <c r="H18" s="355">
        <f>IF(H15&lt;3.3,0,IF(H15&lt;10,1,2))</f>
        <v>2</v>
      </c>
      <c r="I18" s="6"/>
      <c r="J18" s="355">
        <f>IF(J15&lt;3.3,0,IF(J15&lt;10,1,2))</f>
        <v>2</v>
      </c>
      <c r="K18" s="6"/>
      <c r="L18" s="330"/>
      <c r="M18" s="330"/>
      <c r="N18" s="330"/>
      <c r="O18" s="330"/>
      <c r="P18" s="330"/>
    </row>
    <row r="19" spans="2:16" hidden="1" x14ac:dyDescent="0.15">
      <c r="B19" s="97" t="s">
        <v>622</v>
      </c>
      <c r="D19" s="76">
        <f>CEILING(LOG(D15*D16/4.096,2),1)</f>
        <v>3</v>
      </c>
      <c r="E19" s="6"/>
      <c r="F19" s="76">
        <f>CEILING(LOG(F15*F16/4.096,2),1)</f>
        <v>3</v>
      </c>
      <c r="G19" s="6"/>
      <c r="H19" s="76">
        <f>CEILING(LOG(H15*H16/4.096,2),1)</f>
        <v>3</v>
      </c>
      <c r="I19" s="6"/>
      <c r="J19" s="76">
        <f>CEILING(LOG(J15*J16/4.096,2),1)</f>
        <v>3</v>
      </c>
      <c r="K19" s="6"/>
      <c r="L19" s="330"/>
      <c r="M19" s="330"/>
      <c r="N19" s="330"/>
      <c r="O19" s="330"/>
      <c r="P19" s="330"/>
    </row>
    <row r="20" spans="2:16" x14ac:dyDescent="0.15">
      <c r="B20" s="58" t="s">
        <v>622</v>
      </c>
      <c r="D20" s="405">
        <f>IF(D19&lt;0,0,ROUND(D19,1))</f>
        <v>3</v>
      </c>
      <c r="E20" s="6"/>
      <c r="F20" s="405">
        <f>IF(F19&lt;0,0,ROUND(F19,1))</f>
        <v>3</v>
      </c>
      <c r="G20" s="6"/>
      <c r="H20" s="405">
        <f>IF(H19&lt;0,0,ROUND(H19,1))</f>
        <v>3</v>
      </c>
      <c r="I20" s="6"/>
      <c r="J20" s="405">
        <f>IF(J19&lt;0,0,ROUND(J19,1))</f>
        <v>3</v>
      </c>
      <c r="K20" s="400" t="str">
        <f>IF(K21&lt;L21,"Error - Adjust Sample intervals to match LCDIV","")</f>
        <v/>
      </c>
      <c r="L20" s="330"/>
      <c r="M20" s="330"/>
      <c r="N20" s="330"/>
      <c r="O20" s="330"/>
      <c r="P20" s="330"/>
    </row>
    <row r="21" spans="2:16" hidden="1" x14ac:dyDescent="0.15">
      <c r="B21" s="58" t="s">
        <v>815</v>
      </c>
      <c r="D21" s="479">
        <f>IF(D7,D20,)</f>
        <v>3</v>
      </c>
      <c r="E21" s="6"/>
      <c r="F21" s="479">
        <f>IF(F7,F20,FALSE)</f>
        <v>3</v>
      </c>
      <c r="G21" s="6"/>
      <c r="H21" s="479">
        <f>IF(H7,H20,"")</f>
        <v>3</v>
      </c>
      <c r="I21" s="6"/>
      <c r="J21" s="479" t="str">
        <f>IF(J7,J20,"")</f>
        <v/>
      </c>
      <c r="K21" s="780">
        <f>MIN(D21,F21,H21,J21)</f>
        <v>3</v>
      </c>
      <c r="L21" s="786">
        <f>MAX(D21,F21,H21,J21)</f>
        <v>3</v>
      </c>
      <c r="M21" s="330"/>
      <c r="N21" s="330"/>
      <c r="O21" s="330"/>
      <c r="P21" s="330"/>
    </row>
    <row r="22" spans="2:16" hidden="1" x14ac:dyDescent="0.15">
      <c r="B22" s="97" t="s">
        <v>623</v>
      </c>
      <c r="D22" s="406">
        <f>D15*1000*D16*2^(-7-D19)-1</f>
        <v>16.578125</v>
      </c>
      <c r="E22" s="6"/>
      <c r="F22" s="406">
        <f>F15*1000*F16*2^(-7-F19)-1</f>
        <v>18.53125</v>
      </c>
      <c r="G22" s="6"/>
      <c r="H22" s="406">
        <f>H15*1000*H16*2^(-7-H19)-1</f>
        <v>18.53125</v>
      </c>
      <c r="I22" s="6"/>
      <c r="J22" s="406">
        <f>J15*1000*J16*2^(-7-J19)-1</f>
        <v>18.53125</v>
      </c>
      <c r="K22" s="6"/>
      <c r="L22" s="330"/>
      <c r="M22" s="330"/>
      <c r="N22" s="330"/>
      <c r="O22" s="330"/>
      <c r="P22" s="330"/>
    </row>
    <row r="23" spans="2:16" x14ac:dyDescent="0.15">
      <c r="B23" s="9" t="s">
        <v>619</v>
      </c>
      <c r="D23" s="407">
        <f>IF(D22&lt;0,0,IF(D22&gt;31,31,ROUND(D22,0)))</f>
        <v>17</v>
      </c>
      <c r="E23" s="6"/>
      <c r="F23" s="407">
        <f>IF(F22&lt;0,0,IF(F22&gt;31,31,ROUND(F22,0)))</f>
        <v>19</v>
      </c>
      <c r="G23" s="6"/>
      <c r="H23" s="407">
        <f>IF(H22&lt;0,0,IF(H22&gt;31,31,ROUND(H22,0)))</f>
        <v>19</v>
      </c>
      <c r="I23" s="6"/>
      <c r="J23" s="407">
        <f>IF(J22&lt;0,0,IF(J22&gt;31,31,ROUND(J22,0)))</f>
        <v>19</v>
      </c>
      <c r="K23" s="6"/>
      <c r="L23" s="330"/>
      <c r="M23" s="330"/>
      <c r="N23" s="330"/>
      <c r="O23" s="330"/>
      <c r="P23" s="330"/>
    </row>
    <row r="24" spans="2:16" x14ac:dyDescent="0.15">
      <c r="B24" s="58" t="s">
        <v>641</v>
      </c>
      <c r="D24" s="27">
        <f>0.6/D15+(2^(7+D20))*(D23+1)/D15/1000</f>
        <v>1.0573333333333335</v>
      </c>
      <c r="E24" s="6" t="s">
        <v>229</v>
      </c>
      <c r="F24" s="27">
        <f>0.6/F15+(2^(7+F20))*(F23+1)/F15/1000</f>
        <v>1.054</v>
      </c>
      <c r="G24" s="6" t="s">
        <v>229</v>
      </c>
      <c r="H24" s="27">
        <f>0.6/H15+(2^(7+H20))*(H23+1)/H15/1000</f>
        <v>1.054</v>
      </c>
      <c r="I24" s="6" t="s">
        <v>229</v>
      </c>
      <c r="J24" s="27">
        <f>0.6/J15+(2^(7+J20))*(J23+1)/J15/1000</f>
        <v>1.054</v>
      </c>
      <c r="K24" s="6" t="s">
        <v>229</v>
      </c>
      <c r="L24" s="787" t="str">
        <f>IF(D34&lt;0,"The total active time exceeds the time available in the scan interval","")</f>
        <v/>
      </c>
      <c r="M24" s="330"/>
      <c r="N24" s="330"/>
      <c r="O24" s="330"/>
      <c r="P24" s="330"/>
    </row>
    <row r="25" spans="2:16" hidden="1" x14ac:dyDescent="0.15">
      <c r="B25" s="97" t="s">
        <v>1575</v>
      </c>
      <c r="D25" s="357">
        <f>CEILING(LOG(30*(1+D23)*2^(14+D20)*47/D15,2),1)-28</f>
        <v>0</v>
      </c>
      <c r="E25" s="6"/>
      <c r="F25" s="357">
        <f>CEILING(LOG(30*(1+F23)*2^(14+F20)*47/F15,2),1)-28</f>
        <v>0</v>
      </c>
      <c r="G25" s="6"/>
      <c r="H25" s="357">
        <f>CEILING(LOG(30*(1+H23)*2^(14+H20)*47/H15,2),1)-28</f>
        <v>0</v>
      </c>
      <c r="I25" s="6"/>
      <c r="J25" s="357">
        <f>CEILING(LOG(30*(1+J23)*2^(14+J20)*47/J15,2),1)-28</f>
        <v>0</v>
      </c>
      <c r="K25" s="6"/>
      <c r="L25" s="330"/>
      <c r="M25" s="330"/>
      <c r="N25" s="330"/>
      <c r="O25" s="330"/>
      <c r="P25" s="330"/>
    </row>
    <row r="26" spans="2:16" x14ac:dyDescent="0.15">
      <c r="B26" s="58" t="s">
        <v>620</v>
      </c>
      <c r="D26" s="408">
        <f>IF(D25&lt;0,0,IF(D25&gt;3,3,ROUND(D25,1)))</f>
        <v>0</v>
      </c>
      <c r="E26" s="6"/>
      <c r="F26" s="408">
        <f>IF(F25&lt;0,0,IF(F25&gt;3,3,ROUND(F25,1)))</f>
        <v>0</v>
      </c>
      <c r="G26" s="6"/>
      <c r="H26" s="408">
        <f>IF(H25&lt;0,0,IF(H25&gt;3,3,ROUND(H25,1)))</f>
        <v>0</v>
      </c>
      <c r="I26" s="6"/>
      <c r="J26" s="408">
        <f>IF(J25&lt;0,0,IF(J25&gt;3,3,ROUND(J25,1)))</f>
        <v>0</v>
      </c>
      <c r="K26" s="6"/>
      <c r="L26" s="330"/>
      <c r="M26" s="330"/>
      <c r="N26" s="330"/>
      <c r="O26" s="330"/>
      <c r="P26" s="330"/>
    </row>
    <row r="27" spans="2:16" hidden="1" x14ac:dyDescent="0.15">
      <c r="B27" s="97" t="s">
        <v>727</v>
      </c>
      <c r="D27" s="401">
        <f xml:space="preserve"> 1.630124 + (13.25536 - 1.630124)/(1 + (D13/0.08957141)^1.210902)+(10.23*D15+19)/1000</f>
        <v>2.0975514930942389</v>
      </c>
      <c r="E27" s="402"/>
      <c r="F27" s="401">
        <f xml:space="preserve"> 1.630124 + (13.25536 - 1.630124)/(1 + (F13/0.08957141)^1.210902)+(10.23*F15+19)/1000</f>
        <v>2.1180114930942393</v>
      </c>
      <c r="G27" s="402"/>
      <c r="H27" s="401">
        <f xml:space="preserve"> 1.630124 + (13.25536 - 1.630124)/(1 + (H13/0.08957141)^1.210902)+(10.23*H15+19)/1000</f>
        <v>2.1180114930942393</v>
      </c>
      <c r="I27" s="402"/>
      <c r="J27" s="401">
        <f xml:space="preserve"> 1.630124 + (13.25536 - 1.630124)/(1 + (J13/0.08957141)^1.210902)+(10.23*J15+19)/1000</f>
        <v>2.1180114930942393</v>
      </c>
      <c r="K27" s="6"/>
      <c r="L27" s="330"/>
      <c r="M27" s="330"/>
      <c r="N27" s="330"/>
      <c r="O27" s="330"/>
      <c r="P27" s="330"/>
    </row>
    <row r="28" spans="2:16" hidden="1" x14ac:dyDescent="0.15">
      <c r="B28" s="97" t="s">
        <v>732</v>
      </c>
      <c r="D28" s="401">
        <f>(D24+0.01)*D27</f>
        <v>2.2387866269625847</v>
      </c>
      <c r="E28" s="402"/>
      <c r="F28" s="401">
        <f>F27*(F24+0.01)</f>
        <v>2.2535642286522708</v>
      </c>
      <c r="G28" s="402"/>
      <c r="H28" s="401">
        <f>(H24+0.01)*H27</f>
        <v>2.2535642286522708</v>
      </c>
      <c r="I28" s="402"/>
      <c r="J28" s="401">
        <f>(J24+0.01)*J27</f>
        <v>2.2535642286522708</v>
      </c>
      <c r="K28" s="6"/>
      <c r="L28" s="330"/>
      <c r="M28" s="330"/>
      <c r="N28" s="330"/>
      <c r="O28" s="330"/>
      <c r="P28" s="330"/>
    </row>
    <row r="29" spans="2:16" hidden="1" x14ac:dyDescent="0.15">
      <c r="B29" s="97" t="s">
        <v>733</v>
      </c>
      <c r="D29" s="401">
        <f>D28*D12</f>
        <v>2.2387866269625847</v>
      </c>
      <c r="E29" s="402"/>
      <c r="F29" s="401">
        <f>F28*F12</f>
        <v>2.2535642286522708</v>
      </c>
      <c r="G29" s="402"/>
      <c r="H29" s="401">
        <f>H28*H12</f>
        <v>0</v>
      </c>
      <c r="I29" s="402"/>
      <c r="J29" s="401">
        <f>J28*J12</f>
        <v>0</v>
      </c>
      <c r="K29" s="6"/>
      <c r="L29" s="330"/>
      <c r="M29" s="330"/>
      <c r="N29" s="330"/>
      <c r="O29" s="330"/>
      <c r="P29" s="330"/>
    </row>
    <row r="30" spans="2:16" hidden="1" x14ac:dyDescent="0.15">
      <c r="B30" s="97" t="s">
        <v>814</v>
      </c>
      <c r="D30" s="401">
        <f>D28*D10</f>
        <v>2.2387866269625847</v>
      </c>
      <c r="E30" s="402"/>
      <c r="F30" s="401">
        <f>F28*F10</f>
        <v>2.2535642286522708</v>
      </c>
      <c r="G30" s="402"/>
      <c r="H30" s="401">
        <f>H28*H10</f>
        <v>2.2535642286522708</v>
      </c>
      <c r="I30" s="402"/>
      <c r="J30" s="401">
        <f>J28*J10</f>
        <v>0</v>
      </c>
      <c r="K30" s="6"/>
      <c r="L30" s="330"/>
      <c r="M30" s="330"/>
      <c r="N30" s="330"/>
      <c r="O30" s="330"/>
      <c r="P30" s="330"/>
    </row>
    <row r="31" spans="2:16" hidden="1" x14ac:dyDescent="0.15">
      <c r="B31" s="97" t="s">
        <v>728</v>
      </c>
      <c r="D31" s="401">
        <f>(1000/$D$44)-(D24*D12+F24*F12+H24*H12+J24*J12)</f>
        <v>797.88866666666672</v>
      </c>
      <c r="E31" s="402"/>
      <c r="F31" s="401"/>
      <c r="G31" s="402"/>
      <c r="H31" s="401"/>
      <c r="I31" s="402"/>
      <c r="J31" s="401"/>
      <c r="K31" s="6"/>
      <c r="L31" s="330"/>
      <c r="M31" s="330"/>
      <c r="N31" s="330"/>
      <c r="O31" s="330"/>
      <c r="P31" s="330"/>
    </row>
    <row r="32" spans="2:16" hidden="1" x14ac:dyDescent="0.15">
      <c r="B32" s="97" t="s">
        <v>731</v>
      </c>
      <c r="D32" s="401">
        <f>D31*0.00483</f>
        <v>3.8538022600000001</v>
      </c>
      <c r="E32" s="402"/>
      <c r="F32" s="401"/>
      <c r="G32" s="402"/>
      <c r="H32" s="401"/>
      <c r="I32" s="402"/>
      <c r="J32" s="401"/>
      <c r="K32" s="6"/>
      <c r="L32" s="330"/>
      <c r="M32" s="330"/>
      <c r="N32" s="330"/>
      <c r="O32" s="330"/>
      <c r="P32" s="330"/>
    </row>
    <row r="33" spans="2:16" hidden="1" x14ac:dyDescent="0.15">
      <c r="B33" s="97" t="s">
        <v>734</v>
      </c>
      <c r="D33" s="401">
        <f>D32+D29+F29+H29+J29</f>
        <v>8.3461531156148556</v>
      </c>
      <c r="E33" s="402"/>
      <c r="F33" s="401"/>
      <c r="G33" s="402"/>
      <c r="H33" s="401"/>
      <c r="I33" s="402"/>
      <c r="J33" s="401"/>
      <c r="K33" s="6"/>
      <c r="L33" s="330"/>
      <c r="M33" s="330"/>
      <c r="N33" s="330"/>
      <c r="O33" s="330"/>
      <c r="P33" s="330"/>
    </row>
    <row r="34" spans="2:16" hidden="1" x14ac:dyDescent="0.15">
      <c r="B34" s="97" t="s">
        <v>729</v>
      </c>
      <c r="D34" s="401">
        <f>(1000/$D$47)-(D24*D10+F24*F10+H24*H10+J24*J10)</f>
        <v>96.834666666666664</v>
      </c>
      <c r="E34" s="402"/>
      <c r="F34" s="401"/>
      <c r="G34" s="402"/>
      <c r="H34" s="401"/>
      <c r="I34" s="402"/>
      <c r="J34" s="401"/>
      <c r="K34" s="6"/>
      <c r="L34" s="330"/>
      <c r="M34" s="330"/>
      <c r="N34" s="330"/>
      <c r="O34" s="330"/>
      <c r="P34" s="330"/>
    </row>
    <row r="35" spans="2:16" hidden="1" x14ac:dyDescent="0.15">
      <c r="B35" s="97" t="s">
        <v>730</v>
      </c>
      <c r="D35" s="401">
        <f>0.00483*D34</f>
        <v>0.46771143999999998</v>
      </c>
      <c r="E35" s="402"/>
      <c r="F35" s="401"/>
      <c r="G35" s="402"/>
      <c r="H35" s="401"/>
      <c r="I35" s="402"/>
      <c r="J35" s="401"/>
      <c r="K35" s="6"/>
      <c r="L35" s="330"/>
      <c r="M35" s="330"/>
      <c r="N35" s="330"/>
      <c r="O35" s="330"/>
      <c r="P35" s="330"/>
    </row>
    <row r="36" spans="2:16" hidden="1" x14ac:dyDescent="0.15">
      <c r="B36" s="97" t="s">
        <v>735</v>
      </c>
      <c r="D36" s="80">
        <f>D35+D30+F30+H30+J30</f>
        <v>7.2136265242671271</v>
      </c>
      <c r="E36" s="6"/>
      <c r="G36" s="57"/>
      <c r="I36" s="12"/>
      <c r="L36" s="330"/>
      <c r="M36" s="330"/>
      <c r="N36" s="330"/>
      <c r="O36" s="330"/>
      <c r="P36" s="330"/>
    </row>
    <row r="37" spans="2:16" x14ac:dyDescent="0.15">
      <c r="B37" s="58" t="s">
        <v>1594</v>
      </c>
      <c r="D37" s="784">
        <v>40</v>
      </c>
      <c r="E37" s="6"/>
      <c r="F37" s="45">
        <v>40</v>
      </c>
      <c r="G37" s="57"/>
      <c r="H37" s="45">
        <v>40</v>
      </c>
      <c r="I37" s="12"/>
      <c r="J37" s="45">
        <v>40</v>
      </c>
      <c r="L37" s="330"/>
      <c r="M37" s="330"/>
      <c r="N37" s="330"/>
      <c r="O37" s="330"/>
      <c r="P37" s="330"/>
    </row>
    <row r="38" spans="2:16" x14ac:dyDescent="0.15">
      <c r="B38" s="58" t="s">
        <v>1580</v>
      </c>
      <c r="D38" s="795">
        <f ca="1">OFFSET(D150,D37,0)</f>
        <v>32</v>
      </c>
      <c r="E38" s="6"/>
      <c r="F38" s="37">
        <f ca="1">OFFSET(D150,F37,0)</f>
        <v>32</v>
      </c>
      <c r="G38" s="57"/>
      <c r="H38" s="796">
        <f ca="1">OFFSET(D150,H37,0)</f>
        <v>32</v>
      </c>
      <c r="I38" s="12"/>
      <c r="J38" s="37">
        <f ca="1">OFFSET(D150,J37,0)</f>
        <v>32</v>
      </c>
      <c r="L38" s="330"/>
      <c r="M38" s="330"/>
      <c r="N38" s="330"/>
      <c r="O38" s="330"/>
      <c r="P38" s="330"/>
    </row>
    <row r="39" spans="2:16" x14ac:dyDescent="0.15">
      <c r="B39" s="58" t="s">
        <v>1613</v>
      </c>
      <c r="D39" s="150">
        <v>500</v>
      </c>
      <c r="E39" s="6"/>
      <c r="F39" s="264">
        <v>500</v>
      </c>
      <c r="G39" s="57"/>
      <c r="H39" s="785">
        <v>400</v>
      </c>
      <c r="I39" s="12"/>
      <c r="J39" s="264">
        <v>400</v>
      </c>
      <c r="L39" s="330"/>
      <c r="M39" s="330"/>
      <c r="N39" s="330"/>
      <c r="O39" s="330"/>
      <c r="P39" s="330"/>
    </row>
    <row r="40" spans="2:16" x14ac:dyDescent="0.15">
      <c r="B40" s="58" t="s">
        <v>1574</v>
      </c>
      <c r="D40" s="405">
        <f ca="1">D39*0.013*D38</f>
        <v>208</v>
      </c>
      <c r="E40" s="782"/>
      <c r="F40" s="405">
        <f ca="1">F39*0.013*F38</f>
        <v>208</v>
      </c>
      <c r="G40" s="782"/>
      <c r="H40" s="405">
        <f ca="1">H39*0.013*F38</f>
        <v>166.4</v>
      </c>
      <c r="I40" s="782"/>
      <c r="J40" s="405">
        <f ca="1">J39*0.013*F38</f>
        <v>166.4</v>
      </c>
      <c r="L40" s="330"/>
      <c r="M40" s="330"/>
      <c r="N40" s="330"/>
      <c r="O40" s="330"/>
      <c r="P40" s="330"/>
    </row>
    <row r="41" spans="2:16" ht="14.25" x14ac:dyDescent="0.2">
      <c r="B41" s="58" t="s">
        <v>1593</v>
      </c>
      <c r="D41" s="577">
        <f ca="1">D38*1.8268/2^(7-D55)</f>
        <v>3.6536</v>
      </c>
      <c r="E41" s="782"/>
      <c r="F41" s="577">
        <f ca="1">F38*1.8268/2^(7-D55)</f>
        <v>3.6536</v>
      </c>
      <c r="G41" s="782"/>
      <c r="H41" s="577">
        <f ca="1">H38*1.8268/2^(7-D55)</f>
        <v>3.6536</v>
      </c>
      <c r="I41" s="782"/>
      <c r="J41" s="577">
        <f ca="1">J38*1.8268/2^(7-D55)</f>
        <v>3.6536</v>
      </c>
      <c r="L41" s="330"/>
      <c r="M41" s="330"/>
      <c r="N41" s="330"/>
      <c r="O41" s="330"/>
      <c r="P41" s="330"/>
    </row>
    <row r="42" spans="2:16" ht="14.25" x14ac:dyDescent="0.2">
      <c r="B42" s="58" t="s">
        <v>1592</v>
      </c>
      <c r="D42" s="577">
        <f ca="1">D38*1.8268/2^(4-D54)</f>
        <v>29.2288</v>
      </c>
      <c r="E42" s="782"/>
      <c r="F42" s="577">
        <f ca="1">F38*1.8268/2^(4-D54)</f>
        <v>29.2288</v>
      </c>
      <c r="G42" s="782"/>
      <c r="H42" s="577">
        <f ca="1">H38*1.8268/2^(4-D54)</f>
        <v>29.2288</v>
      </c>
      <c r="I42" s="782"/>
      <c r="J42" s="577">
        <f ca="1">J38*1.8268/2^(4-D54)</f>
        <v>29.2288</v>
      </c>
      <c r="L42" s="330"/>
      <c r="M42" s="330"/>
      <c r="N42" s="330"/>
      <c r="O42" s="330"/>
      <c r="P42" s="330"/>
    </row>
    <row r="43" spans="2:16" ht="9.6" customHeight="1" x14ac:dyDescent="0.15">
      <c r="B43" s="97"/>
      <c r="D43" s="781"/>
      <c r="E43" s="6"/>
      <c r="G43" s="57"/>
      <c r="I43" s="12"/>
      <c r="L43" s="330"/>
      <c r="M43" s="330"/>
      <c r="N43" s="330"/>
      <c r="O43" s="330"/>
      <c r="P43" s="330"/>
    </row>
    <row r="44" spans="2:16" x14ac:dyDescent="0.15">
      <c r="B44" s="58" t="s">
        <v>631</v>
      </c>
      <c r="D44" s="45">
        <v>1.25</v>
      </c>
      <c r="E44" s="8" t="s">
        <v>630</v>
      </c>
      <c r="G44" s="57"/>
      <c r="H44" s="9"/>
      <c r="I44" s="57"/>
      <c r="J44" s="9"/>
    </row>
    <row r="45" spans="2:16" hidden="1" x14ac:dyDescent="0.15">
      <c r="B45" s="97" t="s">
        <v>638</v>
      </c>
      <c r="D45" s="118">
        <f>8*J12+4*H12+2*F12+D12</f>
        <v>3</v>
      </c>
      <c r="E45" s="8"/>
      <c r="G45" s="97"/>
      <c r="H45" s="97"/>
      <c r="I45" s="97"/>
      <c r="J45" s="97"/>
      <c r="K45" s="398"/>
      <c r="L45" s="13"/>
    </row>
    <row r="46" spans="2:16" hidden="1" x14ac:dyDescent="0.15">
      <c r="B46" s="97" t="s">
        <v>636</v>
      </c>
      <c r="D46" s="78">
        <f>D10+F10+H10+J10</f>
        <v>3</v>
      </c>
      <c r="E46" s="8"/>
      <c r="G46" s="397"/>
      <c r="H46" s="397"/>
      <c r="I46" s="397"/>
      <c r="J46" s="397"/>
      <c r="K46" s="399"/>
      <c r="L46" s="13"/>
    </row>
    <row r="47" spans="2:16" x14ac:dyDescent="0.15">
      <c r="B47" s="9" t="s">
        <v>629</v>
      </c>
      <c r="D47" s="45">
        <v>10</v>
      </c>
      <c r="E47" s="8" t="s">
        <v>630</v>
      </c>
      <c r="G47" s="25"/>
      <c r="H47" s="25"/>
      <c r="I47" s="25"/>
      <c r="J47" s="25"/>
      <c r="K47" s="13"/>
      <c r="L47" s="13"/>
    </row>
    <row r="48" spans="2:16" hidden="1" x14ac:dyDescent="0.15">
      <c r="B48" s="7" t="s">
        <v>639</v>
      </c>
      <c r="D48" s="118">
        <f>8*J10+4*H10+2*F10+D10</f>
        <v>7</v>
      </c>
      <c r="E48" s="8"/>
      <c r="G48" s="25"/>
      <c r="H48" s="25"/>
      <c r="I48" s="25"/>
      <c r="J48" s="25"/>
      <c r="K48" s="13"/>
      <c r="L48" s="13"/>
    </row>
    <row r="49" spans="2:12" hidden="1" x14ac:dyDescent="0.15">
      <c r="B49" s="97" t="s">
        <v>637</v>
      </c>
      <c r="D49" s="783">
        <f>D12+F12+H12+J12</f>
        <v>2</v>
      </c>
      <c r="G49" s="397"/>
      <c r="H49" s="397"/>
      <c r="I49" s="397"/>
      <c r="J49" s="397"/>
      <c r="K49" s="13"/>
      <c r="L49" s="13"/>
    </row>
    <row r="50" spans="2:12" ht="3.95" customHeight="1" x14ac:dyDescent="0.15">
      <c r="B50" s="58"/>
      <c r="D50" s="25"/>
      <c r="G50" s="25"/>
      <c r="H50" s="25"/>
      <c r="I50" s="25"/>
      <c r="J50" s="25"/>
    </row>
    <row r="51" spans="2:12" ht="15" x14ac:dyDescent="0.25">
      <c r="B51" s="58" t="s">
        <v>633</v>
      </c>
      <c r="D51" s="360">
        <f>D33*D44</f>
        <v>10.432691394518569</v>
      </c>
      <c r="E51" s="19" t="s">
        <v>635</v>
      </c>
    </row>
    <row r="52" spans="2:12" ht="15" x14ac:dyDescent="0.25">
      <c r="B52" s="58" t="s">
        <v>634</v>
      </c>
      <c r="D52" s="35">
        <f>D36*D47</f>
        <v>72.136265242671271</v>
      </c>
      <c r="E52" s="19" t="s">
        <v>635</v>
      </c>
    </row>
    <row r="54" spans="2:12" x14ac:dyDescent="0.15">
      <c r="B54" s="58" t="s">
        <v>1576</v>
      </c>
      <c r="D54" s="265">
        <v>3</v>
      </c>
    </row>
    <row r="55" spans="2:12" x14ac:dyDescent="0.15">
      <c r="B55" s="58" t="s">
        <v>1577</v>
      </c>
      <c r="D55" s="265">
        <v>3</v>
      </c>
    </row>
    <row r="56" spans="2:12" x14ac:dyDescent="0.15">
      <c r="B56" s="58" t="s">
        <v>1578</v>
      </c>
      <c r="D56" s="502" t="s">
        <v>1579</v>
      </c>
    </row>
    <row r="57" spans="2:12" x14ac:dyDescent="0.15">
      <c r="B57" s="58" t="s">
        <v>1645</v>
      </c>
      <c r="D57" s="52">
        <v>8</v>
      </c>
    </row>
    <row r="58" spans="2:12" x14ac:dyDescent="0.15">
      <c r="B58" s="58" t="s">
        <v>1638</v>
      </c>
      <c r="D58" s="804">
        <f>D57*4</f>
        <v>32</v>
      </c>
      <c r="E58" t="s">
        <v>1171</v>
      </c>
    </row>
    <row r="59" spans="2:12" x14ac:dyDescent="0.15">
      <c r="B59" s="58" t="s">
        <v>1640</v>
      </c>
      <c r="D59" s="804">
        <f>128-D58</f>
        <v>96</v>
      </c>
      <c r="E59" t="s">
        <v>1171</v>
      </c>
    </row>
    <row r="60" spans="2:12" x14ac:dyDescent="0.15">
      <c r="B60" s="58" t="s">
        <v>1639</v>
      </c>
      <c r="D60" s="804">
        <f>D58+128</f>
        <v>160</v>
      </c>
      <c r="E60" t="s">
        <v>1171</v>
      </c>
    </row>
    <row r="62" spans="2:12" ht="14.25" x14ac:dyDescent="0.15">
      <c r="B62" s="452" t="s">
        <v>632</v>
      </c>
    </row>
    <row r="63" spans="2:12" x14ac:dyDescent="0.15">
      <c r="B63" s="428" t="s">
        <v>1614</v>
      </c>
      <c r="C63" s="428" t="s">
        <v>1615</v>
      </c>
      <c r="D63" s="428" t="s">
        <v>772</v>
      </c>
    </row>
    <row r="64" spans="2:12" x14ac:dyDescent="0.15">
      <c r="B64" s="798" t="s">
        <v>1598</v>
      </c>
      <c r="C64" s="797" t="s">
        <v>1013</v>
      </c>
      <c r="D64" s="799" t="str">
        <f>"0x" &amp; DEC2HEX((D48+D45*16),2)</f>
        <v>0x37</v>
      </c>
    </row>
    <row r="65" spans="2:10" x14ac:dyDescent="0.15">
      <c r="B65" s="798" t="s">
        <v>1599</v>
      </c>
      <c r="C65" s="797" t="s">
        <v>1014</v>
      </c>
      <c r="D65" s="799" t="str">
        <f>"0x" &amp; DEC2HEX(3-LOG((D47/10),2),2)</f>
        <v>0x03</v>
      </c>
    </row>
    <row r="66" spans="2:10" x14ac:dyDescent="0.15">
      <c r="B66" s="798" t="s">
        <v>1600</v>
      </c>
      <c r="C66" s="797" t="s">
        <v>1015</v>
      </c>
      <c r="D66" s="799" t="str">
        <f>"0x"&amp;DEC2HEX(D37)</f>
        <v>0x28</v>
      </c>
    </row>
    <row r="67" spans="2:10" x14ac:dyDescent="0.15">
      <c r="B67" s="798" t="s">
        <v>1601</v>
      </c>
      <c r="C67" s="797" t="s">
        <v>1016</v>
      </c>
      <c r="D67" s="799" t="str">
        <f>"0x" &amp; DEC2HEX(3-LOG((D44/0.625),2),2)</f>
        <v>0x02</v>
      </c>
    </row>
    <row r="68" spans="2:10" x14ac:dyDescent="0.15">
      <c r="B68" s="798" t="s">
        <v>1602</v>
      </c>
      <c r="C68" s="797" t="s">
        <v>901</v>
      </c>
      <c r="D68" s="799" t="str">
        <f>"0x"&amp;DEC2HEX(F37)</f>
        <v>0x28</v>
      </c>
    </row>
    <row r="69" spans="2:10" x14ac:dyDescent="0.15">
      <c r="B69" s="798" t="s">
        <v>1603</v>
      </c>
      <c r="C69" s="797" t="s">
        <v>902</v>
      </c>
      <c r="D69" s="799" t="str">
        <f>IF(D56="Active Low","0x01","0x05")</f>
        <v>0x01</v>
      </c>
    </row>
    <row r="70" spans="2:10" x14ac:dyDescent="0.15">
      <c r="B70" s="798" t="s">
        <v>1604</v>
      </c>
      <c r="C70" s="797" t="s">
        <v>903</v>
      </c>
      <c r="D70" s="799" t="str">
        <f>"0x"&amp;DEC2HEX(H37)</f>
        <v>0x28</v>
      </c>
    </row>
    <row r="71" spans="2:10" x14ac:dyDescent="0.15">
      <c r="B71" s="798" t="s">
        <v>1605</v>
      </c>
      <c r="C71" s="797" t="s">
        <v>904</v>
      </c>
      <c r="D71" s="799" t="str">
        <f>"0x"&amp;DEC2HEX(D54,2)</f>
        <v>0x03</v>
      </c>
    </row>
    <row r="72" spans="2:10" x14ac:dyDescent="0.15">
      <c r="B72" s="798" t="s">
        <v>1606</v>
      </c>
      <c r="C72" s="797" t="s">
        <v>909</v>
      </c>
      <c r="D72" s="799" t="str">
        <f>"0x"&amp;DEC2HEX(J37)</f>
        <v>0x28</v>
      </c>
    </row>
    <row r="73" spans="2:10" x14ac:dyDescent="0.15">
      <c r="B73" s="798" t="s">
        <v>1607</v>
      </c>
      <c r="C73" s="797" t="s">
        <v>910</v>
      </c>
      <c r="D73" s="799" t="str">
        <f>"0x"&amp;DEC2HEX(D55,2)</f>
        <v>0x03</v>
      </c>
    </row>
    <row r="74" spans="2:10" x14ac:dyDescent="0.15">
      <c r="B74" s="798" t="s">
        <v>1608</v>
      </c>
      <c r="C74" s="797" t="s">
        <v>912</v>
      </c>
      <c r="D74" s="799" t="str">
        <f>"0x" &amp; DEC2HEX(D20,2)</f>
        <v>0x03</v>
      </c>
    </row>
    <row r="75" spans="2:10" x14ac:dyDescent="0.15">
      <c r="B75" s="798" t="s">
        <v>1641</v>
      </c>
      <c r="C75" s="797" t="s">
        <v>1642</v>
      </c>
      <c r="D75" s="799" t="str">
        <f>"0x"&amp;DEC2HEX(D57,2)</f>
        <v>0x08</v>
      </c>
    </row>
    <row r="76" spans="2:10" x14ac:dyDescent="0.15">
      <c r="B76" s="798" t="s">
        <v>620</v>
      </c>
      <c r="C76" s="797" t="s">
        <v>921</v>
      </c>
      <c r="D76" s="799" t="str">
        <f>"0x"&amp;DEC2HEX(J26*2^6+H26*2^4+F26*2^2+D26,2)</f>
        <v>0x00</v>
      </c>
    </row>
    <row r="77" spans="2:10" hidden="1" x14ac:dyDescent="0.15">
      <c r="B77" s="409" t="s">
        <v>736</v>
      </c>
      <c r="C77" s="797"/>
      <c r="D77" s="800">
        <f>D17*128+32*D18+D23</f>
        <v>81</v>
      </c>
      <c r="E77" s="356"/>
      <c r="F77" s="356">
        <f>F17*128+32*F18+F23</f>
        <v>83</v>
      </c>
      <c r="G77" s="356"/>
      <c r="H77" s="356">
        <f>H17*128+32*H18+H23</f>
        <v>83</v>
      </c>
      <c r="I77" s="356"/>
      <c r="J77" s="356">
        <f>J17*128+32*J18+J23</f>
        <v>83</v>
      </c>
    </row>
    <row r="78" spans="2:10" x14ac:dyDescent="0.15">
      <c r="B78" s="798" t="s">
        <v>1609</v>
      </c>
      <c r="C78" s="797" t="s">
        <v>923</v>
      </c>
      <c r="D78" s="799" t="str">
        <f>"0x" &amp; DEC2HEX(D77)</f>
        <v>0x51</v>
      </c>
    </row>
    <row r="79" spans="2:10" x14ac:dyDescent="0.15">
      <c r="B79" s="798" t="s">
        <v>1610</v>
      </c>
      <c r="C79" s="797" t="s">
        <v>1595</v>
      </c>
      <c r="D79" s="799" t="str">
        <f>"0x" &amp; DEC2HEX(F77)</f>
        <v>0x53</v>
      </c>
    </row>
    <row r="80" spans="2:10" x14ac:dyDescent="0.15">
      <c r="B80" s="798" t="s">
        <v>1611</v>
      </c>
      <c r="C80" s="797" t="s">
        <v>1596</v>
      </c>
      <c r="D80" s="799" t="str">
        <f>"0x" &amp; DEC2HEX(H77)</f>
        <v>0x53</v>
      </c>
      <c r="E80" s="330"/>
      <c r="F80" s="330"/>
    </row>
    <row r="81" spans="2:6" x14ac:dyDescent="0.15">
      <c r="B81" s="798" t="s">
        <v>1612</v>
      </c>
      <c r="C81" s="797" t="s">
        <v>1597</v>
      </c>
      <c r="D81" s="799" t="str">
        <f>"0x" &amp; DEC2HEX(J77)</f>
        <v>0x53</v>
      </c>
      <c r="E81" s="330"/>
      <c r="F81" s="330"/>
    </row>
    <row r="82" spans="2:6" x14ac:dyDescent="0.15">
      <c r="C82" s="361"/>
      <c r="D82" s="330"/>
      <c r="E82" s="330"/>
      <c r="F82" s="330"/>
    </row>
    <row r="83" spans="2:6" ht="14.25" x14ac:dyDescent="0.15">
      <c r="B83" s="251" t="s">
        <v>277</v>
      </c>
      <c r="C83" s="2"/>
      <c r="D83" s="2"/>
      <c r="F83" s="330"/>
    </row>
    <row r="84" spans="2:6" ht="15" x14ac:dyDescent="0.25">
      <c r="B84" s="256" t="s">
        <v>69</v>
      </c>
      <c r="C84" s="152">
        <v>10</v>
      </c>
      <c r="D84" s="257" t="s">
        <v>96</v>
      </c>
      <c r="F84" s="330"/>
    </row>
    <row r="85" spans="2:6" x14ac:dyDescent="0.15">
      <c r="B85" s="256" t="s">
        <v>26</v>
      </c>
      <c r="C85" s="152">
        <v>100</v>
      </c>
      <c r="D85" s="171" t="s">
        <v>27</v>
      </c>
      <c r="F85" s="330"/>
    </row>
    <row r="86" spans="2:6" ht="15" x14ac:dyDescent="0.25">
      <c r="B86" s="256" t="str">
        <f>IF(B87="Rp","Rs","Rp")</f>
        <v>Rs</v>
      </c>
      <c r="C86" s="152">
        <v>50</v>
      </c>
      <c r="D86" s="257" t="str">
        <f>IF(B87="Rp","Ω","kΩ")</f>
        <v>Ω</v>
      </c>
      <c r="F86" s="330"/>
    </row>
    <row r="87" spans="2:6" x14ac:dyDescent="0.15">
      <c r="B87" s="250" t="s">
        <v>81</v>
      </c>
      <c r="C87" s="258">
        <f>1000/C86*C84/C85</f>
        <v>2</v>
      </c>
      <c r="D87" s="171" t="str">
        <f>IF(B87="Rp","kΩ","Ω")</f>
        <v>kΩ</v>
      </c>
      <c r="F87" s="330"/>
    </row>
    <row r="88" spans="2:6" x14ac:dyDescent="0.15">
      <c r="B88" s="256" t="s">
        <v>228</v>
      </c>
      <c r="C88" s="170">
        <f>(0.000001/(2*PI()*SQRT(C84*0.000001*C85*0.000000000001)))</f>
        <v>5.0329212104487038</v>
      </c>
      <c r="D88" s="171" t="s">
        <v>0</v>
      </c>
      <c r="F88" s="330"/>
    </row>
    <row r="89" spans="2:6" x14ac:dyDescent="0.15">
      <c r="B89" s="256" t="s">
        <v>83</v>
      </c>
      <c r="C89" s="172">
        <f>IF(B87="Rs",(1000/C87)*SQRT(C84/C85),(1000/C86)*SQRT(C84/C85))</f>
        <v>6.324555320336759</v>
      </c>
      <c r="D89" s="259"/>
    </row>
    <row r="90" spans="2:6" x14ac:dyDescent="0.15">
      <c r="B90" s="256" t="s">
        <v>1587</v>
      </c>
      <c r="C90" s="37">
        <f>100*C85/C89</f>
        <v>1581.1388300841895</v>
      </c>
      <c r="D90" s="28" t="s">
        <v>27</v>
      </c>
    </row>
    <row r="91" spans="2:6" x14ac:dyDescent="0.15">
      <c r="B91" s="256" t="s">
        <v>1588</v>
      </c>
      <c r="C91" s="37">
        <f>1250*C85/C89</f>
        <v>19764.235376052369</v>
      </c>
      <c r="D91" s="28" t="s">
        <v>27</v>
      </c>
    </row>
    <row r="105" spans="3:22" hidden="1" x14ac:dyDescent="0.15"/>
    <row r="106" spans="3:22" hidden="1" x14ac:dyDescent="0.15"/>
    <row r="107" spans="3:22" hidden="1" x14ac:dyDescent="0.15"/>
    <row r="108" spans="3:22" hidden="1" x14ac:dyDescent="0.15">
      <c r="C108" s="575" t="s">
        <v>1583</v>
      </c>
    </row>
    <row r="109" spans="3:22" hidden="1" x14ac:dyDescent="0.15">
      <c r="C109" s="575" t="s">
        <v>747</v>
      </c>
      <c r="D109" s="575" t="s">
        <v>748</v>
      </c>
      <c r="E109" s="575"/>
      <c r="F109" s="575" t="s">
        <v>749</v>
      </c>
      <c r="G109" s="575" t="s">
        <v>750</v>
      </c>
      <c r="H109" s="575" t="s">
        <v>751</v>
      </c>
      <c r="I109" s="575" t="s">
        <v>752</v>
      </c>
      <c r="J109" s="575" t="s">
        <v>753</v>
      </c>
      <c r="K109" s="575" t="s">
        <v>754</v>
      </c>
      <c r="L109" s="575" t="s">
        <v>755</v>
      </c>
      <c r="M109" s="575" t="s">
        <v>756</v>
      </c>
      <c r="N109" s="575" t="s">
        <v>757</v>
      </c>
      <c r="O109" s="575" t="s">
        <v>758</v>
      </c>
      <c r="P109" s="575" t="s">
        <v>762</v>
      </c>
      <c r="Q109" s="575" t="s">
        <v>759</v>
      </c>
      <c r="R109" s="575" t="s">
        <v>763</v>
      </c>
      <c r="S109" s="575" t="s">
        <v>760</v>
      </c>
      <c r="T109" s="575" t="s">
        <v>764</v>
      </c>
      <c r="U109" s="575" t="s">
        <v>761</v>
      </c>
      <c r="V109" s="575" t="s">
        <v>765</v>
      </c>
    </row>
    <row r="110" spans="3:22" hidden="1" x14ac:dyDescent="0.15">
      <c r="C110" s="75">
        <v>1</v>
      </c>
      <c r="D110" s="75">
        <v>30</v>
      </c>
      <c r="E110" s="75"/>
      <c r="F110" s="75">
        <v>0.01</v>
      </c>
      <c r="G110" s="75">
        <v>30</v>
      </c>
      <c r="H110" s="75">
        <v>30</v>
      </c>
      <c r="I110" s="75">
        <v>30</v>
      </c>
      <c r="J110" s="75">
        <v>30</v>
      </c>
      <c r="K110" s="75">
        <v>30</v>
      </c>
      <c r="L110" s="75">
        <v>30</v>
      </c>
      <c r="M110" s="75">
        <v>30</v>
      </c>
      <c r="N110" s="75">
        <v>30</v>
      </c>
      <c r="O110" s="80">
        <f>D24</f>
        <v>1.0573333333333335</v>
      </c>
      <c r="P110" s="576">
        <f>IF(D7=TRUE(),D15,-100)</f>
        <v>18</v>
      </c>
      <c r="Q110" s="80">
        <f>F24</f>
        <v>1.054</v>
      </c>
      <c r="R110" s="576">
        <f>IF(F7=TRUE(),F15,-100)</f>
        <v>20</v>
      </c>
      <c r="S110" s="80">
        <f>IF(H7=TRUE(),H24,-100)</f>
        <v>1.054</v>
      </c>
      <c r="T110" s="576">
        <f>H15</f>
        <v>20</v>
      </c>
      <c r="U110" s="80">
        <f>J16</f>
        <v>1</v>
      </c>
      <c r="V110" s="576">
        <f>IF(J7=TRUE(),J15,-100)</f>
        <v>-100</v>
      </c>
    </row>
    <row r="111" spans="3:22" hidden="1" x14ac:dyDescent="0.15">
      <c r="C111" s="75">
        <v>1</v>
      </c>
      <c r="D111" s="75">
        <v>30</v>
      </c>
      <c r="E111" s="75"/>
      <c r="F111" s="75">
        <v>0.1</v>
      </c>
      <c r="G111" s="75">
        <v>30</v>
      </c>
      <c r="H111" s="75">
        <v>30</v>
      </c>
      <c r="I111" s="75">
        <v>30</v>
      </c>
      <c r="J111" s="75">
        <v>30</v>
      </c>
      <c r="K111" s="75">
        <v>30</v>
      </c>
      <c r="L111" s="75">
        <v>30</v>
      </c>
      <c r="M111" s="75">
        <v>30</v>
      </c>
      <c r="N111" s="75">
        <v>30</v>
      </c>
      <c r="O111" s="75">
        <f>O110*1.001</f>
        <v>1.0583906666666667</v>
      </c>
      <c r="P111" s="576">
        <f>IF(D7=TRUE(),0.9999*D15,-100)</f>
        <v>17.998200000000001</v>
      </c>
      <c r="Q111" s="75">
        <f t="shared" ref="Q111:V111" si="2">Q110*1.001</f>
        <v>1.0550539999999999</v>
      </c>
      <c r="R111" s="75">
        <f>IF(F7=TRUE(),F15,-100)</f>
        <v>20</v>
      </c>
      <c r="S111" s="75">
        <f t="shared" si="2"/>
        <v>1.0550539999999999</v>
      </c>
      <c r="T111" s="75">
        <f t="shared" si="2"/>
        <v>20.019999999999996</v>
      </c>
      <c r="U111" s="75">
        <f t="shared" si="2"/>
        <v>1.0009999999999999</v>
      </c>
      <c r="V111" s="75">
        <f t="shared" si="2"/>
        <v>-100.1</v>
      </c>
    </row>
    <row r="112" spans="3:22" hidden="1" x14ac:dyDescent="0.15">
      <c r="C112" s="75">
        <v>1</v>
      </c>
      <c r="D112" s="75">
        <v>30</v>
      </c>
      <c r="E112" s="75"/>
      <c r="F112" s="75">
        <v>0.25</v>
      </c>
      <c r="G112" s="75">
        <v>16.384</v>
      </c>
      <c r="H112" s="75">
        <v>30</v>
      </c>
      <c r="I112" s="75">
        <v>30</v>
      </c>
      <c r="J112" s="75">
        <v>30</v>
      </c>
      <c r="K112" s="75">
        <v>30</v>
      </c>
      <c r="L112" s="75">
        <v>30</v>
      </c>
      <c r="M112" s="75">
        <v>30</v>
      </c>
      <c r="N112" s="75">
        <v>30</v>
      </c>
    </row>
    <row r="113" spans="3:14" hidden="1" x14ac:dyDescent="0.15">
      <c r="C113" s="75">
        <v>1</v>
      </c>
      <c r="D113" s="75">
        <v>30</v>
      </c>
      <c r="E113" s="75"/>
      <c r="F113" s="75">
        <v>0.5</v>
      </c>
      <c r="G113" s="75">
        <v>8.1920000000000002</v>
      </c>
      <c r="H113" s="75">
        <v>16.384</v>
      </c>
      <c r="I113" s="75">
        <v>30</v>
      </c>
      <c r="J113" s="75">
        <v>30</v>
      </c>
      <c r="K113" s="75">
        <v>30</v>
      </c>
      <c r="L113" s="75">
        <v>30</v>
      </c>
      <c r="M113" s="75">
        <v>30</v>
      </c>
      <c r="N113" s="75">
        <v>30</v>
      </c>
    </row>
    <row r="114" spans="3:14" hidden="1" x14ac:dyDescent="0.15">
      <c r="C114" s="75">
        <v>1</v>
      </c>
      <c r="D114" s="75">
        <v>30</v>
      </c>
      <c r="E114" s="75"/>
      <c r="F114" s="75">
        <v>0.75</v>
      </c>
      <c r="G114" s="75">
        <v>5.4613333333333332</v>
      </c>
      <c r="H114" s="75">
        <v>10.922666666666666</v>
      </c>
      <c r="I114" s="75">
        <v>21.845333333333333</v>
      </c>
      <c r="J114" s="75">
        <v>30</v>
      </c>
      <c r="K114" s="75">
        <v>30</v>
      </c>
      <c r="L114" s="75">
        <v>30</v>
      </c>
      <c r="M114" s="75">
        <v>30</v>
      </c>
      <c r="N114" s="75">
        <v>30</v>
      </c>
    </row>
    <row r="115" spans="3:14" hidden="1" x14ac:dyDescent="0.15">
      <c r="C115" s="75">
        <v>1</v>
      </c>
      <c r="D115" s="75">
        <v>30</v>
      </c>
      <c r="E115" s="75"/>
      <c r="F115" s="75">
        <v>1</v>
      </c>
      <c r="G115" s="75">
        <v>4.0960000000000001</v>
      </c>
      <c r="H115" s="75">
        <v>8.1920000000000002</v>
      </c>
      <c r="I115" s="75">
        <v>16.384</v>
      </c>
      <c r="J115" s="75">
        <v>30</v>
      </c>
      <c r="K115" s="75">
        <v>30</v>
      </c>
      <c r="L115" s="75">
        <v>30</v>
      </c>
      <c r="M115" s="75">
        <v>30</v>
      </c>
      <c r="N115" s="75">
        <v>30</v>
      </c>
    </row>
    <row r="116" spans="3:14" hidden="1" x14ac:dyDescent="0.15">
      <c r="C116" s="75">
        <v>1</v>
      </c>
      <c r="D116" s="75">
        <v>30</v>
      </c>
      <c r="E116" s="75"/>
      <c r="F116" s="75">
        <v>1.25</v>
      </c>
      <c r="G116" s="75">
        <v>3.2767999999999997</v>
      </c>
      <c r="H116" s="75">
        <v>6.5535999999999994</v>
      </c>
      <c r="I116" s="75">
        <v>13.107199999999999</v>
      </c>
      <c r="J116" s="75">
        <v>26.214399999999998</v>
      </c>
      <c r="K116" s="75">
        <v>30</v>
      </c>
      <c r="L116" s="75">
        <v>30</v>
      </c>
      <c r="M116" s="75">
        <v>30</v>
      </c>
      <c r="N116" s="75">
        <v>30</v>
      </c>
    </row>
    <row r="117" spans="3:14" hidden="1" x14ac:dyDescent="0.15">
      <c r="C117" s="75">
        <v>1</v>
      </c>
      <c r="D117" s="75">
        <v>30</v>
      </c>
      <c r="E117" s="75"/>
      <c r="F117" s="75">
        <v>1.5</v>
      </c>
      <c r="G117" s="75">
        <v>2.7306666666666666</v>
      </c>
      <c r="H117" s="75">
        <v>5.4613333333333332</v>
      </c>
      <c r="I117" s="75">
        <v>10.922666666666666</v>
      </c>
      <c r="J117" s="75">
        <v>21.845333333333333</v>
      </c>
      <c r="K117" s="75">
        <v>30</v>
      </c>
      <c r="L117" s="75">
        <v>30</v>
      </c>
      <c r="M117" s="75">
        <v>30</v>
      </c>
      <c r="N117" s="75">
        <v>30</v>
      </c>
    </row>
    <row r="118" spans="3:14" hidden="1" x14ac:dyDescent="0.15">
      <c r="C118" s="75">
        <v>1</v>
      </c>
      <c r="D118" s="75">
        <v>30</v>
      </c>
      <c r="E118" s="75"/>
      <c r="F118" s="75">
        <v>1.75</v>
      </c>
      <c r="G118" s="75">
        <v>2.3405714285714283</v>
      </c>
      <c r="H118" s="75">
        <v>4.6811428571428566</v>
      </c>
      <c r="I118" s="75">
        <v>9.3622857142857132</v>
      </c>
      <c r="J118" s="75">
        <v>18.724571428571426</v>
      </c>
      <c r="K118" s="75">
        <v>30</v>
      </c>
      <c r="L118" s="75">
        <v>30</v>
      </c>
      <c r="M118" s="75">
        <v>30</v>
      </c>
      <c r="N118" s="75">
        <v>30</v>
      </c>
    </row>
    <row r="119" spans="3:14" hidden="1" x14ac:dyDescent="0.15">
      <c r="C119" s="75">
        <v>1</v>
      </c>
      <c r="D119" s="75">
        <v>30</v>
      </c>
      <c r="E119" s="75"/>
      <c r="F119" s="75">
        <v>2.1</v>
      </c>
      <c r="G119" s="75">
        <v>1.95047619047619</v>
      </c>
      <c r="H119" s="75">
        <v>3.9009523809523801</v>
      </c>
      <c r="I119" s="75">
        <v>7.8019047619047601</v>
      </c>
      <c r="J119" s="75">
        <v>15.60380952380952</v>
      </c>
      <c r="K119" s="75">
        <v>30</v>
      </c>
      <c r="L119" s="75">
        <v>30</v>
      </c>
      <c r="M119" s="75">
        <v>30</v>
      </c>
      <c r="N119" s="75">
        <v>30</v>
      </c>
    </row>
    <row r="120" spans="3:14" hidden="1" x14ac:dyDescent="0.15">
      <c r="C120" s="75">
        <v>1</v>
      </c>
      <c r="D120" s="75">
        <v>30</v>
      </c>
      <c r="E120" s="75"/>
      <c r="F120" s="75">
        <v>2.5</v>
      </c>
      <c r="G120" s="75">
        <v>1.6383999999999999</v>
      </c>
      <c r="H120" s="75">
        <v>3.2767999999999997</v>
      </c>
      <c r="I120" s="75">
        <v>6.5535999999999994</v>
      </c>
      <c r="J120" s="75">
        <v>13.107199999999999</v>
      </c>
      <c r="K120" s="75">
        <v>26.214399999999998</v>
      </c>
      <c r="L120" s="75">
        <v>30</v>
      </c>
      <c r="M120" s="75">
        <v>30</v>
      </c>
      <c r="N120" s="75">
        <v>30</v>
      </c>
    </row>
    <row r="121" spans="3:14" hidden="1" x14ac:dyDescent="0.15">
      <c r="C121" s="75">
        <v>1</v>
      </c>
      <c r="D121" s="75">
        <v>30</v>
      </c>
      <c r="E121" s="75"/>
      <c r="F121" s="75">
        <v>2.75</v>
      </c>
      <c r="G121" s="75">
        <v>1.4894545454545454</v>
      </c>
      <c r="H121" s="75">
        <v>2.9789090909090907</v>
      </c>
      <c r="I121" s="75">
        <v>5.9578181818181815</v>
      </c>
      <c r="J121" s="75">
        <v>11.915636363636363</v>
      </c>
      <c r="K121" s="75">
        <v>23.831272727272726</v>
      </c>
      <c r="L121" s="75">
        <v>30</v>
      </c>
      <c r="M121" s="75">
        <v>30</v>
      </c>
      <c r="N121" s="75">
        <v>30</v>
      </c>
    </row>
    <row r="122" spans="3:14" hidden="1" x14ac:dyDescent="0.15">
      <c r="C122" s="75">
        <v>1</v>
      </c>
      <c r="D122" s="75">
        <v>30</v>
      </c>
      <c r="E122" s="75"/>
      <c r="F122" s="75">
        <v>3</v>
      </c>
      <c r="G122" s="75">
        <v>1.3653333333333333</v>
      </c>
      <c r="H122" s="75">
        <v>2.7306666666666666</v>
      </c>
      <c r="I122" s="75">
        <v>5.4613333333333332</v>
      </c>
      <c r="J122" s="75">
        <v>10.922666666666666</v>
      </c>
      <c r="K122" s="75">
        <v>21.845333333333333</v>
      </c>
      <c r="L122" s="75">
        <v>30</v>
      </c>
      <c r="M122" s="75">
        <v>30</v>
      </c>
      <c r="N122" s="75">
        <v>30</v>
      </c>
    </row>
    <row r="123" spans="3:14" hidden="1" x14ac:dyDescent="0.15">
      <c r="C123" s="75">
        <v>1</v>
      </c>
      <c r="D123" s="75">
        <v>30</v>
      </c>
      <c r="E123" s="75"/>
      <c r="F123" s="75">
        <v>3.25</v>
      </c>
      <c r="G123" s="75">
        <v>1.2603076923076924</v>
      </c>
      <c r="H123" s="75">
        <v>2.5206153846153847</v>
      </c>
      <c r="I123" s="75">
        <v>5.0412307692307694</v>
      </c>
      <c r="J123" s="75">
        <v>10.082461538461539</v>
      </c>
      <c r="K123" s="75">
        <v>20.164923076923078</v>
      </c>
      <c r="L123" s="75">
        <v>30</v>
      </c>
      <c r="M123" s="75">
        <v>30</v>
      </c>
      <c r="N123" s="75">
        <v>30</v>
      </c>
    </row>
    <row r="124" spans="3:14" hidden="1" x14ac:dyDescent="0.15">
      <c r="C124" s="75">
        <v>1</v>
      </c>
      <c r="D124" s="75">
        <v>30</v>
      </c>
      <c r="E124" s="75"/>
      <c r="F124" s="75">
        <v>3.5</v>
      </c>
      <c r="G124" s="75">
        <v>1.1702857142857142</v>
      </c>
      <c r="H124" s="75">
        <v>2.3405714285714283</v>
      </c>
      <c r="I124" s="75">
        <v>4.6811428571428566</v>
      </c>
      <c r="J124" s="75">
        <v>9.3622857142857132</v>
      </c>
      <c r="K124" s="75">
        <v>18.724571428571426</v>
      </c>
      <c r="L124" s="75">
        <v>30</v>
      </c>
      <c r="M124" s="75">
        <v>30</v>
      </c>
      <c r="N124" s="75">
        <v>30</v>
      </c>
    </row>
    <row r="125" spans="3:14" hidden="1" x14ac:dyDescent="0.15">
      <c r="C125" s="75">
        <v>1</v>
      </c>
      <c r="D125" s="75">
        <v>30</v>
      </c>
      <c r="E125" s="75"/>
      <c r="F125" s="75">
        <v>3.75</v>
      </c>
      <c r="G125" s="75">
        <v>1.0922666666666667</v>
      </c>
      <c r="H125" s="75">
        <v>2.1845333333333334</v>
      </c>
      <c r="I125" s="75">
        <v>4.3690666666666669</v>
      </c>
      <c r="J125" s="75">
        <v>8.7381333333333338</v>
      </c>
      <c r="K125" s="75">
        <v>17.476266666666668</v>
      </c>
      <c r="L125" s="75">
        <v>30</v>
      </c>
      <c r="M125" s="75">
        <v>30</v>
      </c>
      <c r="N125" s="75">
        <v>30</v>
      </c>
    </row>
    <row r="126" spans="3:14" hidden="1" x14ac:dyDescent="0.15">
      <c r="C126" s="75">
        <v>1</v>
      </c>
      <c r="D126" s="75">
        <v>30</v>
      </c>
      <c r="E126" s="75"/>
      <c r="F126" s="75">
        <v>4</v>
      </c>
      <c r="G126" s="75">
        <v>1.024</v>
      </c>
      <c r="H126" s="75">
        <v>2.048</v>
      </c>
      <c r="I126" s="75">
        <v>4.0960000000000001</v>
      </c>
      <c r="J126" s="75">
        <v>8.1920000000000002</v>
      </c>
      <c r="K126" s="75">
        <v>16.384</v>
      </c>
      <c r="L126" s="75">
        <v>30</v>
      </c>
      <c r="M126" s="75">
        <v>30</v>
      </c>
      <c r="N126" s="75">
        <v>30</v>
      </c>
    </row>
    <row r="127" spans="3:14" hidden="1" x14ac:dyDescent="0.15">
      <c r="C127" s="75">
        <v>1</v>
      </c>
      <c r="D127" s="75">
        <v>30</v>
      </c>
      <c r="E127" s="75"/>
      <c r="F127" s="75">
        <v>4.33</v>
      </c>
      <c r="G127" s="75">
        <v>1</v>
      </c>
      <c r="H127" s="75">
        <v>1.8919168591224018</v>
      </c>
      <c r="I127" s="75">
        <v>3.7838337182448036</v>
      </c>
      <c r="J127" s="75">
        <v>7.5676674364896073</v>
      </c>
      <c r="K127" s="75">
        <v>15.135334872979215</v>
      </c>
      <c r="L127" s="75">
        <v>30</v>
      </c>
      <c r="M127" s="75">
        <v>30</v>
      </c>
      <c r="N127" s="75">
        <v>30</v>
      </c>
    </row>
    <row r="128" spans="3:14" hidden="1" x14ac:dyDescent="0.15">
      <c r="C128" s="75">
        <v>1</v>
      </c>
      <c r="D128" s="75">
        <v>30</v>
      </c>
      <c r="E128" s="75"/>
      <c r="F128" s="75">
        <v>4.5</v>
      </c>
      <c r="G128" s="75">
        <v>1</v>
      </c>
      <c r="H128" s="75">
        <v>1.8204444444444445</v>
      </c>
      <c r="I128" s="75">
        <v>3.6408888888888891</v>
      </c>
      <c r="J128" s="75">
        <v>7.2817777777777781</v>
      </c>
      <c r="K128" s="75">
        <v>14.563555555555556</v>
      </c>
      <c r="L128" s="75">
        <v>29.127111111111113</v>
      </c>
      <c r="M128" s="75">
        <v>30</v>
      </c>
      <c r="N128" s="75">
        <v>30</v>
      </c>
    </row>
    <row r="129" spans="3:14" hidden="1" x14ac:dyDescent="0.15">
      <c r="C129" s="75">
        <v>1</v>
      </c>
      <c r="D129" s="75">
        <v>30</v>
      </c>
      <c r="E129" s="75"/>
      <c r="F129" s="75">
        <v>4.75</v>
      </c>
      <c r="G129" s="75">
        <v>1</v>
      </c>
      <c r="H129" s="75">
        <v>1.7246315789473683</v>
      </c>
      <c r="I129" s="75">
        <v>3.4492631578947366</v>
      </c>
      <c r="J129" s="75">
        <v>6.8985263157894732</v>
      </c>
      <c r="K129" s="75">
        <v>13.797052631578946</v>
      </c>
      <c r="L129" s="75">
        <v>27.594105263157893</v>
      </c>
      <c r="M129" s="75">
        <v>30</v>
      </c>
      <c r="N129" s="75">
        <v>30</v>
      </c>
    </row>
    <row r="130" spans="3:14" hidden="1" x14ac:dyDescent="0.15">
      <c r="C130" s="75">
        <v>1</v>
      </c>
      <c r="D130" s="75">
        <v>30</v>
      </c>
      <c r="E130" s="75"/>
      <c r="F130" s="75">
        <v>5</v>
      </c>
      <c r="G130" s="75">
        <v>1</v>
      </c>
      <c r="H130" s="75">
        <v>1.6383999999999999</v>
      </c>
      <c r="I130" s="75">
        <v>3.2767999999999997</v>
      </c>
      <c r="J130" s="75">
        <v>6.5535999999999994</v>
      </c>
      <c r="K130" s="75">
        <v>13.107199999999999</v>
      </c>
      <c r="L130" s="75">
        <v>26.214399999999998</v>
      </c>
      <c r="M130" s="75">
        <v>30</v>
      </c>
      <c r="N130" s="75">
        <v>30</v>
      </c>
    </row>
    <row r="131" spans="3:14" hidden="1" x14ac:dyDescent="0.15">
      <c r="C131" s="75">
        <v>1</v>
      </c>
      <c r="D131" s="75">
        <v>30</v>
      </c>
      <c r="E131" s="75"/>
      <c r="F131" s="75">
        <v>5.25</v>
      </c>
      <c r="G131" s="75">
        <v>1</v>
      </c>
      <c r="H131" s="75">
        <v>1.5603809523809522</v>
      </c>
      <c r="I131" s="75">
        <v>3.1207619047619044</v>
      </c>
      <c r="J131" s="75">
        <v>6.2415238095238088</v>
      </c>
      <c r="K131" s="75">
        <v>12.483047619047618</v>
      </c>
      <c r="L131" s="75">
        <v>24.966095238095235</v>
      </c>
      <c r="M131" s="75">
        <v>30</v>
      </c>
      <c r="N131" s="75">
        <v>30</v>
      </c>
    </row>
    <row r="132" spans="3:14" hidden="1" x14ac:dyDescent="0.15">
      <c r="C132" s="75">
        <v>1</v>
      </c>
      <c r="D132" s="75">
        <v>30</v>
      </c>
      <c r="E132" s="75"/>
      <c r="F132" s="75">
        <v>5.5</v>
      </c>
      <c r="G132" s="75">
        <v>1</v>
      </c>
      <c r="H132" s="75">
        <v>1.4894545454545454</v>
      </c>
      <c r="I132" s="75">
        <v>2.9789090909090907</v>
      </c>
      <c r="J132" s="75">
        <v>5.9578181818181815</v>
      </c>
      <c r="K132" s="75">
        <v>11.915636363636363</v>
      </c>
      <c r="L132" s="75">
        <v>23.831272727272726</v>
      </c>
      <c r="M132" s="75">
        <v>30</v>
      </c>
      <c r="N132" s="75">
        <v>30</v>
      </c>
    </row>
    <row r="133" spans="3:14" hidden="1" x14ac:dyDescent="0.15">
      <c r="C133" s="75">
        <v>1</v>
      </c>
      <c r="D133" s="75">
        <v>30</v>
      </c>
      <c r="E133" s="75"/>
      <c r="F133" s="75">
        <v>5.75</v>
      </c>
      <c r="G133" s="75">
        <v>1</v>
      </c>
      <c r="H133" s="75">
        <v>1.4246956521739129</v>
      </c>
      <c r="I133" s="75">
        <v>2.8493913043478258</v>
      </c>
      <c r="J133" s="75">
        <v>5.6987826086956517</v>
      </c>
      <c r="K133" s="75">
        <v>11.397565217391303</v>
      </c>
      <c r="L133" s="75">
        <v>22.795130434782607</v>
      </c>
      <c r="M133" s="75">
        <v>30</v>
      </c>
      <c r="N133" s="75">
        <v>30</v>
      </c>
    </row>
    <row r="134" spans="3:14" hidden="1" x14ac:dyDescent="0.15">
      <c r="C134" s="75">
        <v>1</v>
      </c>
      <c r="D134" s="75">
        <v>30</v>
      </c>
      <c r="E134" s="75"/>
      <c r="F134" s="75">
        <v>6</v>
      </c>
      <c r="G134" s="75">
        <v>1</v>
      </c>
      <c r="H134" s="75">
        <v>1.3653333333333333</v>
      </c>
      <c r="I134" s="75">
        <v>2.7306666666666666</v>
      </c>
      <c r="J134" s="75">
        <v>5.4613333333333332</v>
      </c>
      <c r="K134" s="75">
        <v>10.922666666666666</v>
      </c>
      <c r="L134" s="75">
        <v>21.845333333333333</v>
      </c>
      <c r="M134" s="75">
        <v>30</v>
      </c>
      <c r="N134" s="75">
        <v>30</v>
      </c>
    </row>
    <row r="135" spans="3:14" hidden="1" x14ac:dyDescent="0.15">
      <c r="C135" s="75">
        <v>1</v>
      </c>
      <c r="D135" s="75">
        <v>30</v>
      </c>
      <c r="E135" s="75"/>
      <c r="F135" s="75">
        <v>6.25</v>
      </c>
      <c r="G135" s="75">
        <v>1</v>
      </c>
      <c r="H135" s="75">
        <v>1.3107199999999999</v>
      </c>
      <c r="I135" s="75">
        <v>2.6214399999999998</v>
      </c>
      <c r="J135" s="75">
        <v>5.2428799999999995</v>
      </c>
      <c r="K135" s="75">
        <v>10.485759999999999</v>
      </c>
      <c r="L135" s="75">
        <v>20.971519999999998</v>
      </c>
      <c r="M135" s="75">
        <v>30</v>
      </c>
      <c r="N135" s="75">
        <v>30</v>
      </c>
    </row>
    <row r="136" spans="3:14" hidden="1" x14ac:dyDescent="0.15">
      <c r="C136" s="75">
        <v>1</v>
      </c>
      <c r="D136" s="75">
        <v>30</v>
      </c>
      <c r="E136" s="75"/>
      <c r="F136" s="75">
        <v>6.5</v>
      </c>
      <c r="G136" s="75">
        <v>1</v>
      </c>
      <c r="H136" s="75">
        <v>1.2603076923076924</v>
      </c>
      <c r="I136" s="75">
        <v>2.5206153846153847</v>
      </c>
      <c r="J136" s="75">
        <v>5.0412307692307694</v>
      </c>
      <c r="K136" s="75">
        <v>10.082461538461539</v>
      </c>
      <c r="L136" s="75">
        <v>20.164923076923078</v>
      </c>
      <c r="M136" s="75">
        <v>30</v>
      </c>
      <c r="N136" s="75">
        <v>30</v>
      </c>
    </row>
    <row r="137" spans="3:14" hidden="1" x14ac:dyDescent="0.15">
      <c r="C137" s="75">
        <v>1</v>
      </c>
      <c r="D137" s="75">
        <v>30</v>
      </c>
      <c r="E137" s="75"/>
      <c r="F137" s="75">
        <v>6.75</v>
      </c>
      <c r="G137" s="75">
        <v>1</v>
      </c>
      <c r="H137" s="75">
        <v>1.2136296296296296</v>
      </c>
      <c r="I137" s="75">
        <v>2.4272592592592592</v>
      </c>
      <c r="J137" s="75">
        <v>4.8545185185185185</v>
      </c>
      <c r="K137" s="75">
        <v>9.7090370370370369</v>
      </c>
      <c r="L137" s="75">
        <v>19.418074074074074</v>
      </c>
      <c r="M137" s="75">
        <v>30</v>
      </c>
      <c r="N137" s="75">
        <v>30</v>
      </c>
    </row>
    <row r="138" spans="3:14" hidden="1" x14ac:dyDescent="0.15">
      <c r="C138" s="75">
        <v>1</v>
      </c>
      <c r="D138" s="75">
        <v>30</v>
      </c>
      <c r="E138" s="75"/>
      <c r="F138" s="75">
        <v>7</v>
      </c>
      <c r="G138" s="75">
        <v>1</v>
      </c>
      <c r="H138" s="75">
        <v>1.1702857142857142</v>
      </c>
      <c r="I138" s="75">
        <v>2.3405714285714283</v>
      </c>
      <c r="J138" s="75">
        <v>4.6811428571428566</v>
      </c>
      <c r="K138" s="75">
        <v>9.3622857142857132</v>
      </c>
      <c r="L138" s="75">
        <v>18.724571428571426</v>
      </c>
      <c r="M138" s="75">
        <v>30</v>
      </c>
      <c r="N138" s="75">
        <v>30</v>
      </c>
    </row>
    <row r="139" spans="3:14" hidden="1" x14ac:dyDescent="0.15">
      <c r="C139" s="75">
        <v>1</v>
      </c>
      <c r="D139" s="75">
        <v>30</v>
      </c>
      <c r="E139" s="75"/>
      <c r="F139" s="75">
        <v>7.25</v>
      </c>
      <c r="G139" s="75">
        <v>1</v>
      </c>
      <c r="H139" s="75">
        <v>1.1299310344827584</v>
      </c>
      <c r="I139" s="75">
        <v>2.2598620689655169</v>
      </c>
      <c r="J139" s="75">
        <v>4.5197241379310338</v>
      </c>
      <c r="K139" s="75">
        <v>9.0394482758620676</v>
      </c>
      <c r="L139" s="75">
        <v>18.078896551724135</v>
      </c>
      <c r="M139" s="75">
        <v>30</v>
      </c>
      <c r="N139" s="75">
        <v>30</v>
      </c>
    </row>
    <row r="140" spans="3:14" hidden="1" x14ac:dyDescent="0.15">
      <c r="C140" s="75">
        <v>1</v>
      </c>
      <c r="D140" s="75">
        <v>30</v>
      </c>
      <c r="E140" s="75"/>
      <c r="F140" s="75">
        <v>7.5</v>
      </c>
      <c r="G140" s="75">
        <v>1</v>
      </c>
      <c r="H140" s="75">
        <v>1.0922666666666667</v>
      </c>
      <c r="I140" s="75">
        <v>2.1845333333333334</v>
      </c>
      <c r="J140" s="75">
        <v>4.3690666666666669</v>
      </c>
      <c r="K140" s="75">
        <v>8.7381333333333338</v>
      </c>
      <c r="L140" s="75">
        <v>17.476266666666668</v>
      </c>
      <c r="M140" s="75">
        <v>30</v>
      </c>
      <c r="N140" s="75">
        <v>30</v>
      </c>
    </row>
    <row r="141" spans="3:14" hidden="1" x14ac:dyDescent="0.15">
      <c r="C141" s="75">
        <v>1</v>
      </c>
      <c r="D141" s="75">
        <v>30</v>
      </c>
      <c r="E141" s="75"/>
      <c r="F141" s="75">
        <v>7.75</v>
      </c>
      <c r="G141" s="75">
        <v>1</v>
      </c>
      <c r="H141" s="75">
        <v>1.0570322580645162</v>
      </c>
      <c r="I141" s="75">
        <v>2.1140645161290323</v>
      </c>
      <c r="J141" s="75">
        <v>4.2281290322580647</v>
      </c>
      <c r="K141" s="75">
        <v>8.4562580645161294</v>
      </c>
      <c r="L141" s="75">
        <v>16.912516129032259</v>
      </c>
      <c r="M141" s="75">
        <v>30</v>
      </c>
      <c r="N141" s="75">
        <v>30</v>
      </c>
    </row>
    <row r="142" spans="3:14" hidden="1" x14ac:dyDescent="0.15">
      <c r="C142" s="75">
        <v>1</v>
      </c>
      <c r="D142" s="75">
        <v>30</v>
      </c>
      <c r="E142" s="75"/>
      <c r="F142" s="75">
        <v>8</v>
      </c>
      <c r="G142" s="75">
        <v>1</v>
      </c>
      <c r="H142" s="75">
        <v>1.024</v>
      </c>
      <c r="I142" s="75">
        <v>2.048</v>
      </c>
      <c r="J142" s="75">
        <v>4.0960000000000001</v>
      </c>
      <c r="K142" s="75">
        <v>8.1920000000000002</v>
      </c>
      <c r="L142" s="75">
        <v>16.384</v>
      </c>
      <c r="M142" s="75">
        <v>30</v>
      </c>
      <c r="N142" s="75">
        <v>30</v>
      </c>
    </row>
    <row r="143" spans="3:14" hidden="1" x14ac:dyDescent="0.15">
      <c r="C143" s="75">
        <v>1</v>
      </c>
      <c r="D143" s="75">
        <v>30</v>
      </c>
      <c r="E143" s="75"/>
      <c r="F143" s="75">
        <v>8.25</v>
      </c>
      <c r="G143" s="75">
        <v>1</v>
      </c>
      <c r="H143" s="75">
        <v>1</v>
      </c>
      <c r="I143" s="75">
        <v>1.9859393939393937</v>
      </c>
      <c r="J143" s="75">
        <v>3.9718787878787873</v>
      </c>
      <c r="K143" s="75">
        <v>7.9437575757575747</v>
      </c>
      <c r="L143" s="75">
        <v>15.887515151515149</v>
      </c>
      <c r="M143" s="75">
        <v>30</v>
      </c>
      <c r="N143" s="75">
        <v>30</v>
      </c>
    </row>
    <row r="144" spans="3:14" hidden="1" x14ac:dyDescent="0.15">
      <c r="C144" s="75">
        <v>1</v>
      </c>
      <c r="D144" s="75">
        <v>30</v>
      </c>
      <c r="E144" s="75"/>
      <c r="F144" s="75">
        <v>8.5</v>
      </c>
      <c r="G144" s="75">
        <v>1</v>
      </c>
      <c r="H144" s="75">
        <v>1</v>
      </c>
      <c r="I144" s="75">
        <v>1.9275294117647057</v>
      </c>
      <c r="J144" s="75">
        <v>3.8550588235294114</v>
      </c>
      <c r="K144" s="75">
        <v>7.7101176470588229</v>
      </c>
      <c r="L144" s="75">
        <v>15.420235294117646</v>
      </c>
      <c r="M144" s="75">
        <v>30</v>
      </c>
      <c r="N144" s="75">
        <v>30</v>
      </c>
    </row>
    <row r="145" spans="3:14" hidden="1" x14ac:dyDescent="0.15">
      <c r="C145" s="75">
        <v>1</v>
      </c>
      <c r="D145" s="75">
        <v>30</v>
      </c>
      <c r="E145" s="75"/>
      <c r="F145" s="75">
        <v>9</v>
      </c>
      <c r="G145" s="75">
        <v>1</v>
      </c>
      <c r="H145" s="75">
        <v>1</v>
      </c>
      <c r="I145" s="75">
        <v>1.8204444444444445</v>
      </c>
      <c r="J145" s="75">
        <v>3.6408888888888891</v>
      </c>
      <c r="K145" s="75">
        <v>7.2817777777777781</v>
      </c>
      <c r="L145" s="75">
        <v>14.563555555555556</v>
      </c>
      <c r="M145" s="75">
        <v>29.127111111111113</v>
      </c>
      <c r="N145" s="75">
        <v>30</v>
      </c>
    </row>
    <row r="146" spans="3:14" hidden="1" x14ac:dyDescent="0.15"/>
    <row r="147" spans="3:14" hidden="1" x14ac:dyDescent="0.15"/>
    <row r="148" spans="3:14" hidden="1" x14ac:dyDescent="0.15">
      <c r="C148" s="575" t="s">
        <v>1584</v>
      </c>
    </row>
    <row r="149" spans="3:14" hidden="1" x14ac:dyDescent="0.15">
      <c r="C149" s="309" t="s">
        <v>1581</v>
      </c>
      <c r="D149" s="309" t="s">
        <v>1582</v>
      </c>
    </row>
    <row r="150" spans="3:14" hidden="1" x14ac:dyDescent="0.15">
      <c r="C150" s="118">
        <v>0</v>
      </c>
      <c r="D150" s="496">
        <v>1</v>
      </c>
    </row>
    <row r="151" spans="3:14" hidden="1" x14ac:dyDescent="0.15">
      <c r="C151" s="118">
        <v>1</v>
      </c>
      <c r="D151" s="496">
        <v>1.0625</v>
      </c>
    </row>
    <row r="152" spans="3:14" hidden="1" x14ac:dyDescent="0.15">
      <c r="C152" s="118">
        <v>2</v>
      </c>
      <c r="D152" s="496">
        <v>1.1875</v>
      </c>
    </row>
    <row r="153" spans="3:14" hidden="1" x14ac:dyDescent="0.15">
      <c r="C153" s="118">
        <v>3</v>
      </c>
      <c r="D153" s="496">
        <v>1.3125</v>
      </c>
    </row>
    <row r="154" spans="3:14" hidden="1" x14ac:dyDescent="0.15">
      <c r="C154" s="118">
        <v>4</v>
      </c>
      <c r="D154" s="496">
        <v>1.4375</v>
      </c>
    </row>
    <row r="155" spans="3:14" hidden="1" x14ac:dyDescent="0.15">
      <c r="C155" s="118">
        <v>5</v>
      </c>
      <c r="D155" s="496">
        <v>1.5625</v>
      </c>
    </row>
    <row r="156" spans="3:14" hidden="1" x14ac:dyDescent="0.15">
      <c r="C156" s="118">
        <v>6</v>
      </c>
      <c r="D156" s="496">
        <v>1.6875</v>
      </c>
    </row>
    <row r="157" spans="3:14" hidden="1" x14ac:dyDescent="0.15">
      <c r="C157" s="118">
        <v>7</v>
      </c>
      <c r="D157" s="496">
        <v>1.8125</v>
      </c>
    </row>
    <row r="158" spans="3:14" hidden="1" x14ac:dyDescent="0.15">
      <c r="C158" s="118">
        <v>8</v>
      </c>
      <c r="D158" s="496">
        <v>2</v>
      </c>
    </row>
    <row r="159" spans="3:14" hidden="1" x14ac:dyDescent="0.15">
      <c r="C159" s="118">
        <v>9</v>
      </c>
      <c r="D159" s="496">
        <v>2.125</v>
      </c>
    </row>
    <row r="160" spans="3:14" hidden="1" x14ac:dyDescent="0.15">
      <c r="C160" s="118">
        <v>10</v>
      </c>
      <c r="D160" s="496">
        <v>2.375</v>
      </c>
    </row>
    <row r="161" spans="3:4" hidden="1" x14ac:dyDescent="0.15">
      <c r="C161" s="118">
        <v>11</v>
      </c>
      <c r="D161" s="496">
        <v>2.625</v>
      </c>
    </row>
    <row r="162" spans="3:4" hidden="1" x14ac:dyDescent="0.15">
      <c r="C162" s="118">
        <v>12</v>
      </c>
      <c r="D162" s="496">
        <v>2.875</v>
      </c>
    </row>
    <row r="163" spans="3:4" hidden="1" x14ac:dyDescent="0.15">
      <c r="C163" s="118">
        <v>13</v>
      </c>
      <c r="D163" s="496">
        <v>3.125</v>
      </c>
    </row>
    <row r="164" spans="3:4" hidden="1" x14ac:dyDescent="0.15">
      <c r="C164" s="118">
        <v>14</v>
      </c>
      <c r="D164" s="496">
        <v>3.375</v>
      </c>
    </row>
    <row r="165" spans="3:4" hidden="1" x14ac:dyDescent="0.15">
      <c r="C165" s="118">
        <v>15</v>
      </c>
      <c r="D165" s="496">
        <v>3.625</v>
      </c>
    </row>
    <row r="166" spans="3:4" hidden="1" x14ac:dyDescent="0.15">
      <c r="C166" s="118">
        <v>16</v>
      </c>
      <c r="D166" s="496">
        <v>4</v>
      </c>
    </row>
    <row r="167" spans="3:4" hidden="1" x14ac:dyDescent="0.15">
      <c r="C167" s="118">
        <v>17</v>
      </c>
      <c r="D167" s="496">
        <v>4.25</v>
      </c>
    </row>
    <row r="168" spans="3:4" hidden="1" x14ac:dyDescent="0.15">
      <c r="C168" s="118">
        <v>18</v>
      </c>
      <c r="D168" s="496">
        <v>4.75</v>
      </c>
    </row>
    <row r="169" spans="3:4" hidden="1" x14ac:dyDescent="0.15">
      <c r="C169" s="118">
        <v>19</v>
      </c>
      <c r="D169" s="496">
        <v>5.25</v>
      </c>
    </row>
    <row r="170" spans="3:4" hidden="1" x14ac:dyDescent="0.15">
      <c r="C170" s="118">
        <v>20</v>
      </c>
      <c r="D170" s="496">
        <v>5.75</v>
      </c>
    </row>
    <row r="171" spans="3:4" hidden="1" x14ac:dyDescent="0.15">
      <c r="C171" s="118">
        <v>21</v>
      </c>
      <c r="D171" s="496">
        <v>6.25</v>
      </c>
    </row>
    <row r="172" spans="3:4" hidden="1" x14ac:dyDescent="0.15">
      <c r="C172" s="118">
        <v>22</v>
      </c>
      <c r="D172" s="496">
        <v>6.75</v>
      </c>
    </row>
    <row r="173" spans="3:4" hidden="1" x14ac:dyDescent="0.15">
      <c r="C173" s="118">
        <v>23</v>
      </c>
      <c r="D173" s="496">
        <v>7.25</v>
      </c>
    </row>
    <row r="174" spans="3:4" hidden="1" x14ac:dyDescent="0.15">
      <c r="C174" s="118">
        <v>24</v>
      </c>
      <c r="D174" s="496">
        <v>8</v>
      </c>
    </row>
    <row r="175" spans="3:4" hidden="1" x14ac:dyDescent="0.15">
      <c r="C175" s="118">
        <v>25</v>
      </c>
      <c r="D175" s="496">
        <v>8.5</v>
      </c>
    </row>
    <row r="176" spans="3:4" hidden="1" x14ac:dyDescent="0.15">
      <c r="C176" s="118">
        <v>26</v>
      </c>
      <c r="D176" s="496">
        <v>9.5</v>
      </c>
    </row>
    <row r="177" spans="3:4" hidden="1" x14ac:dyDescent="0.15">
      <c r="C177" s="118">
        <v>27</v>
      </c>
      <c r="D177" s="496">
        <v>10.5</v>
      </c>
    </row>
    <row r="178" spans="3:4" hidden="1" x14ac:dyDescent="0.15">
      <c r="C178" s="118">
        <v>28</v>
      </c>
      <c r="D178" s="496">
        <v>11.5</v>
      </c>
    </row>
    <row r="179" spans="3:4" hidden="1" x14ac:dyDescent="0.15">
      <c r="C179" s="118">
        <v>29</v>
      </c>
      <c r="D179" s="496">
        <v>12.5</v>
      </c>
    </row>
    <row r="180" spans="3:4" hidden="1" x14ac:dyDescent="0.15">
      <c r="C180" s="118">
        <v>30</v>
      </c>
      <c r="D180" s="496">
        <v>13.5</v>
      </c>
    </row>
    <row r="181" spans="3:4" hidden="1" x14ac:dyDescent="0.15">
      <c r="C181" s="118">
        <v>31</v>
      </c>
      <c r="D181" s="496">
        <v>14.5</v>
      </c>
    </row>
    <row r="182" spans="3:4" hidden="1" x14ac:dyDescent="0.15">
      <c r="C182" s="118">
        <v>32</v>
      </c>
      <c r="D182" s="496">
        <v>16</v>
      </c>
    </row>
    <row r="183" spans="3:4" hidden="1" x14ac:dyDescent="0.15">
      <c r="C183" s="118">
        <v>33</v>
      </c>
      <c r="D183" s="496">
        <v>17</v>
      </c>
    </row>
    <row r="184" spans="3:4" hidden="1" x14ac:dyDescent="0.15">
      <c r="C184" s="118">
        <v>34</v>
      </c>
      <c r="D184" s="496">
        <v>19</v>
      </c>
    </row>
    <row r="185" spans="3:4" hidden="1" x14ac:dyDescent="0.15">
      <c r="C185" s="118">
        <v>35</v>
      </c>
      <c r="D185" s="496">
        <v>21</v>
      </c>
    </row>
    <row r="186" spans="3:4" hidden="1" x14ac:dyDescent="0.15">
      <c r="C186" s="118">
        <v>36</v>
      </c>
      <c r="D186" s="496">
        <v>23</v>
      </c>
    </row>
    <row r="187" spans="3:4" hidden="1" x14ac:dyDescent="0.15">
      <c r="C187" s="118">
        <v>37</v>
      </c>
      <c r="D187" s="496">
        <v>25</v>
      </c>
    </row>
    <row r="188" spans="3:4" hidden="1" x14ac:dyDescent="0.15">
      <c r="C188" s="118">
        <v>38</v>
      </c>
      <c r="D188" s="496">
        <v>27</v>
      </c>
    </row>
    <row r="189" spans="3:4" hidden="1" x14ac:dyDescent="0.15">
      <c r="C189" s="118">
        <v>39</v>
      </c>
      <c r="D189" s="496">
        <v>29</v>
      </c>
    </row>
    <row r="190" spans="3:4" hidden="1" x14ac:dyDescent="0.15">
      <c r="C190" s="118">
        <v>40</v>
      </c>
      <c r="D190" s="496">
        <v>32</v>
      </c>
    </row>
    <row r="191" spans="3:4" hidden="1" x14ac:dyDescent="0.15">
      <c r="C191" s="118">
        <v>41</v>
      </c>
      <c r="D191" s="496">
        <v>34</v>
      </c>
    </row>
    <row r="192" spans="3:4" hidden="1" x14ac:dyDescent="0.15">
      <c r="C192" s="118">
        <v>42</v>
      </c>
      <c r="D192" s="496">
        <v>38</v>
      </c>
    </row>
    <row r="193" spans="3:4" hidden="1" x14ac:dyDescent="0.15">
      <c r="C193" s="118">
        <v>43</v>
      </c>
      <c r="D193" s="496">
        <v>42</v>
      </c>
    </row>
    <row r="194" spans="3:4" hidden="1" x14ac:dyDescent="0.15">
      <c r="C194" s="118">
        <v>44</v>
      </c>
      <c r="D194" s="496">
        <v>46</v>
      </c>
    </row>
    <row r="195" spans="3:4" hidden="1" x14ac:dyDescent="0.15">
      <c r="C195" s="118">
        <v>45</v>
      </c>
      <c r="D195" s="496">
        <v>50</v>
      </c>
    </row>
    <row r="196" spans="3:4" hidden="1" x14ac:dyDescent="0.15">
      <c r="C196" s="118">
        <v>46</v>
      </c>
      <c r="D196" s="496">
        <v>54</v>
      </c>
    </row>
    <row r="197" spans="3:4" hidden="1" x14ac:dyDescent="0.15">
      <c r="C197" s="118">
        <v>47</v>
      </c>
      <c r="D197" s="496">
        <v>58</v>
      </c>
    </row>
    <row r="198" spans="3:4" hidden="1" x14ac:dyDescent="0.15">
      <c r="C198" s="118">
        <v>48</v>
      </c>
      <c r="D198" s="496">
        <v>64</v>
      </c>
    </row>
    <row r="199" spans="3:4" hidden="1" x14ac:dyDescent="0.15">
      <c r="C199" s="118">
        <v>49</v>
      </c>
      <c r="D199" s="496">
        <v>68</v>
      </c>
    </row>
    <row r="200" spans="3:4" hidden="1" x14ac:dyDescent="0.15">
      <c r="C200" s="118">
        <v>50</v>
      </c>
      <c r="D200" s="496">
        <v>76</v>
      </c>
    </row>
    <row r="201" spans="3:4" hidden="1" x14ac:dyDescent="0.15">
      <c r="C201" s="118">
        <v>51</v>
      </c>
      <c r="D201" s="496">
        <v>84</v>
      </c>
    </row>
    <row r="202" spans="3:4" hidden="1" x14ac:dyDescent="0.15">
      <c r="C202" s="118">
        <v>52</v>
      </c>
      <c r="D202" s="496">
        <v>92</v>
      </c>
    </row>
    <row r="203" spans="3:4" hidden="1" x14ac:dyDescent="0.15">
      <c r="C203" s="118">
        <v>53</v>
      </c>
      <c r="D203" s="496">
        <v>100</v>
      </c>
    </row>
    <row r="204" spans="3:4" hidden="1" x14ac:dyDescent="0.15">
      <c r="C204" s="118">
        <v>54</v>
      </c>
      <c r="D204" s="496">
        <v>108</v>
      </c>
    </row>
    <row r="205" spans="3:4" hidden="1" x14ac:dyDescent="0.15">
      <c r="C205" s="118">
        <v>55</v>
      </c>
      <c r="D205" s="496">
        <v>116</v>
      </c>
    </row>
    <row r="206" spans="3:4" hidden="1" x14ac:dyDescent="0.15">
      <c r="C206" s="118">
        <v>56</v>
      </c>
      <c r="D206" s="496">
        <v>128</v>
      </c>
    </row>
    <row r="207" spans="3:4" hidden="1" x14ac:dyDescent="0.15">
      <c r="C207" s="118">
        <v>57</v>
      </c>
      <c r="D207" s="496">
        <v>136</v>
      </c>
    </row>
    <row r="208" spans="3:4" hidden="1" x14ac:dyDescent="0.15">
      <c r="C208" s="118">
        <v>58</v>
      </c>
      <c r="D208" s="496">
        <v>152</v>
      </c>
    </row>
    <row r="209" spans="3:4" hidden="1" x14ac:dyDescent="0.15">
      <c r="C209" s="118">
        <v>59</v>
      </c>
      <c r="D209" s="496">
        <v>168</v>
      </c>
    </row>
    <row r="210" spans="3:4" hidden="1" x14ac:dyDescent="0.15">
      <c r="C210" s="118">
        <v>60</v>
      </c>
      <c r="D210" s="496">
        <v>184</v>
      </c>
    </row>
    <row r="211" spans="3:4" hidden="1" x14ac:dyDescent="0.15">
      <c r="C211" s="118">
        <v>61</v>
      </c>
      <c r="D211" s="496">
        <v>200</v>
      </c>
    </row>
    <row r="212" spans="3:4" hidden="1" x14ac:dyDescent="0.15">
      <c r="C212" s="118">
        <v>62</v>
      </c>
      <c r="D212" s="496">
        <v>216</v>
      </c>
    </row>
    <row r="213" spans="3:4" hidden="1" x14ac:dyDescent="0.15">
      <c r="C213" s="118">
        <v>63</v>
      </c>
      <c r="D213" s="496">
        <v>232</v>
      </c>
    </row>
  </sheetData>
  <sheetProtection sheet="1" objects="1" scenarios="1"/>
  <phoneticPr fontId="121"/>
  <conditionalFormatting sqref="G46:K46">
    <cfRule type="expression" dxfId="65" priority="40">
      <formula>"OFF"</formula>
    </cfRule>
  </conditionalFormatting>
  <conditionalFormatting sqref="D8">
    <cfRule type="expression" dxfId="64" priority="39">
      <formula>AND($D$7=FALSE(),$D$8=TRUE())</formula>
    </cfRule>
  </conditionalFormatting>
  <conditionalFormatting sqref="F8">
    <cfRule type="expression" dxfId="63" priority="38">
      <formula>AND($F$8=TRUE(),$F$7=FALSE())</formula>
    </cfRule>
  </conditionalFormatting>
  <conditionalFormatting sqref="H8">
    <cfRule type="expression" dxfId="62" priority="37">
      <formula>AND($H$8=TRUE(),$H$7=FALSE())</formula>
    </cfRule>
  </conditionalFormatting>
  <conditionalFormatting sqref="J8">
    <cfRule type="expression" dxfId="61" priority="36">
      <formula>AND($J$8=TRUE(),$J$7=FALSE())</formula>
    </cfRule>
  </conditionalFormatting>
  <conditionalFormatting sqref="H7">
    <cfRule type="expression" dxfId="60" priority="35">
      <formula>AND($D$4="LDC2112",$H$7=TRUE())</formula>
    </cfRule>
  </conditionalFormatting>
  <conditionalFormatting sqref="J7">
    <cfRule type="expression" dxfId="59" priority="34">
      <formula>AND($D$4="LDC2112",$J$7=TRUE())</formula>
    </cfRule>
  </conditionalFormatting>
  <conditionalFormatting sqref="D80">
    <cfRule type="expression" dxfId="58" priority="33">
      <formula>(D4="LDC2112")</formula>
    </cfRule>
  </conditionalFormatting>
  <conditionalFormatting sqref="D81">
    <cfRule type="expression" dxfId="57" priority="32">
      <formula>$D$4="LDC2112"</formula>
    </cfRule>
  </conditionalFormatting>
  <conditionalFormatting sqref="D13:D42">
    <cfRule type="expression" dxfId="56" priority="25" stopIfTrue="1">
      <formula>NOT($D$7)</formula>
    </cfRule>
  </conditionalFormatting>
  <conditionalFormatting sqref="F14:F41">
    <cfRule type="expression" dxfId="55" priority="30">
      <formula>NOT($F$7)</formula>
    </cfRule>
  </conditionalFormatting>
  <conditionalFormatting sqref="H14:H42">
    <cfRule type="expression" dxfId="54" priority="29">
      <formula>NOT($H$7)</formula>
    </cfRule>
  </conditionalFormatting>
  <conditionalFormatting sqref="J14:J42">
    <cfRule type="expression" dxfId="53" priority="28">
      <formula>NOT($J$7)</formula>
    </cfRule>
  </conditionalFormatting>
  <conditionalFormatting sqref="F42">
    <cfRule type="expression" dxfId="52" priority="27">
      <formula>NOT($F$7)</formula>
    </cfRule>
  </conditionalFormatting>
  <conditionalFormatting sqref="D13">
    <cfRule type="expression" dxfId="51" priority="26">
      <formula>D13&gt;10</formula>
    </cfRule>
    <cfRule type="expression" dxfId="50" priority="31">
      <formula>D13&lt;0.35</formula>
    </cfRule>
  </conditionalFormatting>
  <conditionalFormatting sqref="F13">
    <cfRule type="expression" dxfId="49" priority="7" stopIfTrue="1">
      <formula>NOT(F7)</formula>
    </cfRule>
  </conditionalFormatting>
  <conditionalFormatting sqref="F13">
    <cfRule type="expression" dxfId="48" priority="8">
      <formula>F13&gt;10</formula>
    </cfRule>
    <cfRule type="expression" dxfId="47" priority="9">
      <formula>F13&lt;0.35</formula>
    </cfRule>
  </conditionalFormatting>
  <conditionalFormatting sqref="H13">
    <cfRule type="expression" dxfId="46" priority="4" stopIfTrue="1">
      <formula>NOT(H7)</formula>
    </cfRule>
  </conditionalFormatting>
  <conditionalFormatting sqref="H13">
    <cfRule type="expression" dxfId="45" priority="5">
      <formula>H13&gt;10</formula>
    </cfRule>
    <cfRule type="expression" dxfId="44" priority="6">
      <formula>H13&lt;0.35</formula>
    </cfRule>
  </conditionalFormatting>
  <conditionalFormatting sqref="J13">
    <cfRule type="expression" dxfId="43" priority="1" stopIfTrue="1">
      <formula>NOT(J7)</formula>
    </cfRule>
  </conditionalFormatting>
  <conditionalFormatting sqref="J13">
    <cfRule type="expression" dxfId="42" priority="2">
      <formula>J13&gt;10</formula>
    </cfRule>
    <cfRule type="expression" dxfId="41" priority="3">
      <formula>J13&lt;0.35</formula>
    </cfRule>
  </conditionalFormatting>
  <dataValidations count="25">
    <dataValidation type="list" allowBlank="1" showInputMessage="1" showErrorMessage="1" sqref="B87">
      <formula1>"Rs,Rp"</formula1>
    </dataValidation>
    <dataValidation type="decimal" operator="greaterThan" allowBlank="1" showInputMessage="1" showErrorMessage="1" sqref="C84:C86">
      <formula1>0</formula1>
    </dataValidation>
    <dataValidation allowBlank="1" showDropDown="1" showInputMessage="1" showErrorMessage="1" sqref="B88"/>
    <dataValidation type="list" allowBlank="1" showInputMessage="1" showErrorMessage="1" sqref="D4">
      <formula1>"LDC2112,LDC2114"</formula1>
    </dataValidation>
    <dataValidation type="decimal" allowBlank="1" showInputMessage="1" showErrorMessage="1" error="This is outside the LDC2114 Frequency range of 1 MHz to 30 MHz." sqref="D15 F15 H15 J15">
      <formula1>1</formula1>
      <formula2>30</formula2>
    </dataValidation>
    <dataValidation type="decimal" allowBlank="1" showInputMessage="1" showErrorMessage="1" sqref="J18 D18 H18 F18">
      <formula1>0.01</formula1>
      <formula2>15</formula2>
    </dataValidation>
    <dataValidation type="whole" errorStyle="warning" allowBlank="1" showInputMessage="1" showErrorMessage="1" sqref="D23 F23 H23 J23">
      <formula1>0</formula1>
      <formula2>31</formula2>
    </dataValidation>
    <dataValidation errorStyle="warning" allowBlank="1" showInputMessage="1" showErrorMessage="1" sqref="E77:J77 D64:D81"/>
    <dataValidation type="decimal" errorStyle="warning" allowBlank="1" showInputMessage="1" showErrorMessage="1" errorTitle="Value outside of Design Space" error="This value is outside of the design space of 0.35k to 10k  for the LDC2114; device operation may not be correct." sqref="J13">
      <formula1>0.35</formula1>
      <formula2>10</formula2>
    </dataValidation>
    <dataValidation type="list" allowBlank="1" showInputMessage="1" showErrorMessage="1" sqref="D44">
      <formula1>"0.625,1.25,2.5,5"</formula1>
    </dataValidation>
    <dataValidation type="list" allowBlank="1" showInputMessage="1" showErrorMessage="1" error="The LDC2114 can only be configured to 10, 20, 40, or 80 Hz scan rate for normal power mode." sqref="D47">
      <formula1>"10,20,40,80"</formula1>
    </dataValidation>
    <dataValidation type="whole" allowBlank="1" showInputMessage="1" showErrorMessage="1" error="Invalid number of buttons" sqref="D49:D50">
      <formula1>0</formula1>
      <formula2>4</formula2>
    </dataValidation>
    <dataValidation type="list" allowBlank="1" showInputMessage="1" showErrorMessage="1" sqref="G49:J49">
      <formula1>"ON,OFF"</formula1>
    </dataValidation>
    <dataValidation type="list" allowBlank="1" showInputMessage="1" showErrorMessage="1" sqref="G46">
      <formula1>$G$49:$G$50</formula1>
    </dataValidation>
    <dataValidation type="list" allowBlank="1" showInputMessage="1" showErrorMessage="1" sqref="H46">
      <formula1>$H$49:$H$50</formula1>
    </dataValidation>
    <dataValidation type="list" allowBlank="1" showInputMessage="1" showErrorMessage="1" sqref="J46">
      <formula1>$J$49:$J$50</formula1>
    </dataValidation>
    <dataValidation type="list" allowBlank="1" showInputMessage="1" showErrorMessage="1" sqref="I46">
      <formula1>$I$49:$I$50</formula1>
    </dataValidation>
    <dataValidation type="whole" allowBlank="1" showInputMessage="1" showErrorMessage="1" sqref="F37:F38 H37:H38 J37:J38 D37:D38">
      <formula1>0</formula1>
      <formula2>63</formula2>
    </dataValidation>
    <dataValidation type="decimal" allowBlank="1" showInputMessage="1" showErrorMessage="1" sqref="D39 F39 H39 J39">
      <formula1>0</formula1>
      <formula2>200000</formula2>
    </dataValidation>
    <dataValidation type="whole" allowBlank="1" showInputMessage="1" showErrorMessage="1" errorTitle="Invalid Base Increment" error="The Base Increment range is from 0 to 7." sqref="D54:D55">
      <formula1>0</formula1>
      <formula2>7</formula2>
    </dataValidation>
    <dataValidation type="list" allowBlank="1" showInputMessage="1" showErrorMessage="1" sqref="D56">
      <formula1>"Active Low, Active High"</formula1>
    </dataValidation>
    <dataValidation type="decimal" errorStyle="warning" allowBlank="1" showInputMessage="1" showErrorMessage="1" errorTitle="Outside Design Space" error="This value is outside of the design space for the LDC2114 of 0.35k to 10.0K; device operation may be compromised." sqref="D13">
      <formula1>0.35</formula1>
      <formula2>10</formula2>
    </dataValidation>
    <dataValidation type="decimal" errorStyle="warning" allowBlank="1" showInputMessage="1" showErrorMessage="1" errorTitle="Value outside Design Space" error="This value is outside of the design space of 0.35k to 10k  for the LDC2114; device operation may not be correct." sqref="F13 H13">
      <formula1>0.35</formula1>
      <formula2>10</formula2>
    </dataValidation>
    <dataValidation type="decimal" allowBlank="1" showInputMessage="1" showErrorMessage="1" error="This sample interval is not within the LDC211x operating region." sqref="D16 H16 J16 F16">
      <formula1>0.1</formula1>
      <formula2>15</formula2>
    </dataValidation>
    <dataValidation type="decimal" allowBlank="1" showInputMessage="1" showErrorMessage="1" errorTitle="Invalid Setting" error="Valid settings for HYST are from 0 to 15." sqref="D57">
      <formula1>0</formula1>
      <formula2>15</formula2>
    </dataValidation>
  </dataValidations>
  <hyperlinks>
    <hyperlink ref="F2" location="Contents!A1" display="Return to Main Page"/>
  </hyperlinks>
  <pageMargins left="0.7" right="0.7" top="0.75" bottom="0.75" header="0.3" footer="0.3"/>
  <pageSetup orientation="portrait" r:id="rId1"/>
  <ignoredErrors>
    <ignoredError sqref="D7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8065" r:id="rId4" name="Check Box 1">
              <controlPr locked="0" defaultSize="0" autoFill="0" autoLine="0" autoPict="0" altText="Enable Ch0">
                <anchor moveWithCells="1">
                  <from>
                    <xdr:col>3</xdr:col>
                    <xdr:colOff>38100</xdr:colOff>
                    <xdr:row>6</xdr:row>
                    <xdr:rowOff>28575</xdr:rowOff>
                  </from>
                  <to>
                    <xdr:col>3</xdr:col>
                    <xdr:colOff>714375</xdr:colOff>
                    <xdr:row>6</xdr:row>
                    <xdr:rowOff>180975</xdr:rowOff>
                  </to>
                </anchor>
              </controlPr>
            </control>
          </mc:Choice>
        </mc:AlternateContent>
        <mc:AlternateContent xmlns:mc="http://schemas.openxmlformats.org/markup-compatibility/2006">
          <mc:Choice Requires="x14">
            <control shapeId="88066" r:id="rId5" name="Check Box 2">
              <controlPr locked="0" defaultSize="0" autoFill="0" autoLine="0" autoPict="0" altText="Enable Ch0">
                <anchor moveWithCells="1">
                  <from>
                    <xdr:col>7</xdr:col>
                    <xdr:colOff>28575</xdr:colOff>
                    <xdr:row>5</xdr:row>
                    <xdr:rowOff>180975</xdr:rowOff>
                  </from>
                  <to>
                    <xdr:col>7</xdr:col>
                    <xdr:colOff>714375</xdr:colOff>
                    <xdr:row>6</xdr:row>
                    <xdr:rowOff>180975</xdr:rowOff>
                  </to>
                </anchor>
              </controlPr>
            </control>
          </mc:Choice>
        </mc:AlternateContent>
        <mc:AlternateContent xmlns:mc="http://schemas.openxmlformats.org/markup-compatibility/2006">
          <mc:Choice Requires="x14">
            <control shapeId="88067" r:id="rId6" name="Check Box 3">
              <controlPr locked="0" defaultSize="0" autoFill="0" autoLine="0" autoPict="0" altText="Enable Ch0">
                <anchor moveWithCells="1">
                  <from>
                    <xdr:col>9</xdr:col>
                    <xdr:colOff>9525</xdr:colOff>
                    <xdr:row>5</xdr:row>
                    <xdr:rowOff>180975</xdr:rowOff>
                  </from>
                  <to>
                    <xdr:col>9</xdr:col>
                    <xdr:colOff>695325</xdr:colOff>
                    <xdr:row>6</xdr:row>
                    <xdr:rowOff>190500</xdr:rowOff>
                  </to>
                </anchor>
              </controlPr>
            </control>
          </mc:Choice>
        </mc:AlternateContent>
        <mc:AlternateContent xmlns:mc="http://schemas.openxmlformats.org/markup-compatibility/2006">
          <mc:Choice Requires="x14">
            <control shapeId="88068" r:id="rId7" name="Check Box 4">
              <controlPr locked="0" defaultSize="0" autoFill="0" autoLine="0" autoPict="0" altText="Enable Ch0">
                <anchor moveWithCells="1">
                  <from>
                    <xdr:col>5</xdr:col>
                    <xdr:colOff>9525</xdr:colOff>
                    <xdr:row>5</xdr:row>
                    <xdr:rowOff>180975</xdr:rowOff>
                  </from>
                  <to>
                    <xdr:col>5</xdr:col>
                    <xdr:colOff>695325</xdr:colOff>
                    <xdr:row>6</xdr:row>
                    <xdr:rowOff>180975</xdr:rowOff>
                  </to>
                </anchor>
              </controlPr>
            </control>
          </mc:Choice>
        </mc:AlternateContent>
        <mc:AlternateContent xmlns:mc="http://schemas.openxmlformats.org/markup-compatibility/2006">
          <mc:Choice Requires="x14">
            <control shapeId="88069" r:id="rId8" name="Check Box 5">
              <controlPr locked="0" defaultSize="0" autoFill="0" autoLine="0" autoPict="0" altText="Enable Ch0">
                <anchor moveWithCells="1">
                  <from>
                    <xdr:col>3</xdr:col>
                    <xdr:colOff>38100</xdr:colOff>
                    <xdr:row>6</xdr:row>
                    <xdr:rowOff>190500</xdr:rowOff>
                  </from>
                  <to>
                    <xdr:col>3</xdr:col>
                    <xdr:colOff>962025</xdr:colOff>
                    <xdr:row>8</xdr:row>
                    <xdr:rowOff>28575</xdr:rowOff>
                  </to>
                </anchor>
              </controlPr>
            </control>
          </mc:Choice>
        </mc:AlternateContent>
        <mc:AlternateContent xmlns:mc="http://schemas.openxmlformats.org/markup-compatibility/2006">
          <mc:Choice Requires="x14">
            <control shapeId="88070" r:id="rId9" name="Check Box 6">
              <controlPr locked="0" defaultSize="0" autoFill="0" autoLine="0" autoPict="0" altText="Enable Ch0">
                <anchor moveWithCells="1">
                  <from>
                    <xdr:col>5</xdr:col>
                    <xdr:colOff>19050</xdr:colOff>
                    <xdr:row>7</xdr:row>
                    <xdr:rowOff>9525</xdr:rowOff>
                  </from>
                  <to>
                    <xdr:col>5</xdr:col>
                    <xdr:colOff>942975</xdr:colOff>
                    <xdr:row>7</xdr:row>
                    <xdr:rowOff>180975</xdr:rowOff>
                  </to>
                </anchor>
              </controlPr>
            </control>
          </mc:Choice>
        </mc:AlternateContent>
        <mc:AlternateContent xmlns:mc="http://schemas.openxmlformats.org/markup-compatibility/2006">
          <mc:Choice Requires="x14">
            <control shapeId="88071" r:id="rId10" name="Check Box 7">
              <controlPr locked="0" defaultSize="0" autoFill="0" autoLine="0" autoPict="0" altText="Enable Ch0">
                <anchor moveWithCells="1">
                  <from>
                    <xdr:col>7</xdr:col>
                    <xdr:colOff>28575</xdr:colOff>
                    <xdr:row>6</xdr:row>
                    <xdr:rowOff>180975</xdr:rowOff>
                  </from>
                  <to>
                    <xdr:col>7</xdr:col>
                    <xdr:colOff>981075</xdr:colOff>
                    <xdr:row>8</xdr:row>
                    <xdr:rowOff>0</xdr:rowOff>
                  </to>
                </anchor>
              </controlPr>
            </control>
          </mc:Choice>
        </mc:AlternateContent>
        <mc:AlternateContent xmlns:mc="http://schemas.openxmlformats.org/markup-compatibility/2006">
          <mc:Choice Requires="x14">
            <control shapeId="88072" r:id="rId11" name="Check Box 8">
              <controlPr locked="0" defaultSize="0" autoFill="0" autoLine="0" autoPict="0" altText="Enable Ch0">
                <anchor moveWithCells="1">
                  <from>
                    <xdr:col>9</xdr:col>
                    <xdr:colOff>9525</xdr:colOff>
                    <xdr:row>7</xdr:row>
                    <xdr:rowOff>9525</xdr:rowOff>
                  </from>
                  <to>
                    <xdr:col>9</xdr:col>
                    <xdr:colOff>933450</xdr:colOff>
                    <xdr:row>7</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4" tint="0.59999389629810485"/>
  </sheetPr>
  <dimension ref="A2:AV223"/>
  <sheetViews>
    <sheetView showGridLines="0" showRowColHeaders="0" zoomScaleNormal="100" workbookViewId="0">
      <selection activeCell="C7" sqref="C7"/>
    </sheetView>
  </sheetViews>
  <sheetFormatPr defaultColWidth="9.125" defaultRowHeight="13.5" x14ac:dyDescent="0.15"/>
  <cols>
    <col min="1" max="1" width="9.125" style="2"/>
    <col min="2" max="2" width="38.125" style="2" customWidth="1"/>
    <col min="3" max="3" width="10.875" style="2" customWidth="1"/>
    <col min="4" max="4" width="7.125" style="2" customWidth="1"/>
    <col min="5" max="5" width="48.875" style="2" customWidth="1"/>
    <col min="6" max="6" width="0" style="2" hidden="1" customWidth="1"/>
    <col min="7" max="36" width="9.125" style="2" hidden="1" customWidth="1"/>
    <col min="37" max="16384" width="9.125" style="2"/>
  </cols>
  <sheetData>
    <row r="2" spans="2:18" ht="17.25" x14ac:dyDescent="0.2">
      <c r="B2" s="154" t="s">
        <v>445</v>
      </c>
      <c r="D2" s="155" t="s">
        <v>198</v>
      </c>
    </row>
    <row r="3" spans="2:18" ht="14.25" x14ac:dyDescent="0.15">
      <c r="B3" s="156" t="s">
        <v>446</v>
      </c>
    </row>
    <row r="4" spans="2:18" ht="14.25" x14ac:dyDescent="0.15">
      <c r="B4" s="156" t="s">
        <v>447</v>
      </c>
    </row>
    <row r="5" spans="2:18" ht="14.25" x14ac:dyDescent="0.15">
      <c r="B5" s="157"/>
      <c r="R5" s="1"/>
    </row>
    <row r="6" spans="2:18" ht="14.25" x14ac:dyDescent="0.15">
      <c r="B6" s="415" t="s">
        <v>743</v>
      </c>
      <c r="R6" s="1"/>
    </row>
    <row r="7" spans="2:18" x14ac:dyDescent="0.15">
      <c r="B7" s="158" t="s">
        <v>406</v>
      </c>
      <c r="C7" s="45">
        <v>3.3</v>
      </c>
      <c r="D7" s="159" t="s">
        <v>377</v>
      </c>
    </row>
    <row r="8" spans="2:18" hidden="1" x14ac:dyDescent="0.15">
      <c r="B8" s="158" t="s">
        <v>441</v>
      </c>
      <c r="C8" s="151">
        <f>IF(C7=1.8,4.35,6)</f>
        <v>6</v>
      </c>
      <c r="D8" s="159" t="s">
        <v>244</v>
      </c>
    </row>
    <row r="9" spans="2:18" ht="15" hidden="1" x14ac:dyDescent="0.25">
      <c r="B9" s="158" t="s">
        <v>738</v>
      </c>
      <c r="C9" s="414">
        <f>1000/(4.83*19*C8)</f>
        <v>1.8161345392466675</v>
      </c>
      <c r="D9" s="161" t="s">
        <v>96</v>
      </c>
    </row>
    <row r="10" spans="2:18" ht="15.75" x14ac:dyDescent="0.25">
      <c r="B10" s="158" t="s">
        <v>278</v>
      </c>
      <c r="C10" s="51">
        <v>6</v>
      </c>
      <c r="D10" s="161" t="s">
        <v>96</v>
      </c>
      <c r="E10" s="157" t="str">
        <f>IF(C10&lt;C9,CONCATENATE("Inductance is below acceptable minimum of ",ROUND(C9,2),"µH"),"")</f>
        <v/>
      </c>
    </row>
    <row r="11" spans="2:18" ht="16.5" x14ac:dyDescent="0.25">
      <c r="B11" s="158" t="s">
        <v>443</v>
      </c>
      <c r="C11" s="150">
        <v>33</v>
      </c>
      <c r="D11" s="161" t="s">
        <v>27</v>
      </c>
      <c r="E11" s="162"/>
    </row>
    <row r="12" spans="2:18" ht="16.5" x14ac:dyDescent="0.25">
      <c r="B12" s="158" t="s">
        <v>444</v>
      </c>
      <c r="C12" s="150">
        <v>12</v>
      </c>
      <c r="D12" s="158" t="s">
        <v>27</v>
      </c>
    </row>
    <row r="13" spans="2:18" ht="16.5" x14ac:dyDescent="0.25">
      <c r="B13" s="158" t="s">
        <v>450</v>
      </c>
      <c r="C13" s="348">
        <f>C11+C12+12</f>
        <v>57</v>
      </c>
      <c r="D13" s="158" t="s">
        <v>27</v>
      </c>
      <c r="E13" s="162" t="str">
        <f>IF(C13&lt;33,"Total Sensor Capacitance is less than minimum of 33pF","Includes 12pF on LCOM pin")</f>
        <v>Includes 12pF on LCOM pin</v>
      </c>
    </row>
    <row r="14" spans="2:18" ht="14.25" x14ac:dyDescent="0.15">
      <c r="B14" s="158" t="s">
        <v>2</v>
      </c>
      <c r="C14" s="163">
        <f>1000/(SQRT(2)*PI()*SQRT(C13*C10))</f>
        <v>12.170882689518223</v>
      </c>
      <c r="D14" s="158" t="s">
        <v>0</v>
      </c>
      <c r="E14" s="157" t="str">
        <f>IF(C14&gt;19,"Sensor Frequency exceeds maximum of 19MHz; increase Csensor",IF(C14&lt;0.3,"Sensor Frequency below minimum of 300kHz",""))</f>
        <v/>
      </c>
    </row>
    <row r="15" spans="2:18" ht="15" x14ac:dyDescent="0.25">
      <c r="B15" s="158" t="s">
        <v>425</v>
      </c>
      <c r="C15" s="164">
        <f>1000000/(231*C14)</f>
        <v>355.68532204591401</v>
      </c>
      <c r="D15" s="161" t="s">
        <v>222</v>
      </c>
    </row>
    <row r="16" spans="2:18" x14ac:dyDescent="0.15">
      <c r="B16" s="158" t="s">
        <v>424</v>
      </c>
      <c r="C16" s="163">
        <f>1000/C15</f>
        <v>2.8114739012787093</v>
      </c>
      <c r="D16" s="158" t="s">
        <v>202</v>
      </c>
    </row>
    <row r="17" spans="2:5" ht="16.5" hidden="1" x14ac:dyDescent="0.25">
      <c r="B17" s="165" t="s">
        <v>410</v>
      </c>
      <c r="C17" s="166">
        <f>0.7*10^-3</f>
        <v>6.9999999999999999E-4</v>
      </c>
      <c r="D17" s="2" t="s">
        <v>411</v>
      </c>
    </row>
    <row r="18" spans="2:5" ht="16.5" hidden="1" x14ac:dyDescent="0.25">
      <c r="B18" s="165" t="s">
        <v>412</v>
      </c>
      <c r="C18" s="166">
        <f>24.262*10^-12*C14*10^6+1.5*C14*10^6*C12*10^-12</f>
        <v>5.1436584422441913E-4</v>
      </c>
      <c r="D18" s="2" t="s">
        <v>411</v>
      </c>
    </row>
    <row r="19" spans="2:5" ht="16.5" x14ac:dyDescent="0.25">
      <c r="B19" s="167" t="s">
        <v>745</v>
      </c>
      <c r="C19" s="419">
        <f>1000/(17.1*C14*C10)</f>
        <v>0.80081198238407536</v>
      </c>
      <c r="D19" s="159" t="s">
        <v>244</v>
      </c>
      <c r="E19" s="162" t="str">
        <f>IF(C19&gt;C8,"Isensor limited to "&amp;C8&amp;"mA; decrease Csensor","")</f>
        <v/>
      </c>
    </row>
    <row r="20" spans="2:5" ht="16.5" x14ac:dyDescent="0.25">
      <c r="B20" s="167" t="s">
        <v>1424</v>
      </c>
      <c r="C20" s="419">
        <f>1000*(C19/1000+C17+C18)</f>
        <v>2.0151778266084945</v>
      </c>
      <c r="D20" s="159" t="s">
        <v>244</v>
      </c>
      <c r="E20" s="162"/>
    </row>
    <row r="21" spans="2:5" x14ac:dyDescent="0.15">
      <c r="B21" s="168"/>
      <c r="C21" s="417"/>
      <c r="D21" s="418"/>
    </row>
    <row r="22" spans="2:5" ht="14.25" x14ac:dyDescent="0.15">
      <c r="B22" s="416" t="s">
        <v>744</v>
      </c>
      <c r="C22" s="417"/>
      <c r="D22" s="418"/>
    </row>
    <row r="23" spans="2:5" x14ac:dyDescent="0.15">
      <c r="B23" s="158" t="s">
        <v>403</v>
      </c>
      <c r="C23" s="152">
        <v>9</v>
      </c>
      <c r="D23" s="45" t="s">
        <v>34</v>
      </c>
    </row>
    <row r="24" spans="2:5" hidden="1" x14ac:dyDescent="0.15">
      <c r="B24" s="158" t="s">
        <v>407</v>
      </c>
      <c r="C24" s="153">
        <f>IF(D23="mm",C23,C23*0.0254)</f>
        <v>9</v>
      </c>
      <c r="D24" s="421" t="s">
        <v>34</v>
      </c>
    </row>
    <row r="25" spans="2:5" x14ac:dyDescent="0.15">
      <c r="B25" s="158" t="s">
        <v>433</v>
      </c>
      <c r="C25" s="152">
        <v>1.2</v>
      </c>
      <c r="D25" s="268" t="s">
        <v>34</v>
      </c>
      <c r="E25" s="162"/>
    </row>
    <row r="26" spans="2:5" hidden="1" x14ac:dyDescent="0.15">
      <c r="B26" s="158" t="s">
        <v>408</v>
      </c>
      <c r="C26" s="349">
        <f>IF(D25="mm",C25,C25*0.0254)</f>
        <v>1.2</v>
      </c>
      <c r="D26" s="159" t="s">
        <v>34</v>
      </c>
    </row>
    <row r="27" spans="2:5" hidden="1" x14ac:dyDescent="0.15">
      <c r="B27" s="158" t="s">
        <v>421</v>
      </c>
      <c r="C27" s="160">
        <f>C26/C24</f>
        <v>0.13333333333333333</v>
      </c>
      <c r="D27" s="159"/>
    </row>
    <row r="28" spans="2:5" ht="15" hidden="1" x14ac:dyDescent="0.25">
      <c r="B28" s="167" t="s">
        <v>422</v>
      </c>
      <c r="C28" s="347">
        <f>(0.00406832344757895+15.5588911/(1+(C23/0.0358077078721068)^0.865185989584669))+(0.973523646945684-1.1322846019223/(1+(C23/1.1356393338887)^1.06847511981245))*(1-EXP(-(10.3324121181807-56.0213701830392/(1+(C23/0.0139455036722347)^0.572123422421793))*C27))</f>
        <v>0.73500550624041561</v>
      </c>
      <c r="D28" s="161"/>
    </row>
    <row r="29" spans="2:5" ht="15" hidden="1" x14ac:dyDescent="0.25">
      <c r="B29" s="169" t="s">
        <v>423</v>
      </c>
      <c r="C29" s="347">
        <f>IF(C28&lt;0.1,0.1,IF(C28&gt;1,1,C28))</f>
        <v>0.73500550624041561</v>
      </c>
      <c r="D29" s="161"/>
    </row>
    <row r="30" spans="2:5" ht="15" x14ac:dyDescent="0.25">
      <c r="B30" s="169" t="s">
        <v>449</v>
      </c>
      <c r="C30" s="170">
        <f>C29*C10</f>
        <v>4.4100330374424939</v>
      </c>
      <c r="D30" s="161" t="s">
        <v>96</v>
      </c>
      <c r="E30" s="162"/>
    </row>
    <row r="31" spans="2:5" x14ac:dyDescent="0.15">
      <c r="B31" s="167" t="s">
        <v>435</v>
      </c>
      <c r="C31" s="170">
        <f>1000/(SQRT(2)*PI()*SQRT(C13*C10*C29))</f>
        <v>14.196352685462617</v>
      </c>
      <c r="D31" s="158" t="s">
        <v>0</v>
      </c>
    </row>
    <row r="32" spans="2:5" ht="16.5" hidden="1" x14ac:dyDescent="0.25">
      <c r="B32" s="165" t="s">
        <v>410</v>
      </c>
      <c r="C32" s="166">
        <f>0.7*10^-3</f>
        <v>6.9999999999999999E-4</v>
      </c>
      <c r="D32" s="2" t="s">
        <v>411</v>
      </c>
    </row>
    <row r="33" spans="2:5" ht="16.5" hidden="1" x14ac:dyDescent="0.25">
      <c r="B33" s="165" t="s">
        <v>412</v>
      </c>
      <c r="C33" s="166">
        <f>24.262*10^-12*C31*10^6+1.5*C31*10^6*C12*10^-12</f>
        <v>5.9996625719302117E-4</v>
      </c>
      <c r="D33" s="2" t="s">
        <v>411</v>
      </c>
    </row>
    <row r="34" spans="2:5" hidden="1" x14ac:dyDescent="0.15">
      <c r="B34" s="168" t="s">
        <v>1086</v>
      </c>
      <c r="C34" s="349">
        <f>1000/(17.1*C31*C30)</f>
        <v>0.93408256629239017</v>
      </c>
    </row>
    <row r="35" spans="2:5" ht="16.5" x14ac:dyDescent="0.25">
      <c r="B35" s="167" t="s">
        <v>1423</v>
      </c>
      <c r="C35" s="172">
        <f>C34+1000*(C33+C32)</f>
        <v>2.2340488234854115</v>
      </c>
      <c r="D35" s="158" t="s">
        <v>244</v>
      </c>
      <c r="E35" s="162" t="str">
        <f>IF(C34&gt;C8,"Isensor limited to "&amp;C8&amp;"mA; decrease Csensor or target is too close to sensor","")</f>
        <v/>
      </c>
    </row>
    <row r="36" spans="2:5" hidden="1" x14ac:dyDescent="0.15">
      <c r="B36" s="716"/>
      <c r="C36" s="717"/>
      <c r="D36" s="718"/>
      <c r="E36" s="162"/>
    </row>
    <row r="37" spans="2:5" ht="225" customHeight="1" x14ac:dyDescent="0.15">
      <c r="B37" s="719"/>
      <c r="C37" s="720"/>
      <c r="D37" s="721"/>
      <c r="E37" s="162"/>
    </row>
    <row r="38" spans="2:5" ht="14.25" x14ac:dyDescent="0.15">
      <c r="B38" s="416" t="s">
        <v>1428</v>
      </c>
      <c r="C38" s="720"/>
      <c r="D38" s="721"/>
      <c r="E38" s="162"/>
    </row>
    <row r="39" spans="2:5" x14ac:dyDescent="0.15">
      <c r="B39" s="169" t="s">
        <v>1429</v>
      </c>
      <c r="C39" s="172">
        <f>C23</f>
        <v>9</v>
      </c>
      <c r="D39" s="343" t="s">
        <v>34</v>
      </c>
      <c r="E39" s="162"/>
    </row>
    <row r="40" spans="2:5" x14ac:dyDescent="0.15">
      <c r="B40" s="169" t="s">
        <v>607</v>
      </c>
      <c r="C40" s="264">
        <v>1.4</v>
      </c>
      <c r="D40" s="45" t="str">
        <f>D23</f>
        <v>mm</v>
      </c>
      <c r="E40" s="162" t="str">
        <f>IF((C41/C24)&gt;0.5,"Switching distance farther than maximum of "&amp;ROUND(C23*0.5,2)&amp;D23&amp;" for coil size",IF(C41&lt;C26,"Desired switching distance is closer than closest target distance of "&amp;ROUND(C25,2)&amp;D25,""))</f>
        <v/>
      </c>
    </row>
    <row r="41" spans="2:5" ht="15" hidden="1" x14ac:dyDescent="0.25">
      <c r="B41" s="169" t="s">
        <v>434</v>
      </c>
      <c r="C41" s="349">
        <f>IF(D40="mm",C40,C40*0.0254)</f>
        <v>1.4</v>
      </c>
      <c r="D41" s="161" t="s">
        <v>34</v>
      </c>
    </row>
    <row r="42" spans="2:5" ht="15" hidden="1" x14ac:dyDescent="0.25">
      <c r="B42" s="169"/>
      <c r="C42" s="160">
        <f>C41/C24</f>
        <v>0.15555555555555556</v>
      </c>
      <c r="D42" s="161"/>
    </row>
    <row r="43" spans="2:5" ht="15" hidden="1" x14ac:dyDescent="0.25">
      <c r="B43" s="167" t="s">
        <v>422</v>
      </c>
      <c r="C43" s="347">
        <f xml:space="preserve"> 4.0204*C42^5 - 13.839*C42^4 + 18.502*C42^3 - 12.097*C42^2 + 3.9604*C42 + 0.4499</f>
        <v>0.83515049979671119</v>
      </c>
      <c r="D43" s="161"/>
    </row>
    <row r="44" spans="2:5" ht="15" hidden="1" x14ac:dyDescent="0.25">
      <c r="B44" s="169" t="s">
        <v>423</v>
      </c>
      <c r="C44" s="347">
        <f>IF(C43&lt;0.1,0.1,IF(C43&gt;1,1,C43))</f>
        <v>0.83515049979671119</v>
      </c>
      <c r="D44" s="161"/>
    </row>
    <row r="45" spans="2:5" ht="15" hidden="1" x14ac:dyDescent="0.25">
      <c r="B45" s="169" t="s">
        <v>458</v>
      </c>
      <c r="C45" s="160">
        <f>ROUND((((100*C41/C24)-48.143)/-2.8312),0)</f>
        <v>12</v>
      </c>
      <c r="D45" s="161"/>
    </row>
    <row r="46" spans="2:5" ht="15" hidden="1" x14ac:dyDescent="0.25">
      <c r="B46" s="169" t="s">
        <v>460</v>
      </c>
      <c r="C46" s="160">
        <f>IF((0.01*C24*(-2.8312*C45+48.143))&lt;C25,C45-1,C45)</f>
        <v>12</v>
      </c>
      <c r="D46" s="161"/>
    </row>
    <row r="47" spans="2:5" ht="15" x14ac:dyDescent="0.25">
      <c r="B47" s="169" t="s">
        <v>442</v>
      </c>
      <c r="C47" s="351">
        <f>IF(C46&lt;0,"Invalid",IF(C46&gt;15,"Invalid",C46))</f>
        <v>12</v>
      </c>
      <c r="D47" s="161"/>
    </row>
    <row r="48" spans="2:5" ht="15" hidden="1" x14ac:dyDescent="0.25">
      <c r="B48" s="169" t="s">
        <v>459</v>
      </c>
      <c r="C48" s="420">
        <f>0.01*C24*(-2.8312*C47+48.143)</f>
        <v>1.2751739999999998</v>
      </c>
      <c r="D48" s="161" t="s">
        <v>34</v>
      </c>
    </row>
    <row r="49" spans="2:5" x14ac:dyDescent="0.15">
      <c r="B49" s="169" t="s">
        <v>439</v>
      </c>
      <c r="C49" s="172">
        <f>IF(D49="mm",C48,C48/0.0254)</f>
        <v>1.2751739999999998</v>
      </c>
      <c r="D49" s="343" t="str">
        <f>D23</f>
        <v>mm</v>
      </c>
      <c r="E49" s="162" t="str">
        <f>IF(C41&lt;C26,"Switching point is closer than min target distance","")</f>
        <v/>
      </c>
    </row>
    <row r="50" spans="2:5" ht="15" hidden="1" x14ac:dyDescent="0.25">
      <c r="B50" s="169" t="s">
        <v>436</v>
      </c>
      <c r="C50" s="160">
        <f>0.01*C24*(-3.1434*C47+52.595)</f>
        <v>1.3386779999999994</v>
      </c>
      <c r="D50" s="161" t="s">
        <v>34</v>
      </c>
    </row>
    <row r="51" spans="2:5" x14ac:dyDescent="0.15">
      <c r="B51" s="169" t="s">
        <v>440</v>
      </c>
      <c r="C51" s="172">
        <f>IF(D51="mm",C50,C50/0.0254)</f>
        <v>1.3386779999999994</v>
      </c>
      <c r="D51" s="343" t="str">
        <f>D23</f>
        <v>mm</v>
      </c>
    </row>
    <row r="52" spans="2:5" hidden="1" x14ac:dyDescent="0.15">
      <c r="B52" s="169"/>
      <c r="C52" s="160">
        <f>C50/C23</f>
        <v>0.14874199999999993</v>
      </c>
      <c r="D52" s="211"/>
    </row>
    <row r="53" spans="2:5" hidden="1" x14ac:dyDescent="0.15">
      <c r="B53" s="167" t="s">
        <v>422</v>
      </c>
      <c r="C53" s="160">
        <f>(0.00406832344757895+15.5588911/(1+(C23/0.0358077078721068)^0.865185989584669))+(0.973523646945684-1.1322846019223/(1+(C23/1.1356393338887)^1.06847511981245))*(1-EXP(-(10.3324121181807-56.0213701830392/(1+(C23/0.0139455036722347)^0.572123422421793))*C52))</f>
        <v>0.76863349624801491</v>
      </c>
      <c r="D53" s="211"/>
    </row>
    <row r="54" spans="2:5" hidden="1" x14ac:dyDescent="0.15">
      <c r="B54" s="169" t="s">
        <v>423</v>
      </c>
      <c r="C54" s="160">
        <f>IF(C53&lt;0.1,0.1,IF(C53&gt;1,1,C53))</f>
        <v>0.76863349624801491</v>
      </c>
      <c r="D54" s="211"/>
    </row>
    <row r="55" spans="2:5" hidden="1" x14ac:dyDescent="0.15">
      <c r="B55" s="169"/>
      <c r="C55" s="349"/>
      <c r="D55" s="211"/>
    </row>
    <row r="56" spans="2:5" ht="15" hidden="1" x14ac:dyDescent="0.25">
      <c r="B56" s="169" t="s">
        <v>426</v>
      </c>
      <c r="C56" s="174">
        <f>C54*C10</f>
        <v>4.6118009774880893</v>
      </c>
      <c r="D56" s="161" t="s">
        <v>96</v>
      </c>
    </row>
    <row r="57" spans="2:5" hidden="1" x14ac:dyDescent="0.15">
      <c r="B57" s="167" t="s">
        <v>435</v>
      </c>
      <c r="C57" s="174">
        <f>1000/(SQRT(2)*PI()*SQRT(C13*C10*C29))</f>
        <v>14.196352685462617</v>
      </c>
      <c r="D57" s="158" t="s">
        <v>0</v>
      </c>
      <c r="E57" s="162"/>
    </row>
    <row r="58" spans="2:5" hidden="1" x14ac:dyDescent="0.15">
      <c r="B58" s="167" t="s">
        <v>739</v>
      </c>
      <c r="C58" s="174">
        <f>IF(C57&lt;0.3,0.3,IF(C57&gt;19,19,C57))</f>
        <v>14.196352685462617</v>
      </c>
      <c r="D58" s="158"/>
      <c r="E58" s="162"/>
    </row>
    <row r="59" spans="2:5" ht="15.75" hidden="1" x14ac:dyDescent="0.25">
      <c r="B59" s="173" t="s">
        <v>420</v>
      </c>
      <c r="C59" s="174">
        <f>1000/(4.83*C58*C8)</f>
        <v>2.430663495773965</v>
      </c>
      <c r="D59" s="161" t="s">
        <v>96</v>
      </c>
    </row>
    <row r="61" spans="2:5" ht="222" customHeight="1" x14ac:dyDescent="0.15"/>
    <row r="62" spans="2:5" hidden="1" x14ac:dyDescent="0.15"/>
    <row r="64" spans="2:5" ht="14.25" x14ac:dyDescent="0.15">
      <c r="B64" s="22" t="s">
        <v>1080</v>
      </c>
      <c r="C64" s="20" t="s">
        <v>1087</v>
      </c>
      <c r="D64"/>
    </row>
    <row r="65" spans="2:36" x14ac:dyDescent="0.15">
      <c r="B65" s="629" t="s">
        <v>1081</v>
      </c>
      <c r="C65" s="630">
        <v>220</v>
      </c>
      <c r="D65" s="631" t="s">
        <v>1082</v>
      </c>
    </row>
    <row r="66" spans="2:36" x14ac:dyDescent="0.15">
      <c r="B66" s="629" t="s">
        <v>201</v>
      </c>
      <c r="C66" s="632">
        <v>2</v>
      </c>
      <c r="D66" s="631" t="s">
        <v>405</v>
      </c>
      <c r="E66" s="162" t="str">
        <f>IF(C66&gt;(C16*1000),"This exceeds the continuous sample rate of the LDC0851","")</f>
        <v/>
      </c>
    </row>
    <row r="67" spans="2:36" x14ac:dyDescent="0.15">
      <c r="B67" s="629" t="s">
        <v>1426</v>
      </c>
      <c r="C67" s="725">
        <f>C14</f>
        <v>12.170882689518223</v>
      </c>
      <c r="D67" s="631" t="s">
        <v>0</v>
      </c>
    </row>
    <row r="68" spans="2:36" ht="15" x14ac:dyDescent="0.25">
      <c r="B68" s="629" t="s">
        <v>278</v>
      </c>
      <c r="C68" s="725">
        <f>C10</f>
        <v>6</v>
      </c>
      <c r="D68" s="631" t="s">
        <v>1425</v>
      </c>
    </row>
    <row r="69" spans="2:36" x14ac:dyDescent="0.15">
      <c r="B69" s="629" t="s">
        <v>1083</v>
      </c>
      <c r="C69" s="726">
        <f>C12</f>
        <v>12</v>
      </c>
      <c r="D69" s="631" t="s">
        <v>27</v>
      </c>
    </row>
    <row r="70" spans="2:36" x14ac:dyDescent="0.15">
      <c r="B70" s="633" t="s">
        <v>1084</v>
      </c>
      <c r="C70" s="634"/>
      <c r="D70" s="635"/>
      <c r="F70" s="175"/>
      <c r="G70" s="175"/>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5"/>
      <c r="AI70" s="175"/>
      <c r="AJ70" s="175"/>
    </row>
    <row r="71" spans="2:36" ht="16.5" hidden="1" x14ac:dyDescent="0.25">
      <c r="B71" s="11" t="s">
        <v>1085</v>
      </c>
      <c r="C71" s="637">
        <f>1/(17.1*C68*C67)*1000</f>
        <v>0.80081198238407525</v>
      </c>
      <c r="D71" s="631" t="s">
        <v>244</v>
      </c>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5"/>
      <c r="AI71" s="175"/>
      <c r="AJ71" s="175"/>
    </row>
    <row r="72" spans="2:36" ht="16.5" hidden="1" x14ac:dyDescent="0.25">
      <c r="B72" s="11" t="s">
        <v>412</v>
      </c>
      <c r="C72" s="637">
        <f>(24.262*10^-12*C67*10^6+1.5*C67*10^6*C69*10^-12)*1000</f>
        <v>0.51436584422441911</v>
      </c>
      <c r="D72" s="631" t="s">
        <v>244</v>
      </c>
      <c r="F72" s="175"/>
      <c r="G72" s="175"/>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5"/>
      <c r="AI72" s="175"/>
      <c r="AJ72" s="175"/>
    </row>
    <row r="73" spans="2:36" ht="16.5" hidden="1" x14ac:dyDescent="0.25">
      <c r="B73" s="11" t="s">
        <v>410</v>
      </c>
      <c r="C73" s="637">
        <f>0.7</f>
        <v>0.7</v>
      </c>
      <c r="D73" s="631" t="s">
        <v>244</v>
      </c>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row>
    <row r="74" spans="2:36" ht="16.5" hidden="1" x14ac:dyDescent="0.25">
      <c r="B74" s="11" t="s">
        <v>413</v>
      </c>
      <c r="C74" s="637">
        <f>C71+C72+C73</f>
        <v>2.0151778266084941</v>
      </c>
      <c r="D74" s="631" t="s">
        <v>244</v>
      </c>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row>
    <row r="75" spans="2:36" ht="16.5" hidden="1" x14ac:dyDescent="0.25">
      <c r="B75" s="11" t="s">
        <v>414</v>
      </c>
      <c r="C75" s="637">
        <f>0.00014</f>
        <v>1.3999999999999999E-4</v>
      </c>
      <c r="D75" s="631" t="s">
        <v>244</v>
      </c>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row>
    <row r="76" spans="2:36" ht="16.5" hidden="1" x14ac:dyDescent="0.25">
      <c r="B76" s="11" t="s">
        <v>415</v>
      </c>
      <c r="C76" s="495">
        <f>450*10^-6</f>
        <v>4.4999999999999999E-4</v>
      </c>
      <c r="D76" s="11" t="s">
        <v>404</v>
      </c>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row>
    <row r="77" spans="2:36" ht="16.5" hidden="1" x14ac:dyDescent="0.25">
      <c r="B77" s="11" t="s">
        <v>416</v>
      </c>
      <c r="C77" s="495">
        <f>1/(C67*10^6*231*10^-6)</f>
        <v>3.5568532204591398E-4</v>
      </c>
      <c r="D77" s="11" t="s">
        <v>404</v>
      </c>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row>
    <row r="78" spans="2:36" ht="16.5" hidden="1" x14ac:dyDescent="0.25">
      <c r="B78" s="11" t="s">
        <v>418</v>
      </c>
      <c r="C78" s="113">
        <f>C66*C76*(C74/2)</f>
        <v>9.0683002197382236E-4</v>
      </c>
      <c r="D78" s="11" t="s">
        <v>244</v>
      </c>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row>
    <row r="79" spans="2:36" ht="16.5" hidden="1" x14ac:dyDescent="0.25">
      <c r="B79" s="11" t="s">
        <v>417</v>
      </c>
      <c r="C79" s="113">
        <f>C66*(C81*0.001-C76)*C74</f>
        <v>3.5064094182987796E-3</v>
      </c>
      <c r="D79" s="11" t="s">
        <v>244</v>
      </c>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row>
    <row r="80" spans="2:36" ht="16.5" hidden="1" x14ac:dyDescent="0.25">
      <c r="B80" s="11" t="s">
        <v>419</v>
      </c>
      <c r="C80" s="113">
        <f>(1-C66*0.001*C81)*C75</f>
        <v>1.3963039999999999E-4</v>
      </c>
      <c r="D80" s="11" t="s">
        <v>244</v>
      </c>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row>
    <row r="81" spans="2:48" ht="15" x14ac:dyDescent="0.25">
      <c r="B81" s="640" t="s">
        <v>1442</v>
      </c>
      <c r="C81" s="46">
        <v>1.32</v>
      </c>
      <c r="D81" s="161" t="s">
        <v>229</v>
      </c>
      <c r="E81" s="162" t="str">
        <f>IF(C81&lt;C82,"This is below the minimum En pulse duration.","")</f>
        <v/>
      </c>
      <c r="F81" s="175"/>
      <c r="G81" s="177" t="str">
        <f>CONCATENATE("Sample Rate = ",C66," sps")</f>
        <v>Sample Rate = 2 sps</v>
      </c>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row>
    <row r="82" spans="2:48" ht="15" x14ac:dyDescent="0.25">
      <c r="B82" s="640" t="s">
        <v>1443</v>
      </c>
      <c r="C82" s="715">
        <f>0.45+2/C16</f>
        <v>1.1613706440918281</v>
      </c>
      <c r="D82" s="639" t="s">
        <v>229</v>
      </c>
      <c r="F82" s="162"/>
      <c r="G82" s="162" t="str">
        <f>CONCATENATE("CBOARD = ",C69,"pF")</f>
        <v>CBOARD = 12pF</v>
      </c>
      <c r="H82" s="162"/>
      <c r="I82" s="162"/>
      <c r="J82" s="162"/>
      <c r="K82" s="162"/>
      <c r="L82" s="162"/>
      <c r="M82" s="162"/>
      <c r="N82" s="162"/>
      <c r="O82" s="162"/>
      <c r="P82" s="162"/>
      <c r="Q82" s="162"/>
      <c r="R82" s="162"/>
      <c r="S82" s="162"/>
      <c r="T82" s="162"/>
      <c r="U82" s="162"/>
      <c r="V82" s="162"/>
      <c r="W82" s="162"/>
      <c r="X82" s="162"/>
      <c r="Y82" s="162"/>
      <c r="Z82" s="162"/>
      <c r="AA82" s="162"/>
      <c r="AB82" s="177"/>
      <c r="AC82" s="177"/>
      <c r="AD82" s="177"/>
      <c r="AE82" s="177"/>
      <c r="AF82" s="177"/>
      <c r="AG82" s="177"/>
      <c r="AH82" s="177"/>
      <c r="AI82" s="177"/>
      <c r="AJ82" s="177"/>
    </row>
    <row r="83" spans="2:48" ht="15" x14ac:dyDescent="0.25">
      <c r="B83" s="638" t="s">
        <v>1444</v>
      </c>
      <c r="C83" s="714">
        <f>1000*(C78+C79+C80)</f>
        <v>4.552869840272602</v>
      </c>
      <c r="D83" s="712" t="s">
        <v>1427</v>
      </c>
      <c r="F83" s="162"/>
      <c r="G83" s="85" t="str">
        <f>CONCATENATE("Battery Capacity = ",C65," mAh")</f>
        <v>Battery Capacity = 220 mAh</v>
      </c>
      <c r="H83" s="162"/>
      <c r="I83" s="162"/>
      <c r="J83" s="162"/>
      <c r="K83" s="162"/>
      <c r="L83" s="162"/>
      <c r="M83" s="162"/>
      <c r="N83" s="162"/>
      <c r="O83" s="162"/>
      <c r="P83" s="162"/>
      <c r="Q83" s="162"/>
      <c r="R83" s="162"/>
      <c r="S83" s="162"/>
      <c r="T83" s="162"/>
      <c r="U83" s="162"/>
      <c r="V83" s="162"/>
      <c r="W83" s="162"/>
      <c r="X83" s="162"/>
      <c r="Y83" s="162"/>
      <c r="Z83" s="162"/>
      <c r="AA83" s="162"/>
      <c r="AB83" s="177"/>
      <c r="AC83" s="177"/>
      <c r="AD83" s="177"/>
      <c r="AE83" s="177"/>
      <c r="AF83" s="177"/>
      <c r="AG83" s="177"/>
      <c r="AH83" s="177"/>
      <c r="AI83" s="177"/>
      <c r="AJ83" s="177"/>
    </row>
    <row r="84" spans="2:48" x14ac:dyDescent="0.15">
      <c r="B84" s="636" t="s">
        <v>1090</v>
      </c>
      <c r="C84" s="711">
        <f>ROUND(C65/(0.001*C83)/24/365,1)</f>
        <v>5.5</v>
      </c>
      <c r="D84" s="713" t="s">
        <v>409</v>
      </c>
      <c r="F84" s="162"/>
      <c r="G84" s="162" t="s">
        <v>1432</v>
      </c>
      <c r="H84" s="162"/>
      <c r="I84" s="162"/>
      <c r="J84" s="162"/>
      <c r="K84" s="162"/>
      <c r="L84" s="162"/>
      <c r="M84" s="162"/>
      <c r="N84" s="162"/>
      <c r="O84" s="162"/>
      <c r="P84" s="162"/>
      <c r="Q84" s="162"/>
      <c r="R84" s="162"/>
      <c r="S84" s="162"/>
      <c r="T84" s="162"/>
      <c r="U84" s="162"/>
      <c r="V84" s="162"/>
      <c r="W84" s="162"/>
      <c r="X84" s="162"/>
      <c r="Y84" s="162"/>
      <c r="Z84" s="162"/>
      <c r="AA84" s="162"/>
      <c r="AB84" s="177"/>
      <c r="AC84" s="177"/>
      <c r="AD84" s="177"/>
      <c r="AE84" s="177"/>
      <c r="AF84" s="177"/>
      <c r="AG84" s="177"/>
      <c r="AH84" s="177"/>
      <c r="AI84" s="177"/>
      <c r="AJ84" s="177"/>
    </row>
    <row r="85" spans="2:48" x14ac:dyDescent="0.15">
      <c r="B85" s="722"/>
      <c r="C85" s="724"/>
      <c r="D85" s="723"/>
      <c r="F85" s="162"/>
      <c r="G85" s="162"/>
      <c r="H85" s="162"/>
      <c r="I85" s="162"/>
      <c r="J85" s="162"/>
      <c r="K85" s="162"/>
      <c r="L85" s="162"/>
      <c r="M85" s="162"/>
      <c r="N85" s="162"/>
      <c r="O85" s="162"/>
      <c r="P85" s="162"/>
      <c r="Q85" s="162"/>
      <c r="R85" s="162"/>
      <c r="S85" s="162"/>
      <c r="T85" s="162"/>
      <c r="U85" s="162"/>
      <c r="V85" s="162"/>
      <c r="W85" s="162"/>
      <c r="X85" s="162"/>
      <c r="Y85" s="162"/>
      <c r="Z85" s="162"/>
      <c r="AA85" s="727"/>
      <c r="AB85" s="727"/>
      <c r="AC85" s="727"/>
      <c r="AD85" s="727"/>
      <c r="AE85" s="727"/>
      <c r="AF85" s="727"/>
      <c r="AG85" s="727"/>
      <c r="AH85" s="727"/>
      <c r="AI85" s="727"/>
      <c r="AJ85" s="727"/>
      <c r="AK85" s="727"/>
      <c r="AL85" s="727"/>
      <c r="AM85" s="727"/>
      <c r="AN85" s="727"/>
      <c r="AO85" s="727"/>
      <c r="AP85" s="727"/>
      <c r="AQ85" s="727"/>
      <c r="AR85" s="464"/>
      <c r="AS85" s="464"/>
      <c r="AT85" s="464"/>
      <c r="AU85" s="464"/>
      <c r="AV85" s="61"/>
    </row>
    <row r="86" spans="2:48" x14ac:dyDescent="0.15">
      <c r="B86" s="722"/>
      <c r="C86" s="724"/>
      <c r="D86" s="723"/>
      <c r="F86" s="162"/>
      <c r="G86" s="162" t="s">
        <v>313</v>
      </c>
      <c r="H86" s="727">
        <f>ROUND($C$68*0.5,1)</f>
        <v>3</v>
      </c>
      <c r="I86" s="727" t="str">
        <f>CONCATENATE(H86,"µH")</f>
        <v>3µH</v>
      </c>
      <c r="J86" s="727"/>
      <c r="K86" s="727"/>
      <c r="L86" s="727"/>
      <c r="M86" s="727"/>
      <c r="N86" s="727"/>
      <c r="O86" s="727"/>
      <c r="P86" s="727"/>
      <c r="Q86" s="162" t="s">
        <v>313</v>
      </c>
      <c r="R86" s="727">
        <f>ROUND($C$68*1,1)</f>
        <v>6</v>
      </c>
      <c r="S86" s="727" t="str">
        <f>CONCATENATE(R86,"µH")</f>
        <v>6µH</v>
      </c>
      <c r="T86" s="727"/>
      <c r="U86" s="727"/>
      <c r="V86" s="727"/>
      <c r="W86" s="727"/>
      <c r="X86" s="727"/>
      <c r="Y86" s="727"/>
      <c r="Z86" s="727"/>
      <c r="AA86" s="162" t="s">
        <v>313</v>
      </c>
      <c r="AB86" s="727">
        <f>ROUND($C$68*2,1)</f>
        <v>12</v>
      </c>
      <c r="AC86" s="727" t="str">
        <f>CONCATENATE(AB86,"µH")</f>
        <v>12µH</v>
      </c>
      <c r="AD86" s="727"/>
      <c r="AE86" s="727"/>
      <c r="AF86" s="727"/>
      <c r="AG86" s="727"/>
      <c r="AH86" s="727"/>
      <c r="AI86" s="727"/>
      <c r="AJ86" s="727"/>
      <c r="AK86" s="727"/>
      <c r="AL86" s="727"/>
      <c r="AM86" s="727"/>
      <c r="AN86" s="727"/>
      <c r="AO86" s="727"/>
      <c r="AP86" s="727"/>
      <c r="AQ86" s="727"/>
      <c r="AR86" s="464"/>
      <c r="AS86" s="464"/>
      <c r="AT86" s="464"/>
      <c r="AU86" s="464"/>
      <c r="AV86" s="464"/>
    </row>
    <row r="87" spans="2:48" x14ac:dyDescent="0.15">
      <c r="B87" s="722"/>
      <c r="C87" s="724"/>
      <c r="D87" s="723"/>
      <c r="E87" s="162"/>
      <c r="F87" s="162"/>
      <c r="G87" s="162" t="s">
        <v>1431</v>
      </c>
      <c r="H87" s="162" t="s">
        <v>1441</v>
      </c>
      <c r="I87" s="727" t="s">
        <v>1433</v>
      </c>
      <c r="J87" s="727" t="s">
        <v>1434</v>
      </c>
      <c r="K87" s="727" t="s">
        <v>1435</v>
      </c>
      <c r="L87" s="727" t="s">
        <v>1436</v>
      </c>
      <c r="M87" s="727" t="s">
        <v>1437</v>
      </c>
      <c r="N87" s="727" t="s">
        <v>1438</v>
      </c>
      <c r="O87" s="85" t="s">
        <v>1439</v>
      </c>
      <c r="P87" s="727" t="s">
        <v>1440</v>
      </c>
      <c r="Q87" s="162" t="s">
        <v>1431</v>
      </c>
      <c r="R87" s="162" t="s">
        <v>1441</v>
      </c>
      <c r="S87" s="727" t="s">
        <v>1433</v>
      </c>
      <c r="T87" s="727" t="s">
        <v>1434</v>
      </c>
      <c r="U87" s="727" t="s">
        <v>1435</v>
      </c>
      <c r="V87" s="727" t="s">
        <v>1436</v>
      </c>
      <c r="W87" s="727" t="s">
        <v>1437</v>
      </c>
      <c r="X87" s="727" t="s">
        <v>1438</v>
      </c>
      <c r="Y87" s="85" t="s">
        <v>1439</v>
      </c>
      <c r="Z87" s="727" t="s">
        <v>1440</v>
      </c>
      <c r="AA87" s="162" t="s">
        <v>1431</v>
      </c>
      <c r="AB87" s="162" t="s">
        <v>1441</v>
      </c>
      <c r="AC87" s="727" t="s">
        <v>1433</v>
      </c>
      <c r="AD87" s="727" t="s">
        <v>1434</v>
      </c>
      <c r="AE87" s="727" t="s">
        <v>1435</v>
      </c>
      <c r="AF87" s="727" t="s">
        <v>1436</v>
      </c>
      <c r="AG87" s="727" t="s">
        <v>1437</v>
      </c>
      <c r="AH87" s="727" t="s">
        <v>1438</v>
      </c>
      <c r="AI87" s="85" t="s">
        <v>1439</v>
      </c>
      <c r="AJ87" s="727" t="s">
        <v>1440</v>
      </c>
      <c r="AK87" s="727"/>
      <c r="AL87" s="727"/>
      <c r="AM87" s="727"/>
      <c r="AN87" s="727"/>
      <c r="AO87" s="727"/>
      <c r="AP87" s="727"/>
      <c r="AQ87" s="727"/>
      <c r="AR87" s="464"/>
      <c r="AS87" s="464"/>
      <c r="AT87" s="464"/>
      <c r="AU87" s="464"/>
      <c r="AV87" s="464"/>
    </row>
    <row r="88" spans="2:48" x14ac:dyDescent="0.15">
      <c r="B88" s="722"/>
      <c r="C88" s="724"/>
      <c r="D88" s="723"/>
      <c r="E88" s="162"/>
      <c r="F88" s="727"/>
      <c r="G88" s="727">
        <f>IF((SQRT(2)/(2*PI()*SQRT(H$86*33))*1000)&lt;20,(SQRT(2)/(2*PI()*SQRT(H$86*33))*1000),20)</f>
        <v>20</v>
      </c>
      <c r="H88" s="85">
        <f t="shared" ref="H88:H108" si="0">ROUND($C$65/(P88*0.001)/24/365,1)</f>
        <v>7.3</v>
      </c>
      <c r="I88" s="728">
        <f t="shared" ref="I88:I108" si="1">1/(G88*10^6*231*10^-6)</f>
        <v>2.1645021645021645E-4</v>
      </c>
      <c r="J88" s="727">
        <f t="shared" ref="J88:J108" si="2">(24.262*10^-12*G88*10^6+1.5*G88*10^6*$C$69*10^-12)*1000</f>
        <v>0.84523999999999988</v>
      </c>
      <c r="K88" s="727">
        <f t="shared" ref="K88:K108" si="3">1/(17.1*H$86*G88)*1000</f>
        <v>0.97465886939571145</v>
      </c>
      <c r="L88" s="728">
        <f>J88+$C$73+K88</f>
        <v>2.5198988693957114</v>
      </c>
      <c r="M88" s="727">
        <f t="shared" ref="M88:M108" si="4">$C$66*$C$76*(L88/2)</f>
        <v>1.1339544912280701E-3</v>
      </c>
      <c r="N88" s="727">
        <f t="shared" ref="N88:N108" si="5">$C$66*(I88*2)*L88</f>
        <v>2.1817306228534296E-3</v>
      </c>
      <c r="O88" s="727">
        <f t="shared" ref="O88:O108" si="6">(1-$C$66*($C$76+2*I88))*$C$75</f>
        <v>1.3975278787878786E-4</v>
      </c>
      <c r="P88" s="727">
        <f t="shared" ref="P88:P108" si="7">1000*(M88+N88+$O88)</f>
        <v>3.4554379019602877</v>
      </c>
      <c r="Q88" s="727">
        <f>IF((SQRT(2)/(2*PI()*SQRT(R$86*33))*1000)&lt;20,(SQRT(2)/(2*PI()*SQRT(R$86*33))*1000),20)</f>
        <v>15.995673629278274</v>
      </c>
      <c r="R88" s="85">
        <f t="shared" ref="R88:R108" si="8">ROUND($C$65/(Z88*0.001)/24/365,1)</f>
        <v>7.9</v>
      </c>
      <c r="S88" s="728">
        <f t="shared" ref="S88:S108" si="9">1/(Q88*10^6*231*10^-6)</f>
        <v>2.7063595002842369E-4</v>
      </c>
      <c r="T88" s="727">
        <f t="shared" ref="T88:T108" si="10">(24.262*10^-12*Q88*10^6+1.5*Q88*10^6*$C$69*10^-12)*1000</f>
        <v>0.67600915892055846</v>
      </c>
      <c r="U88" s="727">
        <f t="shared" ref="U88:U108" si="11">1/(17.1*R$86*Q88)*1000</f>
        <v>0.60932655415756198</v>
      </c>
      <c r="V88" s="728">
        <f>T88+$C$73+U88</f>
        <v>1.9853357130781202</v>
      </c>
      <c r="W88" s="727">
        <f t="shared" ref="W88:W108" si="12">$C$66*$C$76*(V88/2)</f>
        <v>8.9340107088515402E-4</v>
      </c>
      <c r="X88" s="727">
        <f t="shared" ref="X88:X108" si="13">$C$66*(S88*2)*V88</f>
        <v>2.1492128673370201E-3</v>
      </c>
      <c r="Y88" s="727">
        <f t="shared" ref="Y88:Y108" si="14">(1-$C$66*($C$76+2*S88))*$C$75</f>
        <v>1.3972244386798409E-4</v>
      </c>
      <c r="Z88" s="727">
        <f t="shared" ref="Z88:Z108" si="15">1000*(W88+X88+$O88)</f>
        <v>3.1823667261009616</v>
      </c>
      <c r="AA88" s="727">
        <f>IF((SQRT(2)/(2*PI()*SQRT(AB$86*33))*1000)&lt;20,(SQRT(2)/(2*PI()*SQRT(AB$86*33))*1000),20)</f>
        <v>11.310649292909501</v>
      </c>
      <c r="AB88" s="85">
        <f t="shared" ref="AB88:AB108" si="16">ROUND($C$65/(AJ88*0.001)/24/365,1)</f>
        <v>7.5</v>
      </c>
      <c r="AC88" s="728">
        <f t="shared" ref="AC88:AC108" si="17">1/(AA88*10^6*231*10^-6)</f>
        <v>3.82737030995924E-4</v>
      </c>
      <c r="AD88" s="727">
        <f t="shared" ref="AD88:AD108" si="18">(24.262*10^-12*AA88*10^6+1.5*AA88*10^6*$C$69*10^-12)*1000</f>
        <v>0.47801066041694129</v>
      </c>
      <c r="AE88" s="727">
        <f t="shared" ref="AE88:AE108" si="19">1/(17.1*AB$86*AA88)*1000</f>
        <v>0.43085893840184419</v>
      </c>
      <c r="AF88" s="728">
        <f>AD88+$C$73+AE88</f>
        <v>1.6088695988187853</v>
      </c>
      <c r="AG88" s="727">
        <f t="shared" ref="AG88:AG108" si="20">$C$66*$C$76*(AF88/2)</f>
        <v>7.2399131946845343E-4</v>
      </c>
      <c r="AH88" s="727">
        <f t="shared" ref="AH88:AH108" si="21">$C$66*(AC88*2)*AF88</f>
        <v>2.463095894046021E-3</v>
      </c>
      <c r="AI88" s="727">
        <f t="shared" ref="AI88:AI108" si="22">(1-$C$66*($C$76+2*AC88))*$C$75</f>
        <v>1.3965966726264226E-4</v>
      </c>
      <c r="AJ88" s="727">
        <f t="shared" ref="AJ88:AJ108" si="23">1000*(AG88+AH88+$O88)</f>
        <v>3.3268400013932622</v>
      </c>
      <c r="AK88" s="727"/>
      <c r="AL88" s="727"/>
      <c r="AM88" s="727"/>
      <c r="AN88" s="727"/>
      <c r="AO88" s="727"/>
      <c r="AP88" s="727"/>
      <c r="AQ88" s="727"/>
      <c r="AR88" s="464"/>
      <c r="AS88" s="61"/>
      <c r="AT88" s="61"/>
      <c r="AU88" s="61"/>
      <c r="AV88" s="61"/>
    </row>
    <row r="89" spans="2:48" x14ac:dyDescent="0.15">
      <c r="B89" s="722"/>
      <c r="C89" s="724"/>
      <c r="D89" s="723"/>
      <c r="E89" s="162"/>
      <c r="F89" s="727"/>
      <c r="G89" s="727">
        <f>G88-1</f>
        <v>19</v>
      </c>
      <c r="H89" s="85">
        <f t="shared" si="0"/>
        <v>7</v>
      </c>
      <c r="I89" s="728">
        <f t="shared" si="1"/>
        <v>2.2784233310549099E-4</v>
      </c>
      <c r="J89" s="727">
        <f t="shared" si="2"/>
        <v>0.80297799999999997</v>
      </c>
      <c r="K89" s="727">
        <f t="shared" si="3"/>
        <v>1.0259567046270648</v>
      </c>
      <c r="L89" s="728">
        <f t="shared" ref="L89:L108" si="24">J89+$C$73+K89</f>
        <v>2.5289347046270647</v>
      </c>
      <c r="M89" s="727">
        <f t="shared" si="4"/>
        <v>1.1380206170821792E-3</v>
      </c>
      <c r="N89" s="727">
        <f t="shared" si="5"/>
        <v>2.3047935334947044E-3</v>
      </c>
      <c r="O89" s="727">
        <f t="shared" si="6"/>
        <v>1.3974640829346092E-4</v>
      </c>
      <c r="P89" s="727">
        <f t="shared" si="7"/>
        <v>3.5825605588703442</v>
      </c>
      <c r="Q89" s="727">
        <f>Q88-1</f>
        <v>14.995673629278274</v>
      </c>
      <c r="R89" s="85">
        <f t="shared" si="8"/>
        <v>7.6</v>
      </c>
      <c r="S89" s="728">
        <f t="shared" si="9"/>
        <v>2.8868355207145699E-4</v>
      </c>
      <c r="T89" s="727">
        <f t="shared" si="10"/>
        <v>0.63374715892055844</v>
      </c>
      <c r="U89" s="727">
        <f t="shared" si="11"/>
        <v>0.64996004413749076</v>
      </c>
      <c r="V89" s="728">
        <f t="shared" ref="V89:V108" si="25">T89+$C$73+U89</f>
        <v>1.9837072030580489</v>
      </c>
      <c r="W89" s="727">
        <f t="shared" si="12"/>
        <v>8.92668241376122E-4</v>
      </c>
      <c r="X89" s="727">
        <f t="shared" si="13"/>
        <v>2.2906545665941302E-3</v>
      </c>
      <c r="Y89" s="727">
        <f t="shared" si="14"/>
        <v>1.3971233721083996E-4</v>
      </c>
      <c r="Z89" s="727">
        <f t="shared" si="15"/>
        <v>3.323069216263713</v>
      </c>
      <c r="AA89" s="727">
        <f>AA88-1</f>
        <v>10.310649292909501</v>
      </c>
      <c r="AB89" s="85">
        <f t="shared" si="16"/>
        <v>7</v>
      </c>
      <c r="AC89" s="728">
        <f t="shared" si="17"/>
        <v>4.1985758665861415E-4</v>
      </c>
      <c r="AD89" s="727">
        <f t="shared" si="18"/>
        <v>0.43574866041694132</v>
      </c>
      <c r="AE89" s="727">
        <f t="shared" si="19"/>
        <v>0.47264669843148077</v>
      </c>
      <c r="AF89" s="728">
        <f t="shared" ref="AF89:AF108" si="26">AD89+$C$73+AE89</f>
        <v>1.6083953588484221</v>
      </c>
      <c r="AG89" s="727">
        <f t="shared" si="20"/>
        <v>7.2377791148178989E-4</v>
      </c>
      <c r="AH89" s="727">
        <f t="shared" si="21"/>
        <v>2.7011879750360565E-3</v>
      </c>
      <c r="AI89" s="727">
        <f t="shared" si="22"/>
        <v>1.3963887975147117E-4</v>
      </c>
      <c r="AJ89" s="727">
        <f t="shared" si="23"/>
        <v>3.564712294811307</v>
      </c>
      <c r="AK89" s="727"/>
      <c r="AL89" s="727"/>
      <c r="AM89" s="727"/>
      <c r="AN89" s="727"/>
      <c r="AO89" s="727"/>
      <c r="AP89" s="727"/>
      <c r="AQ89" s="727"/>
      <c r="AR89" s="464"/>
      <c r="AS89" s="61"/>
      <c r="AT89" s="61"/>
      <c r="AU89" s="61"/>
      <c r="AV89" s="61"/>
    </row>
    <row r="90" spans="2:48" x14ac:dyDescent="0.15">
      <c r="B90" s="722"/>
      <c r="C90" s="724"/>
      <c r="D90" s="723"/>
      <c r="E90" s="162"/>
      <c r="F90" s="727"/>
      <c r="G90" s="727">
        <f t="shared" ref="G90:G108" si="27">IF(G89=G88,G89,IF(1000/(4.83*(G88-1)*$C$8)&gt;H$86,G89,IF(G89-1&gt;0.3,G89-1,G89)))</f>
        <v>18</v>
      </c>
      <c r="H90" s="85">
        <f t="shared" si="0"/>
        <v>6.7</v>
      </c>
      <c r="I90" s="728">
        <f t="shared" si="1"/>
        <v>2.4050024050024051E-4</v>
      </c>
      <c r="J90" s="727">
        <f t="shared" si="2"/>
        <v>0.76071600000000006</v>
      </c>
      <c r="K90" s="727">
        <f t="shared" si="3"/>
        <v>1.0829542993285681</v>
      </c>
      <c r="L90" s="728">
        <f t="shared" si="24"/>
        <v>2.5436702993285683</v>
      </c>
      <c r="M90" s="727">
        <f t="shared" si="4"/>
        <v>1.1446516346978557E-3</v>
      </c>
      <c r="N90" s="727">
        <f t="shared" si="5"/>
        <v>2.4470132749673575E-3</v>
      </c>
      <c r="O90" s="727">
        <f t="shared" si="6"/>
        <v>1.3973931986531986E-4</v>
      </c>
      <c r="P90" s="727">
        <f t="shared" si="7"/>
        <v>3.7314042295305332</v>
      </c>
      <c r="Q90" s="727">
        <f t="shared" ref="Q90:Q108" si="28">IF(Q89=Q88,Q89,IF(1000/(4.83*(Q88-1)*$C$8)&gt;R$86,Q89,IF(Q89-1&gt;0.3,Q89-1,Q89)))</f>
        <v>13.995673629278274</v>
      </c>
      <c r="R90" s="85">
        <f t="shared" si="8"/>
        <v>7.2</v>
      </c>
      <c r="S90" s="728">
        <f t="shared" si="9"/>
        <v>3.0931017996506155E-4</v>
      </c>
      <c r="T90" s="727">
        <f t="shared" si="10"/>
        <v>0.59148515892055842</v>
      </c>
      <c r="U90" s="727">
        <f t="shared" si="11"/>
        <v>0.69640011278683445</v>
      </c>
      <c r="V90" s="728">
        <f t="shared" si="25"/>
        <v>1.9878852717073927</v>
      </c>
      <c r="W90" s="727">
        <f t="shared" si="12"/>
        <v>8.9454837226832673E-4</v>
      </c>
      <c r="X90" s="727">
        <f t="shared" si="13"/>
        <v>2.4594926045668356E-3</v>
      </c>
      <c r="Y90" s="727">
        <f t="shared" si="14"/>
        <v>1.3970078629921956E-4</v>
      </c>
      <c r="Z90" s="727">
        <f t="shared" si="15"/>
        <v>3.4937802967004821</v>
      </c>
      <c r="AA90" s="727">
        <f t="shared" ref="AA90:AA108" si="29">IF(AA89=AA88,AA89,IF(1000/(4.83*(AA88-1)*$C$8)&gt;AB$86,AA89,IF(AA89-1&gt;0.3,AA89-1,AA89)))</f>
        <v>9.3106492929095008</v>
      </c>
      <c r="AB90" s="85">
        <f t="shared" si="16"/>
        <v>6.5</v>
      </c>
      <c r="AC90" s="728">
        <f t="shared" si="17"/>
        <v>4.6495192685445372E-4</v>
      </c>
      <c r="AD90" s="727">
        <f t="shared" si="18"/>
        <v>0.39348666041694125</v>
      </c>
      <c r="AE90" s="727">
        <f t="shared" si="19"/>
        <v>0.5234107948507738</v>
      </c>
      <c r="AF90" s="728">
        <f t="shared" si="26"/>
        <v>1.6168974552677149</v>
      </c>
      <c r="AG90" s="727">
        <f t="shared" si="20"/>
        <v>7.2760385487047167E-4</v>
      </c>
      <c r="AH90" s="727">
        <f t="shared" si="21"/>
        <v>3.0071183494111476E-3</v>
      </c>
      <c r="AI90" s="727">
        <f t="shared" si="22"/>
        <v>1.3961362692096151E-4</v>
      </c>
      <c r="AJ90" s="727">
        <f t="shared" si="23"/>
        <v>3.8744615241469389</v>
      </c>
      <c r="AK90" s="727"/>
      <c r="AL90" s="727"/>
      <c r="AM90" s="727"/>
      <c r="AN90" s="727"/>
      <c r="AO90" s="727"/>
      <c r="AP90" s="727"/>
      <c r="AQ90" s="727"/>
      <c r="AR90" s="464"/>
      <c r="AS90" s="61"/>
      <c r="AT90" s="61"/>
      <c r="AU90" s="61"/>
      <c r="AV90" s="61"/>
    </row>
    <row r="91" spans="2:48" x14ac:dyDescent="0.15">
      <c r="B91" s="722"/>
      <c r="C91" s="724"/>
      <c r="D91" s="723"/>
      <c r="E91" s="162"/>
      <c r="F91" s="727"/>
      <c r="G91" s="727">
        <f t="shared" si="27"/>
        <v>17</v>
      </c>
      <c r="H91" s="85">
        <f t="shared" si="0"/>
        <v>6.4</v>
      </c>
      <c r="I91" s="728">
        <f t="shared" si="1"/>
        <v>2.5464731347084286E-4</v>
      </c>
      <c r="J91" s="727">
        <f t="shared" si="2"/>
        <v>0.71845400000000004</v>
      </c>
      <c r="K91" s="727">
        <f t="shared" si="3"/>
        <v>1.1466574934067195</v>
      </c>
      <c r="L91" s="728">
        <f t="shared" si="24"/>
        <v>2.5651114934067198</v>
      </c>
      <c r="M91" s="727">
        <f t="shared" si="4"/>
        <v>1.1543001720330239E-3</v>
      </c>
      <c r="N91" s="727">
        <f t="shared" si="5"/>
        <v>2.6127950021968115E-3</v>
      </c>
      <c r="O91" s="727">
        <f t="shared" si="6"/>
        <v>1.3973139750445633E-4</v>
      </c>
      <c r="P91" s="727">
        <f t="shared" si="7"/>
        <v>3.9068265717342916</v>
      </c>
      <c r="Q91" s="727">
        <f t="shared" si="28"/>
        <v>12.995673629278274</v>
      </c>
      <c r="R91" s="85">
        <f t="shared" si="8"/>
        <v>6.8</v>
      </c>
      <c r="S91" s="728">
        <f t="shared" si="9"/>
        <v>3.3311119165469101E-4</v>
      </c>
      <c r="T91" s="727">
        <f t="shared" si="10"/>
        <v>0.54922315892055851</v>
      </c>
      <c r="U91" s="727">
        <f t="shared" si="11"/>
        <v>0.74998718588921653</v>
      </c>
      <c r="V91" s="728">
        <f t="shared" si="25"/>
        <v>1.9992103448097751</v>
      </c>
      <c r="W91" s="727">
        <f t="shared" si="12"/>
        <v>8.9964465516439876E-4</v>
      </c>
      <c r="X91" s="727">
        <f t="shared" si="13"/>
        <v>2.6638373613118793E-3</v>
      </c>
      <c r="Y91" s="727">
        <f t="shared" si="14"/>
        <v>1.3968745773267337E-4</v>
      </c>
      <c r="Z91" s="727">
        <f t="shared" si="15"/>
        <v>3.703213413980734</v>
      </c>
      <c r="AA91" s="727">
        <f t="shared" si="29"/>
        <v>8.3106492929095008</v>
      </c>
      <c r="AB91" s="85">
        <f t="shared" si="16"/>
        <v>5.9</v>
      </c>
      <c r="AC91" s="728">
        <f t="shared" si="17"/>
        <v>5.2089844925808136E-4</v>
      </c>
      <c r="AD91" s="727">
        <f t="shared" si="18"/>
        <v>0.35122466041694134</v>
      </c>
      <c r="AE91" s="727">
        <f t="shared" si="19"/>
        <v>0.58639152913555936</v>
      </c>
      <c r="AF91" s="728">
        <f t="shared" si="26"/>
        <v>1.6376161895525008</v>
      </c>
      <c r="AG91" s="727">
        <f t="shared" si="20"/>
        <v>7.3692728529862529E-4</v>
      </c>
      <c r="AH91" s="727">
        <f t="shared" si="21"/>
        <v>3.4121269344713034E-3</v>
      </c>
      <c r="AI91" s="727">
        <f t="shared" si="22"/>
        <v>1.3958229686841548E-4</v>
      </c>
      <c r="AJ91" s="727">
        <f t="shared" si="23"/>
        <v>4.2887856172743852</v>
      </c>
      <c r="AK91" s="727"/>
      <c r="AL91" s="727"/>
      <c r="AM91" s="727"/>
      <c r="AN91" s="727"/>
      <c r="AO91" s="727"/>
      <c r="AP91" s="727"/>
      <c r="AQ91" s="727"/>
      <c r="AR91" s="464"/>
      <c r="AS91" s="61"/>
      <c r="AT91" s="61"/>
      <c r="AU91" s="61"/>
      <c r="AV91" s="61"/>
    </row>
    <row r="92" spans="2:48" x14ac:dyDescent="0.15">
      <c r="B92" s="722"/>
      <c r="C92" s="724"/>
      <c r="D92" s="723"/>
      <c r="E92" s="162"/>
      <c r="F92" s="727"/>
      <c r="G92" s="727">
        <f t="shared" si="27"/>
        <v>16</v>
      </c>
      <c r="H92" s="85">
        <f t="shared" si="0"/>
        <v>6.1</v>
      </c>
      <c r="I92" s="728">
        <f t="shared" si="1"/>
        <v>2.7056277056277056E-4</v>
      </c>
      <c r="J92" s="727">
        <f t="shared" si="2"/>
        <v>0.6761919999999999</v>
      </c>
      <c r="K92" s="727">
        <f t="shared" si="3"/>
        <v>1.2183235867446394</v>
      </c>
      <c r="L92" s="728">
        <f t="shared" si="24"/>
        <v>2.594515586744639</v>
      </c>
      <c r="M92" s="727">
        <f t="shared" si="4"/>
        <v>1.1675320140350875E-3</v>
      </c>
      <c r="N92" s="727">
        <f t="shared" si="5"/>
        <v>2.8079173016716872E-3</v>
      </c>
      <c r="O92" s="727">
        <f t="shared" si="6"/>
        <v>1.3972248484848485E-4</v>
      </c>
      <c r="P92" s="727">
        <f t="shared" si="7"/>
        <v>4.1151718005552604</v>
      </c>
      <c r="Q92" s="727">
        <f t="shared" si="28"/>
        <v>11.995673629278274</v>
      </c>
      <c r="R92" s="85">
        <f t="shared" si="8"/>
        <v>6.3</v>
      </c>
      <c r="S92" s="728">
        <f t="shared" si="9"/>
        <v>3.60880469308399E-4</v>
      </c>
      <c r="T92" s="727">
        <f t="shared" si="10"/>
        <v>0.50696115892055849</v>
      </c>
      <c r="U92" s="727">
        <f t="shared" si="11"/>
        <v>0.81250865896920232</v>
      </c>
      <c r="V92" s="728">
        <f t="shared" si="25"/>
        <v>2.0194698178897608</v>
      </c>
      <c r="W92" s="727">
        <f t="shared" si="12"/>
        <v>9.0876141805039227E-4</v>
      </c>
      <c r="X92" s="727">
        <f t="shared" si="13"/>
        <v>2.9151488625368156E-3</v>
      </c>
      <c r="Y92" s="727">
        <f t="shared" si="14"/>
        <v>1.3967190693718728E-4</v>
      </c>
      <c r="Z92" s="727">
        <f t="shared" si="15"/>
        <v>3.9636327654356931</v>
      </c>
      <c r="AA92" s="727">
        <f t="shared" si="29"/>
        <v>7.3106492929095008</v>
      </c>
      <c r="AB92" s="85">
        <f t="shared" si="16"/>
        <v>5.2</v>
      </c>
      <c r="AC92" s="728">
        <f t="shared" si="17"/>
        <v>5.9215045826407941E-4</v>
      </c>
      <c r="AD92" s="727">
        <f t="shared" si="18"/>
        <v>0.30896266041694126</v>
      </c>
      <c r="AE92" s="727">
        <f t="shared" si="19"/>
        <v>0.66660212406921227</v>
      </c>
      <c r="AF92" s="728">
        <f t="shared" si="26"/>
        <v>1.6755647844861534</v>
      </c>
      <c r="AG92" s="727">
        <f t="shared" si="20"/>
        <v>7.5400415301876906E-4</v>
      </c>
      <c r="AH92" s="727">
        <f t="shared" si="21"/>
        <v>3.9687458199385165E-3</v>
      </c>
      <c r="AI92" s="727">
        <f t="shared" si="22"/>
        <v>1.3954239574337211E-4</v>
      </c>
      <c r="AJ92" s="727">
        <f t="shared" si="23"/>
        <v>4.8624724578057714</v>
      </c>
      <c r="AK92" s="727"/>
      <c r="AL92" s="727"/>
      <c r="AM92" s="727"/>
      <c r="AN92" s="727"/>
      <c r="AO92" s="727"/>
      <c r="AP92" s="727"/>
      <c r="AQ92" s="727"/>
      <c r="AR92" s="464"/>
      <c r="AS92" s="61"/>
      <c r="AT92" s="61"/>
      <c r="AU92" s="61"/>
      <c r="AV92" s="61"/>
    </row>
    <row r="93" spans="2:48" x14ac:dyDescent="0.15">
      <c r="B93" s="722"/>
      <c r="C93" s="724"/>
      <c r="D93" s="723"/>
      <c r="E93" s="162"/>
      <c r="F93" s="727"/>
      <c r="G93" s="727">
        <f t="shared" si="27"/>
        <v>15</v>
      </c>
      <c r="H93" s="85">
        <f t="shared" si="0"/>
        <v>5.8</v>
      </c>
      <c r="I93" s="728">
        <f t="shared" si="1"/>
        <v>2.886002886002886E-4</v>
      </c>
      <c r="J93" s="727">
        <f t="shared" si="2"/>
        <v>0.63392999999999999</v>
      </c>
      <c r="K93" s="727">
        <f t="shared" si="3"/>
        <v>1.2995451591942817</v>
      </c>
      <c r="L93" s="728">
        <f t="shared" si="24"/>
        <v>2.6334751591942815</v>
      </c>
      <c r="M93" s="727">
        <f t="shared" si="4"/>
        <v>1.1850638216374266E-3</v>
      </c>
      <c r="N93" s="727">
        <f t="shared" si="5"/>
        <v>3.0400867638606423E-3</v>
      </c>
      <c r="O93" s="727">
        <f t="shared" si="6"/>
        <v>1.3971238383838383E-4</v>
      </c>
      <c r="P93" s="727">
        <f t="shared" si="7"/>
        <v>4.3648629693364525</v>
      </c>
      <c r="Q93" s="727">
        <f t="shared" si="28"/>
        <v>10.995673629278274</v>
      </c>
      <c r="R93" s="85">
        <f t="shared" si="8"/>
        <v>5.9</v>
      </c>
      <c r="S93" s="728">
        <f t="shared" si="9"/>
        <v>3.937006931051002E-4</v>
      </c>
      <c r="T93" s="727">
        <f t="shared" si="10"/>
        <v>0.46469915892055841</v>
      </c>
      <c r="U93" s="727">
        <f t="shared" si="11"/>
        <v>0.88640214529510852</v>
      </c>
      <c r="V93" s="728">
        <f t="shared" si="25"/>
        <v>2.0511013042156669</v>
      </c>
      <c r="W93" s="727">
        <f t="shared" si="12"/>
        <v>9.2299558689705008E-4</v>
      </c>
      <c r="X93" s="727">
        <f t="shared" si="13"/>
        <v>3.2300800203939324E-3</v>
      </c>
      <c r="Y93" s="727">
        <f t="shared" si="14"/>
        <v>1.3965352761186113E-4</v>
      </c>
      <c r="Z93" s="727">
        <f t="shared" si="15"/>
        <v>4.2927879911293658</v>
      </c>
      <c r="AA93" s="727">
        <f t="shared" si="29"/>
        <v>6.3106492929095008</v>
      </c>
      <c r="AB93" s="85">
        <f t="shared" si="16"/>
        <v>4.4000000000000004</v>
      </c>
      <c r="AC93" s="728">
        <f t="shared" si="17"/>
        <v>6.8598398169080605E-4</v>
      </c>
      <c r="AD93" s="727">
        <f t="shared" si="18"/>
        <v>0.26670066041694135</v>
      </c>
      <c r="AE93" s="727">
        <f t="shared" si="19"/>
        <v>0.77223342968117048</v>
      </c>
      <c r="AF93" s="728">
        <f t="shared" si="26"/>
        <v>1.7389340900981116</v>
      </c>
      <c r="AG93" s="727">
        <f t="shared" si="20"/>
        <v>7.8252034054415015E-4</v>
      </c>
      <c r="AH93" s="727">
        <f t="shared" si="21"/>
        <v>4.7715237240935262E-3</v>
      </c>
      <c r="AI93" s="727">
        <f t="shared" si="22"/>
        <v>1.3948984897025314E-4</v>
      </c>
      <c r="AJ93" s="727">
        <f t="shared" si="23"/>
        <v>5.6937564484760603</v>
      </c>
      <c r="AK93" s="727"/>
      <c r="AL93" s="727"/>
      <c r="AM93" s="727"/>
      <c r="AN93" s="727"/>
      <c r="AO93" s="727"/>
      <c r="AP93" s="727"/>
      <c r="AQ93" s="727"/>
      <c r="AR93" s="464"/>
      <c r="AS93" s="61"/>
      <c r="AT93" s="61"/>
      <c r="AU93" s="61"/>
      <c r="AV93" s="61"/>
    </row>
    <row r="94" spans="2:48" x14ac:dyDescent="0.15">
      <c r="B94" s="722"/>
      <c r="C94" s="724"/>
      <c r="D94" s="723"/>
      <c r="E94" s="162"/>
      <c r="F94" s="727"/>
      <c r="G94" s="727">
        <f t="shared" si="27"/>
        <v>14</v>
      </c>
      <c r="H94" s="85">
        <f t="shared" si="0"/>
        <v>5.4</v>
      </c>
      <c r="I94" s="728">
        <f t="shared" si="1"/>
        <v>3.0921459492888067E-4</v>
      </c>
      <c r="J94" s="727">
        <f t="shared" si="2"/>
        <v>0.59166800000000008</v>
      </c>
      <c r="K94" s="727">
        <f t="shared" si="3"/>
        <v>1.3923698134224449</v>
      </c>
      <c r="L94" s="728">
        <f t="shared" si="24"/>
        <v>2.684037813422445</v>
      </c>
      <c r="M94" s="727">
        <f t="shared" si="4"/>
        <v>1.2078170160401002E-3</v>
      </c>
      <c r="N94" s="727">
        <f t="shared" si="5"/>
        <v>3.3197746610048795E-3</v>
      </c>
      <c r="O94" s="727">
        <f t="shared" si="6"/>
        <v>1.3970083982683981E-4</v>
      </c>
      <c r="P94" s="727">
        <f t="shared" si="7"/>
        <v>4.6672925168718198</v>
      </c>
      <c r="Q94" s="727">
        <f t="shared" si="28"/>
        <v>9.995673629278274</v>
      </c>
      <c r="R94" s="85">
        <f t="shared" si="8"/>
        <v>5.3</v>
      </c>
      <c r="S94" s="728">
        <f t="shared" si="9"/>
        <v>4.3308780273940378E-4</v>
      </c>
      <c r="T94" s="727">
        <f t="shared" si="10"/>
        <v>0.42243715892055844</v>
      </c>
      <c r="U94" s="727">
        <f t="shared" si="11"/>
        <v>0.97508072546590907</v>
      </c>
      <c r="V94" s="728">
        <f t="shared" si="25"/>
        <v>2.0975178843864675</v>
      </c>
      <c r="W94" s="727">
        <f t="shared" si="12"/>
        <v>9.4388304797391029E-4</v>
      </c>
      <c r="X94" s="727">
        <f t="shared" si="13"/>
        <v>3.6336376470221519E-3</v>
      </c>
      <c r="Y94" s="727">
        <f t="shared" si="14"/>
        <v>1.3963147083046593E-4</v>
      </c>
      <c r="Z94" s="727">
        <f t="shared" si="15"/>
        <v>4.7172215348229019</v>
      </c>
      <c r="AA94" s="727">
        <f t="shared" si="29"/>
        <v>5.3106492929095008</v>
      </c>
      <c r="AB94" s="85">
        <f t="shared" si="16"/>
        <v>3.6</v>
      </c>
      <c r="AC94" s="728">
        <f t="shared" si="17"/>
        <v>8.1515537747600599E-4</v>
      </c>
      <c r="AD94" s="727">
        <f t="shared" si="18"/>
        <v>0.22443866041694133</v>
      </c>
      <c r="AE94" s="727">
        <f t="shared" si="19"/>
        <v>0.91764567347445114</v>
      </c>
      <c r="AF94" s="728">
        <f t="shared" si="26"/>
        <v>1.8420843338913924</v>
      </c>
      <c r="AG94" s="727">
        <f t="shared" si="20"/>
        <v>8.2893795025112656E-4</v>
      </c>
      <c r="AH94" s="727">
        <f t="shared" si="21"/>
        <v>6.0063398021435004E-3</v>
      </c>
      <c r="AI94" s="727">
        <f t="shared" si="22"/>
        <v>1.3941751298861342E-4</v>
      </c>
      <c r="AJ94" s="727">
        <f t="shared" si="23"/>
        <v>6.9749785922214658</v>
      </c>
      <c r="AK94" s="727"/>
      <c r="AL94" s="727"/>
      <c r="AM94" s="727"/>
      <c r="AN94" s="727"/>
      <c r="AO94" s="727"/>
      <c r="AP94" s="727"/>
      <c r="AQ94" s="727"/>
      <c r="AR94" s="464"/>
      <c r="AS94" s="61"/>
      <c r="AT94" s="61"/>
      <c r="AU94" s="61"/>
      <c r="AV94" s="61"/>
    </row>
    <row r="95" spans="2:48" x14ac:dyDescent="0.15">
      <c r="B95" s="722"/>
      <c r="C95" s="724"/>
      <c r="D95" s="723"/>
      <c r="E95" s="162"/>
      <c r="F95" s="727"/>
      <c r="G95" s="727">
        <f t="shared" si="27"/>
        <v>13</v>
      </c>
      <c r="H95" s="85">
        <f t="shared" si="0"/>
        <v>5</v>
      </c>
      <c r="I95" s="728">
        <f t="shared" si="1"/>
        <v>3.33000333000333E-4</v>
      </c>
      <c r="J95" s="727">
        <f t="shared" si="2"/>
        <v>0.54940599999999995</v>
      </c>
      <c r="K95" s="727">
        <f t="shared" si="3"/>
        <v>1.4994751836857099</v>
      </c>
      <c r="L95" s="728">
        <f t="shared" si="24"/>
        <v>2.7488811836857101</v>
      </c>
      <c r="M95" s="727">
        <f t="shared" si="4"/>
        <v>1.2369965326585696E-3</v>
      </c>
      <c r="N95" s="727">
        <f t="shared" si="5"/>
        <v>3.661513398182764E-3</v>
      </c>
      <c r="O95" s="727">
        <f t="shared" si="6"/>
        <v>1.396875198135198E-4</v>
      </c>
      <c r="P95" s="727">
        <f t="shared" si="7"/>
        <v>5.0381974506548532</v>
      </c>
      <c r="Q95" s="727">
        <f t="shared" si="28"/>
        <v>8.995673629278274</v>
      </c>
      <c r="R95" s="85">
        <f t="shared" si="8"/>
        <v>4.8</v>
      </c>
      <c r="S95" s="728">
        <f t="shared" si="9"/>
        <v>4.8123181291445395E-4</v>
      </c>
      <c r="T95" s="727">
        <f t="shared" si="10"/>
        <v>0.38017515892055842</v>
      </c>
      <c r="U95" s="727">
        <f t="shared" si="11"/>
        <v>1.0834751343395599</v>
      </c>
      <c r="V95" s="728">
        <f t="shared" si="25"/>
        <v>2.163650293260118</v>
      </c>
      <c r="W95" s="727">
        <f t="shared" si="12"/>
        <v>9.7364263196705306E-4</v>
      </c>
      <c r="X95" s="727">
        <f t="shared" si="13"/>
        <v>4.164869412553826E-3</v>
      </c>
      <c r="Y95" s="727">
        <f t="shared" si="14"/>
        <v>1.396045101847679E-4</v>
      </c>
      <c r="Z95" s="727">
        <f t="shared" si="15"/>
        <v>5.2781995643343986</v>
      </c>
      <c r="AA95" s="727">
        <f t="shared" si="29"/>
        <v>4.3106492929095008</v>
      </c>
      <c r="AB95" s="85">
        <f t="shared" si="16"/>
        <v>2.8</v>
      </c>
      <c r="AC95" s="728">
        <f t="shared" si="17"/>
        <v>1.0042580676013287E-3</v>
      </c>
      <c r="AD95" s="727">
        <f t="shared" si="18"/>
        <v>0.18217666041694133</v>
      </c>
      <c r="AE95" s="727">
        <f t="shared" si="19"/>
        <v>1.1305244328260571</v>
      </c>
      <c r="AF95" s="728">
        <f t="shared" si="26"/>
        <v>2.0127010932429985</v>
      </c>
      <c r="AG95" s="727">
        <f t="shared" si="20"/>
        <v>9.0571549195934931E-4</v>
      </c>
      <c r="AH95" s="727">
        <f t="shared" si="21"/>
        <v>8.0850852422371805E-3</v>
      </c>
      <c r="AI95" s="727">
        <f t="shared" si="22"/>
        <v>1.3931161548214323E-4</v>
      </c>
      <c r="AJ95" s="727">
        <f t="shared" si="23"/>
        <v>9.13048825401005</v>
      </c>
      <c r="AK95" s="727"/>
      <c r="AL95" s="727"/>
      <c r="AM95" s="727"/>
      <c r="AN95" s="727"/>
      <c r="AO95" s="727"/>
      <c r="AP95" s="727"/>
      <c r="AQ95" s="727"/>
      <c r="AR95" s="464"/>
      <c r="AS95" s="61"/>
      <c r="AT95" s="61"/>
      <c r="AU95" s="61"/>
      <c r="AV95" s="61"/>
    </row>
    <row r="96" spans="2:48" x14ac:dyDescent="0.15">
      <c r="B96" s="722"/>
      <c r="C96" s="724"/>
      <c r="D96" s="723"/>
      <c r="E96" s="162"/>
      <c r="F96" s="727"/>
      <c r="G96" s="727">
        <f t="shared" si="27"/>
        <v>12</v>
      </c>
      <c r="H96" s="85">
        <f t="shared" si="0"/>
        <v>4.5999999999999996</v>
      </c>
      <c r="I96" s="728">
        <f t="shared" si="1"/>
        <v>3.6075036075036075E-4</v>
      </c>
      <c r="J96" s="727">
        <f t="shared" si="2"/>
        <v>0.50714399999999993</v>
      </c>
      <c r="K96" s="727">
        <f t="shared" si="3"/>
        <v>1.6244314489928524</v>
      </c>
      <c r="L96" s="728">
        <f t="shared" si="24"/>
        <v>2.8315754489928526</v>
      </c>
      <c r="M96" s="727">
        <f t="shared" si="4"/>
        <v>1.2742089520467836E-3</v>
      </c>
      <c r="N96" s="727">
        <f t="shared" si="5"/>
        <v>4.0859674588641448E-3</v>
      </c>
      <c r="O96" s="727">
        <f t="shared" si="6"/>
        <v>1.3967197979797977E-4</v>
      </c>
      <c r="P96" s="727">
        <f t="shared" si="7"/>
        <v>5.499848390708908</v>
      </c>
      <c r="Q96" s="727">
        <f t="shared" si="28"/>
        <v>7.995673629278274</v>
      </c>
      <c r="R96" s="85">
        <f t="shared" si="8"/>
        <v>4.2</v>
      </c>
      <c r="S96" s="728">
        <f t="shared" si="9"/>
        <v>5.4141833818135531E-4</v>
      </c>
      <c r="T96" s="727">
        <f t="shared" si="10"/>
        <v>0.33791315892055845</v>
      </c>
      <c r="U96" s="727">
        <f t="shared" si="11"/>
        <v>1.2189828081860923</v>
      </c>
      <c r="V96" s="728">
        <f t="shared" si="25"/>
        <v>2.2568959671066509</v>
      </c>
      <c r="W96" s="727">
        <f t="shared" si="12"/>
        <v>1.0156031851979929E-3</v>
      </c>
      <c r="X96" s="727">
        <f t="shared" si="13"/>
        <v>4.8876994558363423E-3</v>
      </c>
      <c r="Y96" s="727">
        <f t="shared" si="14"/>
        <v>1.3957080573061842E-4</v>
      </c>
      <c r="Z96" s="727">
        <f t="shared" si="15"/>
        <v>6.0429746208323145</v>
      </c>
      <c r="AA96" s="727">
        <f t="shared" si="29"/>
        <v>3.3106492929095008</v>
      </c>
      <c r="AB96" s="85">
        <f t="shared" si="16"/>
        <v>1.9</v>
      </c>
      <c r="AC96" s="728">
        <f t="shared" si="17"/>
        <v>1.3075997926678205E-3</v>
      </c>
      <c r="AD96" s="727">
        <f t="shared" si="18"/>
        <v>0.13991466041694134</v>
      </c>
      <c r="AE96" s="727">
        <f t="shared" si="19"/>
        <v>1.4720056145529554</v>
      </c>
      <c r="AF96" s="728">
        <f t="shared" si="26"/>
        <v>2.3119202749698968</v>
      </c>
      <c r="AG96" s="727">
        <f t="shared" si="20"/>
        <v>1.0403641237364536E-3</v>
      </c>
      <c r="AH96" s="727">
        <f t="shared" si="21"/>
        <v>1.209226588886067E-2</v>
      </c>
      <c r="AI96" s="727">
        <f t="shared" si="22"/>
        <v>1.3914174411610601E-4</v>
      </c>
      <c r="AJ96" s="727">
        <f t="shared" si="23"/>
        <v>13.272301992395104</v>
      </c>
      <c r="AK96" s="727"/>
      <c r="AL96" s="727"/>
      <c r="AM96" s="727"/>
      <c r="AN96" s="727"/>
      <c r="AO96" s="727"/>
      <c r="AP96" s="727"/>
      <c r="AQ96" s="727"/>
      <c r="AR96" s="464"/>
      <c r="AS96" s="61"/>
      <c r="AT96" s="61"/>
      <c r="AU96" s="61"/>
      <c r="AV96" s="61"/>
    </row>
    <row r="97" spans="2:48" x14ac:dyDescent="0.15">
      <c r="B97" s="722"/>
      <c r="C97" s="724"/>
      <c r="D97" s="723"/>
      <c r="E97" s="162"/>
      <c r="F97" s="727"/>
      <c r="G97" s="727">
        <f t="shared" si="27"/>
        <v>11</v>
      </c>
      <c r="H97" s="85">
        <f t="shared" si="0"/>
        <v>4.0999999999999996</v>
      </c>
      <c r="I97" s="728">
        <f t="shared" si="1"/>
        <v>3.9354584809130262E-4</v>
      </c>
      <c r="J97" s="727">
        <f t="shared" si="2"/>
        <v>0.46488199999999996</v>
      </c>
      <c r="K97" s="727">
        <f t="shared" si="3"/>
        <v>1.7721070352649297</v>
      </c>
      <c r="L97" s="728">
        <f t="shared" si="24"/>
        <v>2.9369890352649297</v>
      </c>
      <c r="M97" s="727">
        <f t="shared" si="4"/>
        <v>1.3216450658692183E-3</v>
      </c>
      <c r="N97" s="727">
        <f t="shared" si="5"/>
        <v>4.623359362872774E-3</v>
      </c>
      <c r="O97" s="727">
        <f t="shared" si="6"/>
        <v>1.3965361432506887E-4</v>
      </c>
      <c r="P97" s="727">
        <f t="shared" si="7"/>
        <v>6.0846580430670612</v>
      </c>
      <c r="Q97" s="727">
        <f t="shared" si="28"/>
        <v>6.995673629278274</v>
      </c>
      <c r="R97" s="85">
        <f t="shared" si="8"/>
        <v>3.5</v>
      </c>
      <c r="S97" s="728">
        <f t="shared" si="9"/>
        <v>6.1881164822878416E-4</v>
      </c>
      <c r="T97" s="727">
        <f t="shared" si="10"/>
        <v>0.29565115892055843</v>
      </c>
      <c r="U97" s="727">
        <f t="shared" si="11"/>
        <v>1.3932309039069117</v>
      </c>
      <c r="V97" s="728">
        <f t="shared" si="25"/>
        <v>2.3888820628274701</v>
      </c>
      <c r="W97" s="727">
        <f t="shared" si="12"/>
        <v>1.0749969282723615E-3</v>
      </c>
      <c r="X97" s="727">
        <f t="shared" si="13"/>
        <v>5.9130721868897789E-3</v>
      </c>
      <c r="Y97" s="727">
        <f t="shared" si="14"/>
        <v>1.3952746547699188E-4</v>
      </c>
      <c r="Z97" s="727">
        <f t="shared" si="15"/>
        <v>7.1277227294872096</v>
      </c>
      <c r="AA97" s="727">
        <f t="shared" si="29"/>
        <v>2.3106492929095008</v>
      </c>
      <c r="AB97" s="85">
        <f t="shared" si="16"/>
        <v>1.1000000000000001</v>
      </c>
      <c r="AC97" s="728">
        <f t="shared" si="17"/>
        <v>1.8735012458569063E-3</v>
      </c>
      <c r="AD97" s="727">
        <f t="shared" si="18"/>
        <v>9.7652660416941317E-2</v>
      </c>
      <c r="AE97" s="727">
        <f t="shared" si="19"/>
        <v>2.1090584200435929</v>
      </c>
      <c r="AF97" s="728">
        <f t="shared" si="26"/>
        <v>2.9067110804605343</v>
      </c>
      <c r="AG97" s="727">
        <f t="shared" si="20"/>
        <v>1.3080199862072403E-3</v>
      </c>
      <c r="AH97" s="727">
        <f t="shared" si="21"/>
        <v>2.1782907322355542E-2</v>
      </c>
      <c r="AI97" s="727">
        <f t="shared" si="22"/>
        <v>1.3882483930232012E-4</v>
      </c>
      <c r="AJ97" s="727">
        <f t="shared" si="23"/>
        <v>23.230580922887853</v>
      </c>
      <c r="AK97" s="727"/>
      <c r="AL97" s="727"/>
      <c r="AM97" s="727"/>
      <c r="AN97" s="727"/>
      <c r="AO97" s="727"/>
      <c r="AP97" s="727"/>
      <c r="AQ97" s="727"/>
      <c r="AR97" s="464"/>
      <c r="AS97" s="61"/>
      <c r="AT97" s="61"/>
      <c r="AU97" s="61"/>
      <c r="AV97" s="61"/>
    </row>
    <row r="98" spans="2:48" x14ac:dyDescent="0.15">
      <c r="B98" s="722"/>
      <c r="C98" s="724"/>
      <c r="D98" s="723"/>
      <c r="E98" s="162"/>
      <c r="F98" s="727"/>
      <c r="G98" s="727">
        <f t="shared" si="27"/>
        <v>11</v>
      </c>
      <c r="H98" s="85">
        <f t="shared" si="0"/>
        <v>4.0999999999999996</v>
      </c>
      <c r="I98" s="728">
        <f t="shared" si="1"/>
        <v>3.9354584809130262E-4</v>
      </c>
      <c r="J98" s="727">
        <f t="shared" si="2"/>
        <v>0.46488199999999996</v>
      </c>
      <c r="K98" s="727">
        <f t="shared" si="3"/>
        <v>1.7721070352649297</v>
      </c>
      <c r="L98" s="728">
        <f t="shared" si="24"/>
        <v>2.9369890352649297</v>
      </c>
      <c r="M98" s="727">
        <f t="shared" si="4"/>
        <v>1.3216450658692183E-3</v>
      </c>
      <c r="N98" s="727">
        <f t="shared" si="5"/>
        <v>4.623359362872774E-3</v>
      </c>
      <c r="O98" s="727">
        <f t="shared" si="6"/>
        <v>1.3965361432506887E-4</v>
      </c>
      <c r="P98" s="727">
        <f t="shared" si="7"/>
        <v>6.0846580430670612</v>
      </c>
      <c r="Q98" s="727">
        <f t="shared" si="28"/>
        <v>5.995673629278274</v>
      </c>
      <c r="R98" s="85">
        <f t="shared" si="8"/>
        <v>2.9</v>
      </c>
      <c r="S98" s="728">
        <f t="shared" si="9"/>
        <v>7.220213435008855E-4</v>
      </c>
      <c r="T98" s="727">
        <f t="shared" si="10"/>
        <v>0.25338915892055841</v>
      </c>
      <c r="U98" s="727">
        <f t="shared" si="11"/>
        <v>1.6256036096364965</v>
      </c>
      <c r="V98" s="728">
        <f t="shared" si="25"/>
        <v>2.5789927685570548</v>
      </c>
      <c r="W98" s="727">
        <f t="shared" si="12"/>
        <v>1.1605467458506746E-3</v>
      </c>
      <c r="X98" s="727">
        <f t="shared" si="13"/>
        <v>7.4483512945305317E-3</v>
      </c>
      <c r="Y98" s="727">
        <f t="shared" si="14"/>
        <v>1.3946966804763948E-4</v>
      </c>
      <c r="Z98" s="727">
        <f t="shared" si="15"/>
        <v>8.748551654706274</v>
      </c>
      <c r="AA98" s="727">
        <f t="shared" si="29"/>
        <v>2.3106492929095008</v>
      </c>
      <c r="AB98" s="85">
        <f t="shared" si="16"/>
        <v>1.1000000000000001</v>
      </c>
      <c r="AC98" s="728">
        <f t="shared" si="17"/>
        <v>1.8735012458569063E-3</v>
      </c>
      <c r="AD98" s="727">
        <f t="shared" si="18"/>
        <v>9.7652660416941317E-2</v>
      </c>
      <c r="AE98" s="727">
        <f t="shared" si="19"/>
        <v>2.1090584200435929</v>
      </c>
      <c r="AF98" s="728">
        <f t="shared" si="26"/>
        <v>2.9067110804605343</v>
      </c>
      <c r="AG98" s="727">
        <f t="shared" si="20"/>
        <v>1.3080199862072403E-3</v>
      </c>
      <c r="AH98" s="727">
        <f t="shared" si="21"/>
        <v>2.1782907322355542E-2</v>
      </c>
      <c r="AI98" s="727">
        <f t="shared" si="22"/>
        <v>1.3882483930232012E-4</v>
      </c>
      <c r="AJ98" s="727">
        <f t="shared" si="23"/>
        <v>23.230580922887853</v>
      </c>
      <c r="AK98" s="727"/>
      <c r="AL98" s="727"/>
      <c r="AM98" s="727"/>
      <c r="AN98" s="727"/>
      <c r="AO98" s="727"/>
      <c r="AP98" s="727"/>
      <c r="AQ98" s="727"/>
      <c r="AR98" s="464"/>
      <c r="AS98" s="61"/>
      <c r="AT98" s="61"/>
      <c r="AU98" s="61"/>
      <c r="AV98" s="61"/>
    </row>
    <row r="99" spans="2:48" x14ac:dyDescent="0.15">
      <c r="B99" s="722"/>
      <c r="C99" s="724"/>
      <c r="D99" s="723"/>
      <c r="E99" s="162"/>
      <c r="F99" s="727"/>
      <c r="G99" s="727">
        <f t="shared" si="27"/>
        <v>11</v>
      </c>
      <c r="H99" s="85">
        <f t="shared" si="0"/>
        <v>4.0999999999999996</v>
      </c>
      <c r="I99" s="728">
        <f t="shared" si="1"/>
        <v>3.9354584809130262E-4</v>
      </c>
      <c r="J99" s="727">
        <f t="shared" si="2"/>
        <v>0.46488199999999996</v>
      </c>
      <c r="K99" s="727">
        <f t="shared" si="3"/>
        <v>1.7721070352649297</v>
      </c>
      <c r="L99" s="728">
        <f t="shared" si="24"/>
        <v>2.9369890352649297</v>
      </c>
      <c r="M99" s="727">
        <f t="shared" si="4"/>
        <v>1.3216450658692183E-3</v>
      </c>
      <c r="N99" s="727">
        <f t="shared" si="5"/>
        <v>4.623359362872774E-3</v>
      </c>
      <c r="O99" s="727">
        <f t="shared" si="6"/>
        <v>1.3965361432506887E-4</v>
      </c>
      <c r="P99" s="727">
        <f t="shared" si="7"/>
        <v>6.0846580430670612</v>
      </c>
      <c r="Q99" s="727">
        <f t="shared" si="28"/>
        <v>4.995673629278274</v>
      </c>
      <c r="R99" s="85">
        <f t="shared" si="8"/>
        <v>2.2000000000000002</v>
      </c>
      <c r="S99" s="728">
        <f t="shared" si="9"/>
        <v>8.665506696901138E-4</v>
      </c>
      <c r="T99" s="727">
        <f t="shared" si="10"/>
        <v>0.21112715892055842</v>
      </c>
      <c r="U99" s="727">
        <f t="shared" si="11"/>
        <v>1.9510058937467467</v>
      </c>
      <c r="V99" s="728">
        <f t="shared" si="25"/>
        <v>2.8621330526673052</v>
      </c>
      <c r="W99" s="727">
        <f t="shared" si="12"/>
        <v>1.2879598737002872E-3</v>
      </c>
      <c r="X99" s="727">
        <f t="shared" si="13"/>
        <v>9.9207332541242522E-3</v>
      </c>
      <c r="Y99" s="727">
        <f t="shared" si="14"/>
        <v>1.3938873162497352E-4</v>
      </c>
      <c r="Z99" s="727">
        <f t="shared" si="15"/>
        <v>11.348346742149609</v>
      </c>
      <c r="AA99" s="727">
        <f t="shared" si="29"/>
        <v>2.3106492929095008</v>
      </c>
      <c r="AB99" s="85">
        <f t="shared" si="16"/>
        <v>1.1000000000000001</v>
      </c>
      <c r="AC99" s="728">
        <f t="shared" si="17"/>
        <v>1.8735012458569063E-3</v>
      </c>
      <c r="AD99" s="727">
        <f t="shared" si="18"/>
        <v>9.7652660416941317E-2</v>
      </c>
      <c r="AE99" s="727">
        <f t="shared" si="19"/>
        <v>2.1090584200435929</v>
      </c>
      <c r="AF99" s="728">
        <f t="shared" si="26"/>
        <v>2.9067110804605343</v>
      </c>
      <c r="AG99" s="727">
        <f t="shared" si="20"/>
        <v>1.3080199862072403E-3</v>
      </c>
      <c r="AH99" s="727">
        <f t="shared" si="21"/>
        <v>2.1782907322355542E-2</v>
      </c>
      <c r="AI99" s="727">
        <f t="shared" si="22"/>
        <v>1.3882483930232012E-4</v>
      </c>
      <c r="AJ99" s="727">
        <f t="shared" si="23"/>
        <v>23.230580922887853</v>
      </c>
      <c r="AK99" s="727"/>
      <c r="AL99" s="727"/>
      <c r="AM99" s="727"/>
      <c r="AN99" s="727"/>
      <c r="AO99" s="727"/>
      <c r="AP99" s="727"/>
      <c r="AQ99" s="727"/>
      <c r="AR99" s="464"/>
      <c r="AS99" s="61"/>
      <c r="AT99" s="61"/>
      <c r="AU99" s="61"/>
      <c r="AV99" s="61"/>
    </row>
    <row r="100" spans="2:48" x14ac:dyDescent="0.15">
      <c r="B100" s="722"/>
      <c r="C100" s="724"/>
      <c r="D100" s="723"/>
      <c r="E100" s="162"/>
      <c r="F100" s="727"/>
      <c r="G100" s="727">
        <f t="shared" si="27"/>
        <v>11</v>
      </c>
      <c r="H100" s="85">
        <f t="shared" si="0"/>
        <v>4.0999999999999996</v>
      </c>
      <c r="I100" s="728">
        <f t="shared" si="1"/>
        <v>3.9354584809130262E-4</v>
      </c>
      <c r="J100" s="727">
        <f t="shared" si="2"/>
        <v>0.46488199999999996</v>
      </c>
      <c r="K100" s="727">
        <f t="shared" si="3"/>
        <v>1.7721070352649297</v>
      </c>
      <c r="L100" s="728">
        <f t="shared" si="24"/>
        <v>2.9369890352649297</v>
      </c>
      <c r="M100" s="727">
        <f t="shared" si="4"/>
        <v>1.3216450658692183E-3</v>
      </c>
      <c r="N100" s="727">
        <f t="shared" si="5"/>
        <v>4.623359362872774E-3</v>
      </c>
      <c r="O100" s="727">
        <f t="shared" si="6"/>
        <v>1.3965361432506887E-4</v>
      </c>
      <c r="P100" s="727">
        <f t="shared" si="7"/>
        <v>6.0846580430670612</v>
      </c>
      <c r="Q100" s="727">
        <f t="shared" si="28"/>
        <v>4.995673629278274</v>
      </c>
      <c r="R100" s="85">
        <f t="shared" si="8"/>
        <v>2.2000000000000002</v>
      </c>
      <c r="S100" s="728">
        <f t="shared" si="9"/>
        <v>8.665506696901138E-4</v>
      </c>
      <c r="T100" s="727">
        <f t="shared" si="10"/>
        <v>0.21112715892055842</v>
      </c>
      <c r="U100" s="727">
        <f t="shared" si="11"/>
        <v>1.9510058937467467</v>
      </c>
      <c r="V100" s="728">
        <f t="shared" si="25"/>
        <v>2.8621330526673052</v>
      </c>
      <c r="W100" s="727">
        <f t="shared" si="12"/>
        <v>1.2879598737002872E-3</v>
      </c>
      <c r="X100" s="727">
        <f t="shared" si="13"/>
        <v>9.9207332541242522E-3</v>
      </c>
      <c r="Y100" s="727">
        <f t="shared" si="14"/>
        <v>1.3938873162497352E-4</v>
      </c>
      <c r="Z100" s="727">
        <f t="shared" si="15"/>
        <v>11.348346742149609</v>
      </c>
      <c r="AA100" s="727">
        <f t="shared" si="29"/>
        <v>2.3106492929095008</v>
      </c>
      <c r="AB100" s="85">
        <f t="shared" si="16"/>
        <v>1.1000000000000001</v>
      </c>
      <c r="AC100" s="728">
        <f t="shared" si="17"/>
        <v>1.8735012458569063E-3</v>
      </c>
      <c r="AD100" s="727">
        <f t="shared" si="18"/>
        <v>9.7652660416941317E-2</v>
      </c>
      <c r="AE100" s="727">
        <f t="shared" si="19"/>
        <v>2.1090584200435929</v>
      </c>
      <c r="AF100" s="728">
        <f t="shared" si="26"/>
        <v>2.9067110804605343</v>
      </c>
      <c r="AG100" s="727">
        <f t="shared" si="20"/>
        <v>1.3080199862072403E-3</v>
      </c>
      <c r="AH100" s="727">
        <f t="shared" si="21"/>
        <v>2.1782907322355542E-2</v>
      </c>
      <c r="AI100" s="727">
        <f t="shared" si="22"/>
        <v>1.3882483930232012E-4</v>
      </c>
      <c r="AJ100" s="727">
        <f t="shared" si="23"/>
        <v>23.230580922887853</v>
      </c>
      <c r="AK100" s="727"/>
      <c r="AL100" s="727"/>
      <c r="AM100" s="727"/>
      <c r="AN100" s="727"/>
      <c r="AO100" s="727"/>
      <c r="AP100" s="727"/>
      <c r="AQ100" s="727"/>
      <c r="AR100" s="464"/>
      <c r="AS100" s="61"/>
      <c r="AT100" s="61"/>
      <c r="AU100" s="61"/>
    </row>
    <row r="101" spans="2:48" x14ac:dyDescent="0.15">
      <c r="B101" s="722"/>
      <c r="C101" s="724"/>
      <c r="D101" s="723"/>
      <c r="E101" s="162"/>
      <c r="F101" s="727"/>
      <c r="G101" s="727">
        <f t="shared" si="27"/>
        <v>11</v>
      </c>
      <c r="H101" s="85">
        <f t="shared" si="0"/>
        <v>4.0999999999999996</v>
      </c>
      <c r="I101" s="728">
        <f t="shared" si="1"/>
        <v>3.9354584809130262E-4</v>
      </c>
      <c r="J101" s="727">
        <f t="shared" si="2"/>
        <v>0.46488199999999996</v>
      </c>
      <c r="K101" s="727">
        <f t="shared" si="3"/>
        <v>1.7721070352649297</v>
      </c>
      <c r="L101" s="728">
        <f t="shared" si="24"/>
        <v>2.9369890352649297</v>
      </c>
      <c r="M101" s="727">
        <f t="shared" si="4"/>
        <v>1.3216450658692183E-3</v>
      </c>
      <c r="N101" s="727">
        <f t="shared" si="5"/>
        <v>4.623359362872774E-3</v>
      </c>
      <c r="O101" s="727">
        <f t="shared" si="6"/>
        <v>1.3965361432506887E-4</v>
      </c>
      <c r="P101" s="727">
        <f t="shared" si="7"/>
        <v>6.0846580430670612</v>
      </c>
      <c r="Q101" s="727">
        <f t="shared" si="28"/>
        <v>4.995673629278274</v>
      </c>
      <c r="R101" s="85">
        <f t="shared" si="8"/>
        <v>2.2000000000000002</v>
      </c>
      <c r="S101" s="728">
        <f t="shared" si="9"/>
        <v>8.665506696901138E-4</v>
      </c>
      <c r="T101" s="727">
        <f t="shared" si="10"/>
        <v>0.21112715892055842</v>
      </c>
      <c r="U101" s="727">
        <f t="shared" si="11"/>
        <v>1.9510058937467467</v>
      </c>
      <c r="V101" s="728">
        <f t="shared" si="25"/>
        <v>2.8621330526673052</v>
      </c>
      <c r="W101" s="727">
        <f t="shared" si="12"/>
        <v>1.2879598737002872E-3</v>
      </c>
      <c r="X101" s="727">
        <f t="shared" si="13"/>
        <v>9.9207332541242522E-3</v>
      </c>
      <c r="Y101" s="727">
        <f t="shared" si="14"/>
        <v>1.3938873162497352E-4</v>
      </c>
      <c r="Z101" s="727">
        <f t="shared" si="15"/>
        <v>11.348346742149609</v>
      </c>
      <c r="AA101" s="727">
        <f t="shared" si="29"/>
        <v>2.3106492929095008</v>
      </c>
      <c r="AB101" s="85">
        <f t="shared" si="16"/>
        <v>1.1000000000000001</v>
      </c>
      <c r="AC101" s="728">
        <f t="shared" si="17"/>
        <v>1.8735012458569063E-3</v>
      </c>
      <c r="AD101" s="727">
        <f t="shared" si="18"/>
        <v>9.7652660416941317E-2</v>
      </c>
      <c r="AE101" s="727">
        <f t="shared" si="19"/>
        <v>2.1090584200435929</v>
      </c>
      <c r="AF101" s="728">
        <f t="shared" si="26"/>
        <v>2.9067110804605343</v>
      </c>
      <c r="AG101" s="727">
        <f t="shared" si="20"/>
        <v>1.3080199862072403E-3</v>
      </c>
      <c r="AH101" s="727">
        <f t="shared" si="21"/>
        <v>2.1782907322355542E-2</v>
      </c>
      <c r="AI101" s="727">
        <f t="shared" si="22"/>
        <v>1.3882483930232012E-4</v>
      </c>
      <c r="AJ101" s="727">
        <f t="shared" si="23"/>
        <v>23.230580922887853</v>
      </c>
      <c r="AK101" s="727"/>
      <c r="AL101" s="727"/>
      <c r="AM101" s="727"/>
      <c r="AN101" s="727"/>
      <c r="AO101" s="727"/>
      <c r="AP101" s="727"/>
      <c r="AQ101" s="727"/>
      <c r="AR101" s="464"/>
      <c r="AS101" s="61"/>
      <c r="AT101" s="61"/>
      <c r="AU101" s="61"/>
    </row>
    <row r="102" spans="2:48" x14ac:dyDescent="0.15">
      <c r="B102" s="722"/>
      <c r="C102" s="724"/>
      <c r="D102" s="723"/>
      <c r="E102" s="162"/>
      <c r="F102" s="727"/>
      <c r="G102" s="727">
        <f t="shared" si="27"/>
        <v>11</v>
      </c>
      <c r="H102" s="85">
        <f t="shared" si="0"/>
        <v>4.0999999999999996</v>
      </c>
      <c r="I102" s="728">
        <f t="shared" si="1"/>
        <v>3.9354584809130262E-4</v>
      </c>
      <c r="J102" s="727">
        <f t="shared" si="2"/>
        <v>0.46488199999999996</v>
      </c>
      <c r="K102" s="727">
        <f t="shared" si="3"/>
        <v>1.7721070352649297</v>
      </c>
      <c r="L102" s="728">
        <f t="shared" si="24"/>
        <v>2.9369890352649297</v>
      </c>
      <c r="M102" s="727">
        <f t="shared" si="4"/>
        <v>1.3216450658692183E-3</v>
      </c>
      <c r="N102" s="727">
        <f t="shared" si="5"/>
        <v>4.623359362872774E-3</v>
      </c>
      <c r="O102" s="727">
        <f t="shared" si="6"/>
        <v>1.3965361432506887E-4</v>
      </c>
      <c r="P102" s="727">
        <f t="shared" si="7"/>
        <v>6.0846580430670612</v>
      </c>
      <c r="Q102" s="727">
        <f t="shared" si="28"/>
        <v>4.995673629278274</v>
      </c>
      <c r="R102" s="85">
        <f t="shared" si="8"/>
        <v>2.2000000000000002</v>
      </c>
      <c r="S102" s="728">
        <f t="shared" si="9"/>
        <v>8.665506696901138E-4</v>
      </c>
      <c r="T102" s="727">
        <f t="shared" si="10"/>
        <v>0.21112715892055842</v>
      </c>
      <c r="U102" s="727">
        <f t="shared" si="11"/>
        <v>1.9510058937467467</v>
      </c>
      <c r="V102" s="728">
        <f t="shared" si="25"/>
        <v>2.8621330526673052</v>
      </c>
      <c r="W102" s="727">
        <f t="shared" si="12"/>
        <v>1.2879598737002872E-3</v>
      </c>
      <c r="X102" s="727">
        <f t="shared" si="13"/>
        <v>9.9207332541242522E-3</v>
      </c>
      <c r="Y102" s="727">
        <f t="shared" si="14"/>
        <v>1.3938873162497352E-4</v>
      </c>
      <c r="Z102" s="727">
        <f t="shared" si="15"/>
        <v>11.348346742149609</v>
      </c>
      <c r="AA102" s="727">
        <f t="shared" si="29"/>
        <v>2.3106492929095008</v>
      </c>
      <c r="AB102" s="85">
        <f t="shared" si="16"/>
        <v>1.1000000000000001</v>
      </c>
      <c r="AC102" s="728">
        <f t="shared" si="17"/>
        <v>1.8735012458569063E-3</v>
      </c>
      <c r="AD102" s="727">
        <f t="shared" si="18"/>
        <v>9.7652660416941317E-2</v>
      </c>
      <c r="AE102" s="727">
        <f t="shared" si="19"/>
        <v>2.1090584200435929</v>
      </c>
      <c r="AF102" s="728">
        <f t="shared" si="26"/>
        <v>2.9067110804605343</v>
      </c>
      <c r="AG102" s="727">
        <f t="shared" si="20"/>
        <v>1.3080199862072403E-3</v>
      </c>
      <c r="AH102" s="727">
        <f t="shared" si="21"/>
        <v>2.1782907322355542E-2</v>
      </c>
      <c r="AI102" s="727">
        <f t="shared" si="22"/>
        <v>1.3882483930232012E-4</v>
      </c>
      <c r="AJ102" s="727">
        <f t="shared" si="23"/>
        <v>23.230580922887853</v>
      </c>
      <c r="AK102" s="727"/>
      <c r="AL102" s="727"/>
      <c r="AM102" s="727"/>
      <c r="AN102" s="727"/>
      <c r="AO102" s="727"/>
      <c r="AP102" s="727"/>
      <c r="AQ102" s="727"/>
      <c r="AR102" s="464"/>
      <c r="AS102" s="61"/>
      <c r="AT102" s="61"/>
      <c r="AU102" s="61"/>
    </row>
    <row r="103" spans="2:48" x14ac:dyDescent="0.15">
      <c r="B103" s="722"/>
      <c r="C103" s="724"/>
      <c r="D103" s="723"/>
      <c r="E103" s="162"/>
      <c r="F103" s="727"/>
      <c r="G103" s="727">
        <f t="shared" si="27"/>
        <v>11</v>
      </c>
      <c r="H103" s="85">
        <f t="shared" si="0"/>
        <v>4.0999999999999996</v>
      </c>
      <c r="I103" s="728">
        <f t="shared" si="1"/>
        <v>3.9354584809130262E-4</v>
      </c>
      <c r="J103" s="727">
        <f t="shared" si="2"/>
        <v>0.46488199999999996</v>
      </c>
      <c r="K103" s="727">
        <f t="shared" si="3"/>
        <v>1.7721070352649297</v>
      </c>
      <c r="L103" s="728">
        <f t="shared" si="24"/>
        <v>2.9369890352649297</v>
      </c>
      <c r="M103" s="727">
        <f t="shared" si="4"/>
        <v>1.3216450658692183E-3</v>
      </c>
      <c r="N103" s="727">
        <f t="shared" si="5"/>
        <v>4.623359362872774E-3</v>
      </c>
      <c r="O103" s="727">
        <f t="shared" si="6"/>
        <v>1.3965361432506887E-4</v>
      </c>
      <c r="P103" s="727">
        <f t="shared" si="7"/>
        <v>6.0846580430670612</v>
      </c>
      <c r="Q103" s="727">
        <f t="shared" si="28"/>
        <v>4.995673629278274</v>
      </c>
      <c r="R103" s="85">
        <f t="shared" si="8"/>
        <v>2.2000000000000002</v>
      </c>
      <c r="S103" s="728">
        <f t="shared" si="9"/>
        <v>8.665506696901138E-4</v>
      </c>
      <c r="T103" s="727">
        <f t="shared" si="10"/>
        <v>0.21112715892055842</v>
      </c>
      <c r="U103" s="727">
        <f t="shared" si="11"/>
        <v>1.9510058937467467</v>
      </c>
      <c r="V103" s="728">
        <f t="shared" si="25"/>
        <v>2.8621330526673052</v>
      </c>
      <c r="W103" s="727">
        <f t="shared" si="12"/>
        <v>1.2879598737002872E-3</v>
      </c>
      <c r="X103" s="727">
        <f t="shared" si="13"/>
        <v>9.9207332541242522E-3</v>
      </c>
      <c r="Y103" s="727">
        <f t="shared" si="14"/>
        <v>1.3938873162497352E-4</v>
      </c>
      <c r="Z103" s="727">
        <f t="shared" si="15"/>
        <v>11.348346742149609</v>
      </c>
      <c r="AA103" s="727">
        <f t="shared" si="29"/>
        <v>2.3106492929095008</v>
      </c>
      <c r="AB103" s="85">
        <f t="shared" si="16"/>
        <v>1.1000000000000001</v>
      </c>
      <c r="AC103" s="728">
        <f t="shared" si="17"/>
        <v>1.8735012458569063E-3</v>
      </c>
      <c r="AD103" s="727">
        <f t="shared" si="18"/>
        <v>9.7652660416941317E-2</v>
      </c>
      <c r="AE103" s="727">
        <f t="shared" si="19"/>
        <v>2.1090584200435929</v>
      </c>
      <c r="AF103" s="728">
        <f t="shared" si="26"/>
        <v>2.9067110804605343</v>
      </c>
      <c r="AG103" s="727">
        <f t="shared" si="20"/>
        <v>1.3080199862072403E-3</v>
      </c>
      <c r="AH103" s="727">
        <f t="shared" si="21"/>
        <v>2.1782907322355542E-2</v>
      </c>
      <c r="AI103" s="727">
        <f t="shared" si="22"/>
        <v>1.3882483930232012E-4</v>
      </c>
      <c r="AJ103" s="727">
        <f t="shared" si="23"/>
        <v>23.230580922887853</v>
      </c>
      <c r="AK103" s="727"/>
      <c r="AL103" s="727"/>
      <c r="AM103" s="727"/>
      <c r="AN103" s="727"/>
      <c r="AO103" s="727"/>
      <c r="AP103" s="727"/>
      <c r="AQ103" s="727"/>
      <c r="AR103" s="464"/>
      <c r="AS103" s="61"/>
      <c r="AT103" s="61"/>
      <c r="AU103" s="61"/>
    </row>
    <row r="104" spans="2:48" x14ac:dyDescent="0.15">
      <c r="B104" s="722"/>
      <c r="C104" s="724"/>
      <c r="D104" s="723"/>
      <c r="E104" s="162"/>
      <c r="F104" s="727"/>
      <c r="G104" s="727">
        <f t="shared" si="27"/>
        <v>11</v>
      </c>
      <c r="H104" s="85">
        <f t="shared" si="0"/>
        <v>4.0999999999999996</v>
      </c>
      <c r="I104" s="728">
        <f t="shared" si="1"/>
        <v>3.9354584809130262E-4</v>
      </c>
      <c r="J104" s="727">
        <f t="shared" si="2"/>
        <v>0.46488199999999996</v>
      </c>
      <c r="K104" s="727">
        <f t="shared" si="3"/>
        <v>1.7721070352649297</v>
      </c>
      <c r="L104" s="728">
        <f t="shared" si="24"/>
        <v>2.9369890352649297</v>
      </c>
      <c r="M104" s="727">
        <f t="shared" si="4"/>
        <v>1.3216450658692183E-3</v>
      </c>
      <c r="N104" s="727">
        <f t="shared" si="5"/>
        <v>4.623359362872774E-3</v>
      </c>
      <c r="O104" s="727">
        <f t="shared" si="6"/>
        <v>1.3965361432506887E-4</v>
      </c>
      <c r="P104" s="727">
        <f t="shared" si="7"/>
        <v>6.0846580430670612</v>
      </c>
      <c r="Q104" s="727">
        <f t="shared" si="28"/>
        <v>4.995673629278274</v>
      </c>
      <c r="R104" s="85">
        <f t="shared" si="8"/>
        <v>2.2000000000000002</v>
      </c>
      <c r="S104" s="728">
        <f t="shared" si="9"/>
        <v>8.665506696901138E-4</v>
      </c>
      <c r="T104" s="727">
        <f t="shared" si="10"/>
        <v>0.21112715892055842</v>
      </c>
      <c r="U104" s="727">
        <f t="shared" si="11"/>
        <v>1.9510058937467467</v>
      </c>
      <c r="V104" s="728">
        <f t="shared" si="25"/>
        <v>2.8621330526673052</v>
      </c>
      <c r="W104" s="727">
        <f t="shared" si="12"/>
        <v>1.2879598737002872E-3</v>
      </c>
      <c r="X104" s="727">
        <f t="shared" si="13"/>
        <v>9.9207332541242522E-3</v>
      </c>
      <c r="Y104" s="727">
        <f t="shared" si="14"/>
        <v>1.3938873162497352E-4</v>
      </c>
      <c r="Z104" s="727">
        <f t="shared" si="15"/>
        <v>11.348346742149609</v>
      </c>
      <c r="AA104" s="727">
        <f t="shared" si="29"/>
        <v>2.3106492929095008</v>
      </c>
      <c r="AB104" s="85">
        <f t="shared" si="16"/>
        <v>1.1000000000000001</v>
      </c>
      <c r="AC104" s="728">
        <f t="shared" si="17"/>
        <v>1.8735012458569063E-3</v>
      </c>
      <c r="AD104" s="727">
        <f t="shared" si="18"/>
        <v>9.7652660416941317E-2</v>
      </c>
      <c r="AE104" s="727">
        <f t="shared" si="19"/>
        <v>2.1090584200435929</v>
      </c>
      <c r="AF104" s="728">
        <f t="shared" si="26"/>
        <v>2.9067110804605343</v>
      </c>
      <c r="AG104" s="727">
        <f t="shared" si="20"/>
        <v>1.3080199862072403E-3</v>
      </c>
      <c r="AH104" s="727">
        <f t="shared" si="21"/>
        <v>2.1782907322355542E-2</v>
      </c>
      <c r="AI104" s="727">
        <f t="shared" si="22"/>
        <v>1.3882483930232012E-4</v>
      </c>
      <c r="AJ104" s="727">
        <f t="shared" si="23"/>
        <v>23.230580922887853</v>
      </c>
      <c r="AK104" s="727"/>
      <c r="AL104" s="727"/>
      <c r="AM104" s="727"/>
      <c r="AN104" s="727"/>
      <c r="AO104" s="727"/>
      <c r="AP104" s="727"/>
      <c r="AQ104" s="727"/>
      <c r="AR104" s="464"/>
      <c r="AS104" s="61"/>
      <c r="AT104" s="61"/>
      <c r="AU104" s="61"/>
    </row>
    <row r="105" spans="2:48" x14ac:dyDescent="0.15">
      <c r="B105" s="722"/>
      <c r="C105" s="724"/>
      <c r="D105" s="723"/>
      <c r="E105" s="162"/>
      <c r="F105" s="727"/>
      <c r="G105" s="727">
        <f t="shared" si="27"/>
        <v>11</v>
      </c>
      <c r="H105" s="85">
        <f t="shared" si="0"/>
        <v>4.0999999999999996</v>
      </c>
      <c r="I105" s="728">
        <f t="shared" si="1"/>
        <v>3.9354584809130262E-4</v>
      </c>
      <c r="J105" s="727">
        <f t="shared" si="2"/>
        <v>0.46488199999999996</v>
      </c>
      <c r="K105" s="727">
        <f t="shared" si="3"/>
        <v>1.7721070352649297</v>
      </c>
      <c r="L105" s="728">
        <f t="shared" si="24"/>
        <v>2.9369890352649297</v>
      </c>
      <c r="M105" s="727">
        <f t="shared" si="4"/>
        <v>1.3216450658692183E-3</v>
      </c>
      <c r="N105" s="727">
        <f t="shared" si="5"/>
        <v>4.623359362872774E-3</v>
      </c>
      <c r="O105" s="727">
        <f t="shared" si="6"/>
        <v>1.3965361432506887E-4</v>
      </c>
      <c r="P105" s="727">
        <f t="shared" si="7"/>
        <v>6.0846580430670612</v>
      </c>
      <c r="Q105" s="727">
        <f t="shared" si="28"/>
        <v>4.995673629278274</v>
      </c>
      <c r="R105" s="85">
        <f t="shared" si="8"/>
        <v>2.2000000000000002</v>
      </c>
      <c r="S105" s="728">
        <f t="shared" si="9"/>
        <v>8.665506696901138E-4</v>
      </c>
      <c r="T105" s="727">
        <f t="shared" si="10"/>
        <v>0.21112715892055842</v>
      </c>
      <c r="U105" s="727">
        <f t="shared" si="11"/>
        <v>1.9510058937467467</v>
      </c>
      <c r="V105" s="728">
        <f t="shared" si="25"/>
        <v>2.8621330526673052</v>
      </c>
      <c r="W105" s="727">
        <f t="shared" si="12"/>
        <v>1.2879598737002872E-3</v>
      </c>
      <c r="X105" s="727">
        <f t="shared" si="13"/>
        <v>9.9207332541242522E-3</v>
      </c>
      <c r="Y105" s="727">
        <f t="shared" si="14"/>
        <v>1.3938873162497352E-4</v>
      </c>
      <c r="Z105" s="727">
        <f t="shared" si="15"/>
        <v>11.348346742149609</v>
      </c>
      <c r="AA105" s="727">
        <f t="shared" si="29"/>
        <v>2.3106492929095008</v>
      </c>
      <c r="AB105" s="85">
        <f t="shared" si="16"/>
        <v>1.1000000000000001</v>
      </c>
      <c r="AC105" s="728">
        <f t="shared" si="17"/>
        <v>1.8735012458569063E-3</v>
      </c>
      <c r="AD105" s="727">
        <f t="shared" si="18"/>
        <v>9.7652660416941317E-2</v>
      </c>
      <c r="AE105" s="727">
        <f t="shared" si="19"/>
        <v>2.1090584200435929</v>
      </c>
      <c r="AF105" s="728">
        <f t="shared" si="26"/>
        <v>2.9067110804605343</v>
      </c>
      <c r="AG105" s="727">
        <f t="shared" si="20"/>
        <v>1.3080199862072403E-3</v>
      </c>
      <c r="AH105" s="727">
        <f t="shared" si="21"/>
        <v>2.1782907322355542E-2</v>
      </c>
      <c r="AI105" s="727">
        <f t="shared" si="22"/>
        <v>1.3882483930232012E-4</v>
      </c>
      <c r="AJ105" s="727">
        <f t="shared" si="23"/>
        <v>23.230580922887853</v>
      </c>
      <c r="AK105" s="727"/>
      <c r="AL105" s="727"/>
      <c r="AM105" s="727"/>
      <c r="AN105" s="727"/>
      <c r="AO105" s="727"/>
      <c r="AP105" s="727"/>
      <c r="AQ105" s="727"/>
      <c r="AR105" s="464"/>
      <c r="AS105" s="61"/>
      <c r="AT105" s="61"/>
      <c r="AU105" s="61"/>
    </row>
    <row r="106" spans="2:48" x14ac:dyDescent="0.15">
      <c r="B106" s="722"/>
      <c r="C106" s="724"/>
      <c r="D106" s="723"/>
      <c r="E106" s="162"/>
      <c r="F106" s="727"/>
      <c r="G106" s="727">
        <f t="shared" si="27"/>
        <v>11</v>
      </c>
      <c r="H106" s="85">
        <f t="shared" si="0"/>
        <v>4.0999999999999996</v>
      </c>
      <c r="I106" s="728">
        <f t="shared" si="1"/>
        <v>3.9354584809130262E-4</v>
      </c>
      <c r="J106" s="727">
        <f t="shared" si="2"/>
        <v>0.46488199999999996</v>
      </c>
      <c r="K106" s="727">
        <f t="shared" si="3"/>
        <v>1.7721070352649297</v>
      </c>
      <c r="L106" s="728">
        <f t="shared" si="24"/>
        <v>2.9369890352649297</v>
      </c>
      <c r="M106" s="727">
        <f t="shared" si="4"/>
        <v>1.3216450658692183E-3</v>
      </c>
      <c r="N106" s="727">
        <f t="shared" si="5"/>
        <v>4.623359362872774E-3</v>
      </c>
      <c r="O106" s="727">
        <f t="shared" si="6"/>
        <v>1.3965361432506887E-4</v>
      </c>
      <c r="P106" s="727">
        <f t="shared" si="7"/>
        <v>6.0846580430670612</v>
      </c>
      <c r="Q106" s="727">
        <f t="shared" si="28"/>
        <v>4.995673629278274</v>
      </c>
      <c r="R106" s="85">
        <f t="shared" si="8"/>
        <v>2.2000000000000002</v>
      </c>
      <c r="S106" s="728">
        <f t="shared" si="9"/>
        <v>8.665506696901138E-4</v>
      </c>
      <c r="T106" s="727">
        <f t="shared" si="10"/>
        <v>0.21112715892055842</v>
      </c>
      <c r="U106" s="727">
        <f t="shared" si="11"/>
        <v>1.9510058937467467</v>
      </c>
      <c r="V106" s="728">
        <f t="shared" si="25"/>
        <v>2.8621330526673052</v>
      </c>
      <c r="W106" s="727">
        <f t="shared" si="12"/>
        <v>1.2879598737002872E-3</v>
      </c>
      <c r="X106" s="727">
        <f t="shared" si="13"/>
        <v>9.9207332541242522E-3</v>
      </c>
      <c r="Y106" s="727">
        <f t="shared" si="14"/>
        <v>1.3938873162497352E-4</v>
      </c>
      <c r="Z106" s="727">
        <f t="shared" si="15"/>
        <v>11.348346742149609</v>
      </c>
      <c r="AA106" s="727">
        <f t="shared" si="29"/>
        <v>2.3106492929095008</v>
      </c>
      <c r="AB106" s="85">
        <f t="shared" si="16"/>
        <v>1.1000000000000001</v>
      </c>
      <c r="AC106" s="728">
        <f t="shared" si="17"/>
        <v>1.8735012458569063E-3</v>
      </c>
      <c r="AD106" s="727">
        <f t="shared" si="18"/>
        <v>9.7652660416941317E-2</v>
      </c>
      <c r="AE106" s="727">
        <f t="shared" si="19"/>
        <v>2.1090584200435929</v>
      </c>
      <c r="AF106" s="728">
        <f t="shared" si="26"/>
        <v>2.9067110804605343</v>
      </c>
      <c r="AG106" s="727">
        <f t="shared" si="20"/>
        <v>1.3080199862072403E-3</v>
      </c>
      <c r="AH106" s="727">
        <f t="shared" si="21"/>
        <v>2.1782907322355542E-2</v>
      </c>
      <c r="AI106" s="727">
        <f t="shared" si="22"/>
        <v>1.3882483930232012E-4</v>
      </c>
      <c r="AJ106" s="727">
        <f t="shared" si="23"/>
        <v>23.230580922887853</v>
      </c>
      <c r="AK106" s="727"/>
      <c r="AL106" s="727"/>
      <c r="AM106" s="727"/>
      <c r="AN106" s="727"/>
      <c r="AO106" s="727"/>
      <c r="AP106" s="727"/>
      <c r="AQ106" s="727"/>
      <c r="AR106" s="464"/>
      <c r="AS106" s="61"/>
      <c r="AT106" s="61"/>
      <c r="AU106" s="61"/>
    </row>
    <row r="107" spans="2:48" x14ac:dyDescent="0.15">
      <c r="B107" s="722"/>
      <c r="C107" s="724"/>
      <c r="D107" s="723"/>
      <c r="E107" s="162"/>
      <c r="F107" s="727"/>
      <c r="G107" s="727">
        <f t="shared" si="27"/>
        <v>11</v>
      </c>
      <c r="H107" s="85">
        <f t="shared" si="0"/>
        <v>4.0999999999999996</v>
      </c>
      <c r="I107" s="728">
        <f t="shared" si="1"/>
        <v>3.9354584809130262E-4</v>
      </c>
      <c r="J107" s="727">
        <f t="shared" si="2"/>
        <v>0.46488199999999996</v>
      </c>
      <c r="K107" s="727">
        <f t="shared" si="3"/>
        <v>1.7721070352649297</v>
      </c>
      <c r="L107" s="728">
        <f t="shared" si="24"/>
        <v>2.9369890352649297</v>
      </c>
      <c r="M107" s="727">
        <f t="shared" si="4"/>
        <v>1.3216450658692183E-3</v>
      </c>
      <c r="N107" s="727">
        <f t="shared" si="5"/>
        <v>4.623359362872774E-3</v>
      </c>
      <c r="O107" s="727">
        <f t="shared" si="6"/>
        <v>1.3965361432506887E-4</v>
      </c>
      <c r="P107" s="727">
        <f t="shared" si="7"/>
        <v>6.0846580430670612</v>
      </c>
      <c r="Q107" s="727">
        <f t="shared" si="28"/>
        <v>4.995673629278274</v>
      </c>
      <c r="R107" s="85">
        <f t="shared" si="8"/>
        <v>2.2000000000000002</v>
      </c>
      <c r="S107" s="728">
        <f t="shared" si="9"/>
        <v>8.665506696901138E-4</v>
      </c>
      <c r="T107" s="727">
        <f t="shared" si="10"/>
        <v>0.21112715892055842</v>
      </c>
      <c r="U107" s="727">
        <f t="shared" si="11"/>
        <v>1.9510058937467467</v>
      </c>
      <c r="V107" s="728">
        <f t="shared" si="25"/>
        <v>2.8621330526673052</v>
      </c>
      <c r="W107" s="727">
        <f t="shared" si="12"/>
        <v>1.2879598737002872E-3</v>
      </c>
      <c r="X107" s="727">
        <f t="shared" si="13"/>
        <v>9.9207332541242522E-3</v>
      </c>
      <c r="Y107" s="727">
        <f t="shared" si="14"/>
        <v>1.3938873162497352E-4</v>
      </c>
      <c r="Z107" s="727">
        <f t="shared" si="15"/>
        <v>11.348346742149609</v>
      </c>
      <c r="AA107" s="727">
        <f t="shared" si="29"/>
        <v>2.3106492929095008</v>
      </c>
      <c r="AB107" s="85">
        <f t="shared" si="16"/>
        <v>1.1000000000000001</v>
      </c>
      <c r="AC107" s="728">
        <f t="shared" si="17"/>
        <v>1.8735012458569063E-3</v>
      </c>
      <c r="AD107" s="727">
        <f t="shared" si="18"/>
        <v>9.7652660416941317E-2</v>
      </c>
      <c r="AE107" s="727">
        <f t="shared" si="19"/>
        <v>2.1090584200435929</v>
      </c>
      <c r="AF107" s="728">
        <f t="shared" si="26"/>
        <v>2.9067110804605343</v>
      </c>
      <c r="AG107" s="727">
        <f t="shared" si="20"/>
        <v>1.3080199862072403E-3</v>
      </c>
      <c r="AH107" s="727">
        <f t="shared" si="21"/>
        <v>2.1782907322355542E-2</v>
      </c>
      <c r="AI107" s="727">
        <f t="shared" si="22"/>
        <v>1.3882483930232012E-4</v>
      </c>
      <c r="AJ107" s="727">
        <f t="shared" si="23"/>
        <v>23.230580922887853</v>
      </c>
      <c r="AK107" s="727"/>
      <c r="AL107" s="727"/>
      <c r="AM107" s="727"/>
      <c r="AN107" s="727"/>
      <c r="AO107" s="727"/>
      <c r="AP107" s="727"/>
      <c r="AQ107" s="727"/>
      <c r="AR107" s="464"/>
      <c r="AS107" s="61"/>
      <c r="AT107" s="61"/>
      <c r="AU107" s="61"/>
    </row>
    <row r="108" spans="2:48" x14ac:dyDescent="0.15">
      <c r="B108" s="722"/>
      <c r="C108" s="724"/>
      <c r="D108" s="723"/>
      <c r="E108" s="162"/>
      <c r="F108" s="727"/>
      <c r="G108" s="727">
        <f t="shared" si="27"/>
        <v>11</v>
      </c>
      <c r="H108" s="85">
        <f t="shared" si="0"/>
        <v>4.0999999999999996</v>
      </c>
      <c r="I108" s="728">
        <f t="shared" si="1"/>
        <v>3.9354584809130262E-4</v>
      </c>
      <c r="J108" s="727">
        <f t="shared" si="2"/>
        <v>0.46488199999999996</v>
      </c>
      <c r="K108" s="727">
        <f t="shared" si="3"/>
        <v>1.7721070352649297</v>
      </c>
      <c r="L108" s="728">
        <f t="shared" si="24"/>
        <v>2.9369890352649297</v>
      </c>
      <c r="M108" s="727">
        <f t="shared" si="4"/>
        <v>1.3216450658692183E-3</v>
      </c>
      <c r="N108" s="727">
        <f t="shared" si="5"/>
        <v>4.623359362872774E-3</v>
      </c>
      <c r="O108" s="727">
        <f t="shared" si="6"/>
        <v>1.3965361432506887E-4</v>
      </c>
      <c r="P108" s="727">
        <f t="shared" si="7"/>
        <v>6.0846580430670612</v>
      </c>
      <c r="Q108" s="727">
        <f t="shared" si="28"/>
        <v>4.995673629278274</v>
      </c>
      <c r="R108" s="85">
        <f t="shared" si="8"/>
        <v>2.2000000000000002</v>
      </c>
      <c r="S108" s="728">
        <f t="shared" si="9"/>
        <v>8.665506696901138E-4</v>
      </c>
      <c r="T108" s="727">
        <f t="shared" si="10"/>
        <v>0.21112715892055842</v>
      </c>
      <c r="U108" s="727">
        <f t="shared" si="11"/>
        <v>1.9510058937467467</v>
      </c>
      <c r="V108" s="728">
        <f t="shared" si="25"/>
        <v>2.8621330526673052</v>
      </c>
      <c r="W108" s="727">
        <f t="shared" si="12"/>
        <v>1.2879598737002872E-3</v>
      </c>
      <c r="X108" s="727">
        <f t="shared" si="13"/>
        <v>9.9207332541242522E-3</v>
      </c>
      <c r="Y108" s="727">
        <f t="shared" si="14"/>
        <v>1.3938873162497352E-4</v>
      </c>
      <c r="Z108" s="727">
        <f t="shared" si="15"/>
        <v>11.348346742149609</v>
      </c>
      <c r="AA108" s="727">
        <f t="shared" si="29"/>
        <v>2.3106492929095008</v>
      </c>
      <c r="AB108" s="85">
        <f t="shared" si="16"/>
        <v>1.1000000000000001</v>
      </c>
      <c r="AC108" s="728">
        <f t="shared" si="17"/>
        <v>1.8735012458569063E-3</v>
      </c>
      <c r="AD108" s="727">
        <f t="shared" si="18"/>
        <v>9.7652660416941317E-2</v>
      </c>
      <c r="AE108" s="727">
        <f t="shared" si="19"/>
        <v>2.1090584200435929</v>
      </c>
      <c r="AF108" s="728">
        <f t="shared" si="26"/>
        <v>2.9067110804605343</v>
      </c>
      <c r="AG108" s="727">
        <f t="shared" si="20"/>
        <v>1.3080199862072403E-3</v>
      </c>
      <c r="AH108" s="727">
        <f t="shared" si="21"/>
        <v>2.1782907322355542E-2</v>
      </c>
      <c r="AI108" s="727">
        <f t="shared" si="22"/>
        <v>1.3882483930232012E-4</v>
      </c>
      <c r="AJ108" s="727">
        <f t="shared" si="23"/>
        <v>23.230580922887853</v>
      </c>
      <c r="AK108" s="727"/>
      <c r="AL108" s="727"/>
      <c r="AM108" s="727"/>
      <c r="AN108" s="727"/>
      <c r="AO108" s="727"/>
      <c r="AP108" s="727"/>
      <c r="AQ108" s="727"/>
      <c r="AR108" s="464"/>
      <c r="AS108" s="61"/>
      <c r="AT108" s="61"/>
      <c r="AU108" s="61"/>
    </row>
    <row r="109" spans="2:48" x14ac:dyDescent="0.15">
      <c r="B109" s="722"/>
      <c r="C109" s="724"/>
      <c r="D109" s="723"/>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row>
    <row r="110" spans="2:48" x14ac:dyDescent="0.15">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row>
    <row r="111" spans="2:48" ht="17.25" x14ac:dyDescent="0.2">
      <c r="B111" s="154" t="s">
        <v>590</v>
      </c>
      <c r="AB111" s="162"/>
      <c r="AC111" s="162"/>
      <c r="AD111" s="162"/>
      <c r="AE111" s="162"/>
      <c r="AF111" s="162"/>
      <c r="AG111" s="162"/>
      <c r="AH111" s="162"/>
      <c r="AI111" s="162"/>
      <c r="AJ111" s="162"/>
      <c r="AK111" s="162"/>
      <c r="AL111" s="162"/>
      <c r="AM111" s="162"/>
      <c r="AN111" s="162"/>
      <c r="AO111" s="162"/>
      <c r="AP111" s="162"/>
      <c r="AQ111" s="162"/>
    </row>
    <row r="112" spans="2:48" ht="17.25" x14ac:dyDescent="0.2">
      <c r="B112" s="154"/>
    </row>
    <row r="113" spans="1:33" ht="130.5" customHeight="1" x14ac:dyDescent="0.15"/>
    <row r="115" spans="1:33" x14ac:dyDescent="0.15">
      <c r="B115" s="159" t="s">
        <v>541</v>
      </c>
      <c r="C115" s="170">
        <f>C16</f>
        <v>2.8114739012787093</v>
      </c>
      <c r="D115" s="159" t="s">
        <v>202</v>
      </c>
      <c r="E115" s="310" t="s">
        <v>537</v>
      </c>
    </row>
    <row r="116" spans="1:33" ht="18" x14ac:dyDescent="0.35">
      <c r="B116" s="167" t="s">
        <v>1092</v>
      </c>
      <c r="C116" s="45">
        <v>30</v>
      </c>
      <c r="D116" s="311" t="s">
        <v>539</v>
      </c>
      <c r="E116" s="310"/>
    </row>
    <row r="117" spans="1:33" ht="15" x14ac:dyDescent="0.25">
      <c r="B117" s="159" t="s">
        <v>540</v>
      </c>
      <c r="C117" s="45">
        <v>10</v>
      </c>
      <c r="D117" s="311" t="s">
        <v>539</v>
      </c>
      <c r="E117" s="162" t="str">
        <f>IF(C117+C116&gt;360,"Angle of Gap + Event is too large!","")</f>
        <v/>
      </c>
    </row>
    <row r="118" spans="1:33" x14ac:dyDescent="0.15">
      <c r="B118" s="159" t="s">
        <v>538</v>
      </c>
      <c r="C118" s="171">
        <f>360/(C116+C117)</f>
        <v>9</v>
      </c>
      <c r="D118" s="159"/>
      <c r="E118" s="310"/>
    </row>
    <row r="119" spans="1:33" x14ac:dyDescent="0.15">
      <c r="B119" s="159" t="s">
        <v>534</v>
      </c>
      <c r="C119" s="45">
        <v>3</v>
      </c>
      <c r="D119" s="159"/>
      <c r="E119" s="285" t="s">
        <v>606</v>
      </c>
    </row>
    <row r="120" spans="1:33" x14ac:dyDescent="0.15">
      <c r="A120" s="175"/>
      <c r="B120" s="158" t="s">
        <v>536</v>
      </c>
      <c r="C120" s="348">
        <f>C16*60000/C119/C118</f>
        <v>6247.7197806193544</v>
      </c>
      <c r="D120" s="158" t="s">
        <v>535</v>
      </c>
      <c r="E120" s="175"/>
      <c r="F120" s="175"/>
      <c r="G120" s="175"/>
      <c r="H120" s="175"/>
      <c r="I120" s="175"/>
      <c r="J120" s="175"/>
      <c r="K120" s="175"/>
      <c r="L120" s="175"/>
      <c r="M120" s="175"/>
      <c r="N120" s="175"/>
      <c r="O120" s="175"/>
      <c r="P120" s="175"/>
      <c r="Q120" s="175"/>
      <c r="R120" s="175"/>
      <c r="S120" s="175"/>
      <c r="T120" s="175"/>
      <c r="U120" s="175"/>
    </row>
    <row r="121" spans="1:33" x14ac:dyDescent="0.15">
      <c r="A121" s="175"/>
      <c r="B121" s="175"/>
      <c r="C121" s="175"/>
      <c r="D121" s="175"/>
      <c r="E121" s="175"/>
      <c r="F121" s="175"/>
      <c r="G121" s="175"/>
      <c r="H121" s="175"/>
      <c r="I121" s="175"/>
      <c r="J121" s="175"/>
      <c r="K121" s="175"/>
      <c r="L121" s="175"/>
      <c r="M121" s="175"/>
      <c r="N121" s="175"/>
      <c r="O121" s="175"/>
      <c r="P121" s="175"/>
      <c r="Q121" s="175"/>
      <c r="R121" s="175"/>
      <c r="S121" s="175"/>
      <c r="T121" s="175"/>
      <c r="U121" s="175"/>
    </row>
    <row r="122" spans="1:33" x14ac:dyDescent="0.15">
      <c r="A122" s="175"/>
      <c r="B122" s="175"/>
      <c r="C122" s="175"/>
      <c r="D122" s="175"/>
      <c r="E122" s="175"/>
      <c r="F122" s="175"/>
      <c r="G122" s="175"/>
      <c r="H122" s="175"/>
      <c r="I122" s="175"/>
      <c r="J122" s="175"/>
      <c r="K122" s="175"/>
      <c r="L122" s="175"/>
      <c r="M122" s="175"/>
      <c r="N122" s="175"/>
      <c r="O122" s="175"/>
      <c r="P122" s="175"/>
      <c r="Q122" s="175"/>
      <c r="R122" s="175"/>
      <c r="S122" s="175"/>
      <c r="T122" s="175"/>
      <c r="U122" s="175"/>
    </row>
    <row r="123" spans="1:33" x14ac:dyDescent="0.15">
      <c r="A123" s="176"/>
      <c r="B123" s="176"/>
      <c r="C123" s="176"/>
      <c r="D123" s="176"/>
      <c r="E123" s="176"/>
      <c r="F123" s="176"/>
      <c r="G123" s="176"/>
      <c r="H123" s="176"/>
      <c r="I123" s="176"/>
      <c r="J123" s="176"/>
      <c r="K123" s="176"/>
      <c r="L123" s="176"/>
      <c r="M123" s="176"/>
      <c r="N123" s="176"/>
      <c r="O123" s="176"/>
      <c r="P123" s="176"/>
      <c r="Q123" s="176"/>
      <c r="R123" s="175"/>
      <c r="S123" s="177" t="str">
        <f>CONCATENATE("Switching Distance (",D23,")")</f>
        <v>Switching Distance (mm)</v>
      </c>
      <c r="T123" s="177"/>
      <c r="U123" s="177"/>
      <c r="V123" s="177"/>
      <c r="W123" s="177"/>
      <c r="X123" s="177"/>
      <c r="Y123" s="177"/>
      <c r="Z123" s="177"/>
      <c r="AA123" s="177"/>
      <c r="AB123" s="177"/>
      <c r="AC123" s="177"/>
      <c r="AD123" s="177"/>
      <c r="AE123" s="177"/>
      <c r="AF123" s="177"/>
      <c r="AG123" s="175"/>
    </row>
    <row r="124" spans="1:33" hidden="1" x14ac:dyDescent="0.15">
      <c r="A124" s="176"/>
      <c r="B124" s="628" t="s">
        <v>430</v>
      </c>
      <c r="C124" s="628" t="s">
        <v>429</v>
      </c>
      <c r="D124" s="628" t="s">
        <v>428</v>
      </c>
      <c r="E124" s="628" t="s">
        <v>431</v>
      </c>
      <c r="F124" s="628" t="s">
        <v>432</v>
      </c>
      <c r="G124" s="628"/>
      <c r="H124" s="628"/>
      <c r="I124" s="628"/>
      <c r="J124" s="628"/>
      <c r="K124" s="628"/>
      <c r="L124" s="628"/>
      <c r="M124" s="628"/>
      <c r="N124" s="628"/>
      <c r="O124" s="628"/>
      <c r="P124" s="628"/>
      <c r="Q124" s="628"/>
      <c r="R124" s="628"/>
      <c r="S124" s="628" t="s">
        <v>451</v>
      </c>
      <c r="T124" s="628" t="s">
        <v>452</v>
      </c>
      <c r="U124" s="628" t="s">
        <v>453</v>
      </c>
      <c r="V124" s="628" t="s">
        <v>454</v>
      </c>
      <c r="W124" s="628" t="s">
        <v>455</v>
      </c>
      <c r="X124" s="628" t="s">
        <v>456</v>
      </c>
      <c r="Y124" s="628" t="s">
        <v>457</v>
      </c>
      <c r="Z124" s="179" t="str">
        <f>C23&amp;D23</f>
        <v>9mm</v>
      </c>
      <c r="AA124" s="179"/>
      <c r="AB124" s="179"/>
      <c r="AC124" s="179"/>
      <c r="AD124" s="179"/>
      <c r="AE124" s="179"/>
      <c r="AF124" s="179"/>
      <c r="AG124" s="175"/>
    </row>
    <row r="125" spans="1:33" hidden="1" x14ac:dyDescent="0.15">
      <c r="A125" s="176"/>
      <c r="B125" s="623">
        <v>250000</v>
      </c>
      <c r="C125" s="623">
        <f>1.3/(2*PI()*C$8*0.001*$B125*10^-6)</f>
        <v>137.93428401297598</v>
      </c>
      <c r="D125" s="624">
        <f>2/((2*PI()*$B125*10^-6)^2*33)*10^6</f>
        <v>24562.711186021286</v>
      </c>
      <c r="E125" s="625">
        <f>C14*1000000</f>
        <v>12170882.689518223</v>
      </c>
      <c r="F125" s="626">
        <f>C10</f>
        <v>6</v>
      </c>
      <c r="G125" s="626"/>
      <c r="H125" s="626"/>
      <c r="I125" s="626"/>
      <c r="J125" s="166"/>
      <c r="K125" s="166"/>
      <c r="L125" s="166"/>
      <c r="M125" s="166"/>
      <c r="N125" s="166"/>
      <c r="O125" s="166"/>
      <c r="P125" s="166"/>
      <c r="Q125" s="166"/>
      <c r="R125" s="166"/>
      <c r="S125" s="166">
        <v>15</v>
      </c>
      <c r="T125" s="166">
        <v>4.0773946360153248</v>
      </c>
      <c r="U125" s="166">
        <v>3.73639846743295</v>
      </c>
      <c r="V125" s="166">
        <f>T125/100*$C$23</f>
        <v>0.36696551724137921</v>
      </c>
      <c r="W125" s="166">
        <f>U125/100*$C$23</f>
        <v>0.33627586206896548</v>
      </c>
      <c r="X125" s="166">
        <f>$C$40</f>
        <v>1.4</v>
      </c>
      <c r="Y125" s="626">
        <f>$C$25</f>
        <v>1.2</v>
      </c>
      <c r="Z125" s="177"/>
      <c r="AA125" s="177"/>
      <c r="AB125" s="177"/>
      <c r="AC125" s="177"/>
      <c r="AD125" s="177"/>
      <c r="AE125" s="177"/>
      <c r="AF125" s="177"/>
      <c r="AG125" s="175"/>
    </row>
    <row r="126" spans="1:33" hidden="1" x14ac:dyDescent="0.15">
      <c r="A126" s="176"/>
      <c r="B126" s="623">
        <v>500000</v>
      </c>
      <c r="C126" s="623">
        <f t="shared" ref="C126:C189" si="30">1.3/(2*PI()*C$8*0.001*$B126*10^-6)</f>
        <v>68.96714200648799</v>
      </c>
      <c r="D126" s="624">
        <f t="shared" ref="D126:D189" si="31">2/((2*PI()*$B126*10^-6)^2*33)*10^6</f>
        <v>6140.6777965053216</v>
      </c>
      <c r="E126" s="625">
        <f>1000000000/(PI()*SQRT(2*F126*C$13))</f>
        <v>12595240.046250511</v>
      </c>
      <c r="F126" s="627">
        <f>F125-(F$125-F$129)/4</f>
        <v>5.6025082593606239</v>
      </c>
      <c r="G126" s="627"/>
      <c r="H126" s="627"/>
      <c r="I126" s="627"/>
      <c r="J126" s="166"/>
      <c r="K126" s="166"/>
      <c r="L126" s="166"/>
      <c r="M126" s="166"/>
      <c r="N126" s="166"/>
      <c r="O126" s="166"/>
      <c r="P126" s="166"/>
      <c r="Q126" s="166"/>
      <c r="R126" s="166"/>
      <c r="S126" s="166">
        <v>14</v>
      </c>
      <c r="T126" s="166">
        <v>8.5272030651341009</v>
      </c>
      <c r="U126" s="166">
        <v>7.9954022988505749</v>
      </c>
      <c r="V126" s="166">
        <f t="shared" ref="V126:W138" si="32">T126/100*$C$23</f>
        <v>0.7674482758620691</v>
      </c>
      <c r="W126" s="166">
        <f t="shared" si="32"/>
        <v>0.71958620689655173</v>
      </c>
      <c r="X126" s="166">
        <f t="shared" ref="X126:X139" si="33">$C$40</f>
        <v>1.4</v>
      </c>
      <c r="Y126" s="626">
        <f t="shared" ref="Y126:Y139" si="34">$C$25</f>
        <v>1.2</v>
      </c>
      <c r="Z126" s="177"/>
      <c r="AA126" s="177"/>
      <c r="AB126" s="177"/>
      <c r="AC126" s="177"/>
      <c r="AD126" s="177"/>
      <c r="AE126" s="177"/>
      <c r="AF126" s="177"/>
      <c r="AG126" s="175"/>
    </row>
    <row r="127" spans="1:33" hidden="1" x14ac:dyDescent="0.15">
      <c r="A127" s="176"/>
      <c r="B127" s="623">
        <f t="shared" ref="B127:B158" si="35">B126+B$125</f>
        <v>750000</v>
      </c>
      <c r="C127" s="623">
        <f t="shared" si="30"/>
        <v>45.978094670991986</v>
      </c>
      <c r="D127" s="624">
        <f t="shared" si="31"/>
        <v>2729.1901317801421</v>
      </c>
      <c r="E127" s="625">
        <f>1000000000/(PI()*SQRT(2*F127*C$13))</f>
        <v>13067323.583234638</v>
      </c>
      <c r="F127" s="627">
        <f t="shared" ref="F127:F128" si="36">F126-(F$125-F$129)/4</f>
        <v>5.2050165187212478</v>
      </c>
      <c r="G127" s="627"/>
      <c r="H127" s="627"/>
      <c r="I127" s="627"/>
      <c r="J127" s="166"/>
      <c r="K127" s="166"/>
      <c r="L127" s="166"/>
      <c r="M127" s="166"/>
      <c r="N127" s="166"/>
      <c r="O127" s="166"/>
      <c r="P127" s="166"/>
      <c r="Q127" s="166"/>
      <c r="R127" s="166"/>
      <c r="S127" s="166">
        <v>13</v>
      </c>
      <c r="T127" s="166">
        <v>12.209961685823755</v>
      </c>
      <c r="U127" s="166">
        <v>11.578160919540201</v>
      </c>
      <c r="V127" s="166">
        <f t="shared" si="32"/>
        <v>1.0988965517241378</v>
      </c>
      <c r="W127" s="166">
        <f t="shared" si="32"/>
        <v>1.0420344827586181</v>
      </c>
      <c r="X127" s="166">
        <f t="shared" si="33"/>
        <v>1.4</v>
      </c>
      <c r="Y127" s="626">
        <f t="shared" si="34"/>
        <v>1.2</v>
      </c>
      <c r="Z127" s="177"/>
      <c r="AA127" s="177"/>
      <c r="AB127" s="177"/>
      <c r="AC127" s="177"/>
      <c r="AD127" s="177"/>
      <c r="AE127" s="177"/>
      <c r="AF127" s="177"/>
      <c r="AG127" s="175"/>
    </row>
    <row r="128" spans="1:33" hidden="1" x14ac:dyDescent="0.15">
      <c r="A128" s="176"/>
      <c r="B128" s="623">
        <f t="shared" si="35"/>
        <v>1000000</v>
      </c>
      <c r="C128" s="623">
        <f t="shared" si="30"/>
        <v>34.483571003243995</v>
      </c>
      <c r="D128" s="624">
        <f t="shared" si="31"/>
        <v>1535.1694491263304</v>
      </c>
      <c r="E128" s="625">
        <f>1000000000/(PI()*SQRT(2*F128*C$13))</f>
        <v>13596807.093993297</v>
      </c>
      <c r="F128" s="627">
        <f t="shared" si="36"/>
        <v>4.8075247780818717</v>
      </c>
      <c r="G128" s="627"/>
      <c r="H128" s="627"/>
      <c r="I128" s="627"/>
      <c r="J128" s="166"/>
      <c r="K128" s="166"/>
      <c r="L128" s="166"/>
      <c r="M128" s="166"/>
      <c r="N128" s="166"/>
      <c r="O128" s="166"/>
      <c r="P128" s="166"/>
      <c r="Q128" s="166"/>
      <c r="R128" s="166"/>
      <c r="S128" s="166">
        <v>12</v>
      </c>
      <c r="T128" s="166">
        <v>15.424137931034485</v>
      </c>
      <c r="U128" s="166">
        <v>14.71455938697318</v>
      </c>
      <c r="V128" s="166">
        <f t="shared" si="32"/>
        <v>1.3881724137931035</v>
      </c>
      <c r="W128" s="166">
        <f t="shared" si="32"/>
        <v>1.3243103448275861</v>
      </c>
      <c r="X128" s="166">
        <f t="shared" si="33"/>
        <v>1.4</v>
      </c>
      <c r="Y128" s="626">
        <f t="shared" si="34"/>
        <v>1.2</v>
      </c>
      <c r="Z128" s="177"/>
      <c r="AA128" s="177"/>
      <c r="AB128" s="177"/>
      <c r="AC128" s="177"/>
      <c r="AD128" s="177"/>
      <c r="AE128" s="177"/>
      <c r="AF128" s="177"/>
      <c r="AG128" s="175"/>
    </row>
    <row r="129" spans="1:33" hidden="1" x14ac:dyDescent="0.15">
      <c r="A129" s="176"/>
      <c r="B129" s="623">
        <f t="shared" si="35"/>
        <v>1250000</v>
      </c>
      <c r="C129" s="623">
        <f t="shared" si="30"/>
        <v>27.586856802595197</v>
      </c>
      <c r="D129" s="624">
        <f t="shared" si="31"/>
        <v>982.50844744085134</v>
      </c>
      <c r="E129" s="625">
        <f>C31*1000000</f>
        <v>14196352.685462618</v>
      </c>
      <c r="F129" s="627">
        <f>C30</f>
        <v>4.4100330374424939</v>
      </c>
      <c r="G129" s="627"/>
      <c r="H129" s="627"/>
      <c r="I129" s="627"/>
      <c r="J129" s="166"/>
      <c r="K129" s="166"/>
      <c r="L129" s="166"/>
      <c r="M129" s="166"/>
      <c r="N129" s="166"/>
      <c r="O129" s="166"/>
      <c r="P129" s="166"/>
      <c r="Q129" s="166"/>
      <c r="R129" s="166"/>
      <c r="S129" s="166">
        <v>11</v>
      </c>
      <c r="T129" s="166">
        <v>18.627203065134101</v>
      </c>
      <c r="U129" s="166">
        <v>17.736015325670497</v>
      </c>
      <c r="V129" s="166">
        <f t="shared" si="32"/>
        <v>1.6764482758620691</v>
      </c>
      <c r="W129" s="166">
        <f t="shared" si="32"/>
        <v>1.5962413793103445</v>
      </c>
      <c r="X129" s="166">
        <f t="shared" si="33"/>
        <v>1.4</v>
      </c>
      <c r="Y129" s="626">
        <f t="shared" si="34"/>
        <v>1.2</v>
      </c>
      <c r="Z129" s="177"/>
      <c r="AA129" s="177"/>
      <c r="AB129" s="177"/>
      <c r="AC129" s="177"/>
      <c r="AD129" s="177"/>
      <c r="AE129" s="177"/>
      <c r="AF129" s="177"/>
      <c r="AG129" s="175"/>
    </row>
    <row r="130" spans="1:33" hidden="1" x14ac:dyDescent="0.15">
      <c r="A130" s="176"/>
      <c r="B130" s="623">
        <f t="shared" si="35"/>
        <v>1500000</v>
      </c>
      <c r="C130" s="623">
        <f t="shared" si="30"/>
        <v>22.989047335495993</v>
      </c>
      <c r="D130" s="624">
        <f t="shared" si="31"/>
        <v>682.29753294503553</v>
      </c>
      <c r="E130" s="625"/>
      <c r="F130" s="166"/>
      <c r="G130" s="166"/>
      <c r="H130" s="166"/>
      <c r="I130" s="166"/>
      <c r="J130" s="166"/>
      <c r="K130" s="166"/>
      <c r="L130" s="166"/>
      <c r="M130" s="166"/>
      <c r="N130" s="166"/>
      <c r="O130" s="166"/>
      <c r="P130" s="166"/>
      <c r="Q130" s="166"/>
      <c r="R130" s="166"/>
      <c r="S130" s="166">
        <v>10</v>
      </c>
      <c r="T130" s="166">
        <v>21.622605363984675</v>
      </c>
      <c r="U130" s="166">
        <v>20.666666666666668</v>
      </c>
      <c r="V130" s="166">
        <f t="shared" si="32"/>
        <v>1.9460344827586209</v>
      </c>
      <c r="W130" s="166">
        <f t="shared" si="32"/>
        <v>1.8599999999999999</v>
      </c>
      <c r="X130" s="166">
        <f t="shared" si="33"/>
        <v>1.4</v>
      </c>
      <c r="Y130" s="626">
        <f t="shared" si="34"/>
        <v>1.2</v>
      </c>
      <c r="Z130" s="177"/>
      <c r="AA130" s="177"/>
      <c r="AB130" s="177"/>
      <c r="AC130" s="177"/>
      <c r="AD130" s="177"/>
      <c r="AE130" s="177"/>
      <c r="AF130" s="177"/>
      <c r="AG130" s="175"/>
    </row>
    <row r="131" spans="1:33" hidden="1" x14ac:dyDescent="0.15">
      <c r="A131" s="176"/>
      <c r="B131" s="623">
        <f t="shared" si="35"/>
        <v>1750000</v>
      </c>
      <c r="C131" s="623">
        <f t="shared" si="30"/>
        <v>19.704897716139428</v>
      </c>
      <c r="D131" s="624">
        <f t="shared" si="31"/>
        <v>501.27982012288322</v>
      </c>
      <c r="E131" s="625"/>
      <c r="F131" s="166"/>
      <c r="G131" s="166"/>
      <c r="H131" s="166"/>
      <c r="I131" s="166"/>
      <c r="J131" s="166"/>
      <c r="K131" s="166"/>
      <c r="L131" s="166"/>
      <c r="M131" s="166"/>
      <c r="N131" s="166"/>
      <c r="O131" s="166"/>
      <c r="P131" s="166"/>
      <c r="Q131" s="166"/>
      <c r="R131" s="166"/>
      <c r="S131" s="166">
        <v>9</v>
      </c>
      <c r="T131" s="166">
        <v>24.501149425287355</v>
      </c>
      <c r="U131" s="166">
        <v>23.232183908045972</v>
      </c>
      <c r="V131" s="166">
        <f t="shared" si="32"/>
        <v>2.205103448275862</v>
      </c>
      <c r="W131" s="166">
        <f t="shared" si="32"/>
        <v>2.0908965517241374</v>
      </c>
      <c r="X131" s="166">
        <f t="shared" si="33"/>
        <v>1.4</v>
      </c>
      <c r="Y131" s="626">
        <f t="shared" si="34"/>
        <v>1.2</v>
      </c>
      <c r="Z131" s="177"/>
      <c r="AA131" s="177"/>
      <c r="AB131" s="177"/>
      <c r="AC131" s="177"/>
      <c r="AD131" s="177"/>
      <c r="AE131" s="177"/>
      <c r="AF131" s="177"/>
      <c r="AG131" s="175"/>
    </row>
    <row r="132" spans="1:33" hidden="1" x14ac:dyDescent="0.15">
      <c r="A132" s="176"/>
      <c r="B132" s="623">
        <f t="shared" si="35"/>
        <v>2000000</v>
      </c>
      <c r="C132" s="623">
        <f t="shared" si="30"/>
        <v>17.241785501621997</v>
      </c>
      <c r="D132" s="624">
        <f t="shared" si="31"/>
        <v>383.7923622815826</v>
      </c>
      <c r="E132" s="625">
        <f>1000000000/(PI()*SQRT(2*F132*C$13))</f>
        <v>13318021.257948814</v>
      </c>
      <c r="F132" s="166">
        <f>C10*C44</f>
        <v>5.0109029987802671</v>
      </c>
      <c r="G132" s="166"/>
      <c r="H132" s="166"/>
      <c r="I132" s="166"/>
      <c r="J132" s="166" t="s">
        <v>437</v>
      </c>
      <c r="K132" s="166"/>
      <c r="L132" s="166"/>
      <c r="M132" s="166"/>
      <c r="N132" s="166"/>
      <c r="O132" s="166"/>
      <c r="P132" s="166"/>
      <c r="Q132" s="166"/>
      <c r="R132" s="166"/>
      <c r="S132" s="166">
        <v>8</v>
      </c>
      <c r="T132" s="166">
        <v>27.383524904214564</v>
      </c>
      <c r="U132" s="166">
        <v>25.91072796934866</v>
      </c>
      <c r="V132" s="166">
        <f t="shared" si="32"/>
        <v>2.4645172413793106</v>
      </c>
      <c r="W132" s="166">
        <f t="shared" si="32"/>
        <v>2.3319655172413789</v>
      </c>
      <c r="X132" s="166">
        <f t="shared" si="33"/>
        <v>1.4</v>
      </c>
      <c r="Y132" s="626">
        <f t="shared" si="34"/>
        <v>1.2</v>
      </c>
      <c r="Z132" s="177"/>
      <c r="AA132" s="177"/>
      <c r="AB132" s="177"/>
      <c r="AC132" s="177"/>
      <c r="AD132" s="177"/>
      <c r="AE132" s="177"/>
      <c r="AF132" s="177"/>
      <c r="AG132" s="175"/>
    </row>
    <row r="133" spans="1:33" hidden="1" x14ac:dyDescent="0.15">
      <c r="A133" s="176"/>
      <c r="B133" s="623">
        <f t="shared" si="35"/>
        <v>2250000</v>
      </c>
      <c r="C133" s="623">
        <f t="shared" si="30"/>
        <v>15.32603155699733</v>
      </c>
      <c r="D133" s="624">
        <f t="shared" si="31"/>
        <v>303.24334797557145</v>
      </c>
      <c r="E133" s="625">
        <f>1000000000/(PI()*SQRT(2*F133*C$13))</f>
        <v>13882331.893091129</v>
      </c>
      <c r="F133" s="166">
        <f>C10*C54</f>
        <v>4.6118009774880893</v>
      </c>
      <c r="G133" s="166"/>
      <c r="H133" s="166"/>
      <c r="I133" s="166"/>
      <c r="J133" s="166" t="s">
        <v>438</v>
      </c>
      <c r="K133" s="166"/>
      <c r="L133" s="166"/>
      <c r="M133" s="166"/>
      <c r="N133" s="166"/>
      <c r="O133" s="166"/>
      <c r="P133" s="166"/>
      <c r="Q133" s="166"/>
      <c r="R133" s="166"/>
      <c r="S133" s="166">
        <v>7</v>
      </c>
      <c r="T133" s="166">
        <v>30.434482758620693</v>
      </c>
      <c r="U133" s="166">
        <v>28.681992337164754</v>
      </c>
      <c r="V133" s="166">
        <f t="shared" si="32"/>
        <v>2.7391034482758623</v>
      </c>
      <c r="W133" s="166">
        <f t="shared" si="32"/>
        <v>2.5813793103448277</v>
      </c>
      <c r="X133" s="166">
        <f t="shared" si="33"/>
        <v>1.4</v>
      </c>
      <c r="Y133" s="626">
        <f t="shared" si="34"/>
        <v>1.2</v>
      </c>
      <c r="Z133" s="177"/>
      <c r="AA133" s="177"/>
      <c r="AB133" s="177"/>
      <c r="AC133" s="177"/>
      <c r="AD133" s="177"/>
      <c r="AE133" s="177"/>
      <c r="AF133" s="177"/>
      <c r="AG133" s="175"/>
    </row>
    <row r="134" spans="1:33" hidden="1" x14ac:dyDescent="0.15">
      <c r="A134" s="176"/>
      <c r="B134" s="623">
        <f t="shared" si="35"/>
        <v>2500000</v>
      </c>
      <c r="C134" s="623">
        <f t="shared" si="30"/>
        <v>13.793428401297598</v>
      </c>
      <c r="D134" s="624">
        <f t="shared" si="31"/>
        <v>245.62711186021284</v>
      </c>
      <c r="E134" s="166"/>
      <c r="F134" s="166"/>
      <c r="G134" s="166"/>
      <c r="H134" s="166"/>
      <c r="I134" s="166"/>
      <c r="J134" s="166"/>
      <c r="K134" s="166"/>
      <c r="L134" s="166"/>
      <c r="M134" s="166"/>
      <c r="N134" s="166"/>
      <c r="O134" s="166"/>
      <c r="P134" s="166"/>
      <c r="Q134" s="166"/>
      <c r="R134" s="166"/>
      <c r="S134" s="166">
        <v>6</v>
      </c>
      <c r="T134" s="166">
        <v>33.48735632183908</v>
      </c>
      <c r="U134" s="166">
        <v>31.35325670498084</v>
      </c>
      <c r="V134" s="166">
        <f t="shared" si="32"/>
        <v>3.0138620689655173</v>
      </c>
      <c r="W134" s="166">
        <f t="shared" si="32"/>
        <v>2.8217931034482757</v>
      </c>
      <c r="X134" s="166">
        <f t="shared" si="33"/>
        <v>1.4</v>
      </c>
      <c r="Y134" s="626">
        <f t="shared" si="34"/>
        <v>1.2</v>
      </c>
      <c r="Z134" s="177"/>
      <c r="AA134" s="177"/>
      <c r="AB134" s="177"/>
      <c r="AC134" s="177"/>
      <c r="AD134" s="177"/>
      <c r="AE134" s="177"/>
      <c r="AF134" s="177"/>
      <c r="AG134" s="175"/>
    </row>
    <row r="135" spans="1:33" hidden="1" x14ac:dyDescent="0.15">
      <c r="A135" s="176"/>
      <c r="B135" s="623">
        <f t="shared" si="35"/>
        <v>2750000</v>
      </c>
      <c r="C135" s="623">
        <f t="shared" si="30"/>
        <v>12.539480364815997</v>
      </c>
      <c r="D135" s="624">
        <f t="shared" si="31"/>
        <v>202.99761310761392</v>
      </c>
      <c r="E135" s="166"/>
      <c r="F135" s="166"/>
      <c r="G135" s="166"/>
      <c r="H135" s="166"/>
      <c r="I135" s="166"/>
      <c r="J135" s="166"/>
      <c r="K135" s="166"/>
      <c r="L135" s="166"/>
      <c r="M135" s="166"/>
      <c r="N135" s="166"/>
      <c r="O135" s="166"/>
      <c r="P135" s="166"/>
      <c r="Q135" s="166"/>
      <c r="R135" s="166"/>
      <c r="S135" s="166">
        <v>5</v>
      </c>
      <c r="T135" s="166">
        <v>36.708812260536398</v>
      </c>
      <c r="U135" s="166">
        <v>33.976245210727967</v>
      </c>
      <c r="V135" s="166">
        <f t="shared" si="32"/>
        <v>3.3037931034482759</v>
      </c>
      <c r="W135" s="166">
        <f t="shared" si="32"/>
        <v>3.0578620689655169</v>
      </c>
      <c r="X135" s="166">
        <f t="shared" si="33"/>
        <v>1.4</v>
      </c>
      <c r="Y135" s="626">
        <f t="shared" si="34"/>
        <v>1.2</v>
      </c>
      <c r="Z135" s="177"/>
      <c r="AA135" s="177"/>
      <c r="AB135" s="177"/>
      <c r="AC135" s="177"/>
      <c r="AD135" s="177"/>
      <c r="AE135" s="177"/>
      <c r="AF135" s="177"/>
      <c r="AG135" s="175"/>
    </row>
    <row r="136" spans="1:33" hidden="1" x14ac:dyDescent="0.15">
      <c r="A136" s="176"/>
      <c r="B136" s="623">
        <f t="shared" si="35"/>
        <v>3000000</v>
      </c>
      <c r="C136" s="623">
        <f t="shared" si="30"/>
        <v>11.494523667747996</v>
      </c>
      <c r="D136" s="624">
        <f t="shared" si="31"/>
        <v>170.57438323625888</v>
      </c>
      <c r="E136" s="166"/>
      <c r="F136" s="166"/>
      <c r="G136" s="166"/>
      <c r="H136" s="166"/>
      <c r="I136" s="166"/>
      <c r="J136" s="166"/>
      <c r="K136" s="166"/>
      <c r="L136" s="166"/>
      <c r="M136" s="166"/>
      <c r="N136" s="166"/>
      <c r="O136" s="166"/>
      <c r="P136" s="166"/>
      <c r="Q136" s="166"/>
      <c r="R136" s="166"/>
      <c r="S136" s="166">
        <v>4</v>
      </c>
      <c r="T136" s="166">
        <v>40.039463601532567</v>
      </c>
      <c r="U136" s="166">
        <v>36.918007662835244</v>
      </c>
      <c r="V136" s="166">
        <f t="shared" si="32"/>
        <v>3.6035517241379309</v>
      </c>
      <c r="W136" s="166">
        <f t="shared" si="32"/>
        <v>3.3226206896551722</v>
      </c>
      <c r="X136" s="166">
        <f t="shared" si="33"/>
        <v>1.4</v>
      </c>
      <c r="Y136" s="626">
        <f t="shared" si="34"/>
        <v>1.2</v>
      </c>
      <c r="Z136" s="177"/>
      <c r="AA136" s="177"/>
      <c r="AB136" s="177"/>
      <c r="AC136" s="177"/>
      <c r="AD136" s="177"/>
      <c r="AE136" s="177"/>
      <c r="AF136" s="177"/>
      <c r="AG136" s="175"/>
    </row>
    <row r="137" spans="1:33" hidden="1" x14ac:dyDescent="0.15">
      <c r="A137" s="176"/>
      <c r="B137" s="623">
        <f t="shared" si="35"/>
        <v>3250000</v>
      </c>
      <c r="C137" s="623">
        <f t="shared" si="30"/>
        <v>10.610329539459689</v>
      </c>
      <c r="D137" s="624">
        <f t="shared" si="31"/>
        <v>145.34148630781823</v>
      </c>
      <c r="E137" s="166"/>
      <c r="F137" s="166"/>
      <c r="G137" s="166"/>
      <c r="H137" s="166"/>
      <c r="I137" s="166"/>
      <c r="J137" s="166"/>
      <c r="K137" s="166"/>
      <c r="L137" s="166"/>
      <c r="M137" s="166"/>
      <c r="N137" s="166"/>
      <c r="O137" s="166"/>
      <c r="P137" s="166"/>
      <c r="Q137" s="166"/>
      <c r="R137" s="166"/>
      <c r="S137" s="166">
        <v>3</v>
      </c>
      <c r="T137" s="166">
        <v>43.125670498084297</v>
      </c>
      <c r="U137" s="166">
        <v>39.567049808429118</v>
      </c>
      <c r="V137" s="166">
        <f t="shared" si="32"/>
        <v>3.8813103448275865</v>
      </c>
      <c r="W137" s="166">
        <f t="shared" si="32"/>
        <v>3.5610344827586204</v>
      </c>
      <c r="X137" s="166">
        <f t="shared" si="33"/>
        <v>1.4</v>
      </c>
      <c r="Y137" s="626">
        <f t="shared" si="34"/>
        <v>1.2</v>
      </c>
      <c r="Z137" s="177"/>
      <c r="AA137" s="177"/>
      <c r="AB137" s="177"/>
      <c r="AC137" s="177"/>
      <c r="AD137" s="177"/>
      <c r="AE137" s="177"/>
      <c r="AF137" s="177"/>
      <c r="AG137" s="175"/>
    </row>
    <row r="138" spans="1:33" hidden="1" x14ac:dyDescent="0.15">
      <c r="A138" s="176"/>
      <c r="B138" s="623">
        <f t="shared" si="35"/>
        <v>3500000</v>
      </c>
      <c r="C138" s="623">
        <f t="shared" si="30"/>
        <v>9.8524488580697138</v>
      </c>
      <c r="D138" s="624">
        <f t="shared" si="31"/>
        <v>125.31995503072081</v>
      </c>
      <c r="E138" s="166"/>
      <c r="F138" s="166"/>
      <c r="G138" s="166"/>
      <c r="H138" s="166"/>
      <c r="I138" s="166"/>
      <c r="J138" s="166"/>
      <c r="K138" s="166"/>
      <c r="L138" s="166"/>
      <c r="M138" s="166"/>
      <c r="N138" s="166"/>
      <c r="O138" s="166"/>
      <c r="P138" s="166"/>
      <c r="Q138" s="166"/>
      <c r="R138" s="166"/>
      <c r="S138" s="166">
        <v>2</v>
      </c>
      <c r="T138" s="166">
        <v>46.011877394636009</v>
      </c>
      <c r="U138" s="166">
        <v>41.769731800766287</v>
      </c>
      <c r="V138" s="166">
        <f t="shared" si="32"/>
        <v>4.141068965517241</v>
      </c>
      <c r="W138" s="166">
        <f t="shared" si="32"/>
        <v>3.7592758620689657</v>
      </c>
      <c r="X138" s="166">
        <f t="shared" si="33"/>
        <v>1.4</v>
      </c>
      <c r="Y138" s="626">
        <f t="shared" si="34"/>
        <v>1.2</v>
      </c>
      <c r="Z138" s="177"/>
      <c r="AA138" s="177"/>
      <c r="AB138" s="177"/>
      <c r="AC138" s="177"/>
      <c r="AD138" s="177"/>
      <c r="AE138" s="177"/>
      <c r="AF138" s="177"/>
      <c r="AG138" s="175"/>
    </row>
    <row r="139" spans="1:33" hidden="1" x14ac:dyDescent="0.15">
      <c r="A139" s="176"/>
      <c r="B139" s="623">
        <f t="shared" si="35"/>
        <v>3750000</v>
      </c>
      <c r="C139" s="623">
        <f t="shared" si="30"/>
        <v>9.1956189341983983</v>
      </c>
      <c r="D139" s="624">
        <f t="shared" si="31"/>
        <v>109.16760527120572</v>
      </c>
      <c r="E139" s="166"/>
      <c r="F139" s="166"/>
      <c r="G139" s="166"/>
      <c r="H139" s="166"/>
      <c r="I139" s="166"/>
      <c r="J139" s="166"/>
      <c r="K139" s="166"/>
      <c r="L139" s="166"/>
      <c r="M139" s="166"/>
      <c r="N139" s="166"/>
      <c r="O139" s="166"/>
      <c r="P139" s="166"/>
      <c r="Q139" s="166"/>
      <c r="R139" s="166"/>
      <c r="S139" s="166">
        <v>1</v>
      </c>
      <c r="T139" s="166">
        <v>49.546360153256707</v>
      </c>
      <c r="U139" s="166">
        <v>44.563218390804593</v>
      </c>
      <c r="V139" s="166">
        <f>T139/100*$C$23</f>
        <v>4.4591724137931035</v>
      </c>
      <c r="W139" s="166">
        <f>U139/100*$C$23</f>
        <v>4.0106896551724134</v>
      </c>
      <c r="X139" s="166">
        <f t="shared" si="33"/>
        <v>1.4</v>
      </c>
      <c r="Y139" s="626">
        <f t="shared" si="34"/>
        <v>1.2</v>
      </c>
      <c r="Z139" s="177"/>
      <c r="AA139" s="177"/>
      <c r="AB139" s="177"/>
      <c r="AC139" s="177"/>
      <c r="AD139" s="177"/>
      <c r="AE139" s="177"/>
      <c r="AF139" s="177"/>
      <c r="AG139" s="175"/>
    </row>
    <row r="140" spans="1:33" hidden="1" x14ac:dyDescent="0.15">
      <c r="A140" s="176"/>
      <c r="B140" s="623">
        <f t="shared" si="35"/>
        <v>4000000</v>
      </c>
      <c r="C140" s="623">
        <f t="shared" si="30"/>
        <v>8.6208927508109987</v>
      </c>
      <c r="D140" s="624">
        <f t="shared" si="31"/>
        <v>95.948090570395649</v>
      </c>
      <c r="E140" s="166"/>
      <c r="F140" s="166"/>
      <c r="G140" s="166"/>
      <c r="H140" s="166"/>
      <c r="I140" s="166"/>
      <c r="J140" s="166"/>
      <c r="K140" s="166"/>
      <c r="L140" s="166"/>
      <c r="M140" s="166"/>
      <c r="N140" s="166"/>
      <c r="O140" s="166"/>
      <c r="P140" s="166"/>
      <c r="Q140" s="166"/>
      <c r="R140" s="166"/>
      <c r="S140" s="166"/>
      <c r="T140" s="166"/>
      <c r="U140" s="166"/>
      <c r="V140" s="166"/>
      <c r="W140" s="166"/>
      <c r="X140" s="166"/>
      <c r="Y140" s="166"/>
      <c r="Z140" s="177"/>
      <c r="AA140" s="177"/>
      <c r="AB140" s="177"/>
      <c r="AC140" s="177"/>
      <c r="AD140" s="177"/>
      <c r="AE140" s="177"/>
      <c r="AF140" s="177"/>
      <c r="AG140" s="175"/>
    </row>
    <row r="141" spans="1:33" hidden="1" x14ac:dyDescent="0.15">
      <c r="A141" s="176"/>
      <c r="B141" s="623">
        <f t="shared" si="35"/>
        <v>4250000</v>
      </c>
      <c r="C141" s="623">
        <f t="shared" si="30"/>
        <v>8.1137814125279988</v>
      </c>
      <c r="D141" s="624">
        <f t="shared" si="31"/>
        <v>84.992080228447335</v>
      </c>
      <c r="E141" s="166"/>
      <c r="F141" s="166"/>
      <c r="G141" s="166"/>
      <c r="H141" s="166"/>
      <c r="I141" s="166"/>
      <c r="J141" s="166"/>
      <c r="K141" s="166"/>
      <c r="L141" s="166"/>
      <c r="M141" s="166"/>
      <c r="N141" s="166"/>
      <c r="O141" s="166"/>
      <c r="P141" s="166"/>
      <c r="Q141" s="166"/>
      <c r="R141" s="166"/>
      <c r="S141" s="166"/>
      <c r="T141" s="166"/>
      <c r="U141" s="166"/>
      <c r="V141" s="166"/>
      <c r="W141" s="166"/>
      <c r="X141" s="166"/>
      <c r="Y141" s="166"/>
      <c r="Z141" s="177"/>
      <c r="AA141" s="177"/>
      <c r="AB141" s="177"/>
      <c r="AC141" s="177"/>
      <c r="AD141" s="177"/>
      <c r="AE141" s="177"/>
      <c r="AF141" s="177"/>
    </row>
    <row r="142" spans="1:33" hidden="1" x14ac:dyDescent="0.15">
      <c r="A142" s="176"/>
      <c r="B142" s="623">
        <f t="shared" si="35"/>
        <v>4500000</v>
      </c>
      <c r="C142" s="623">
        <f t="shared" si="30"/>
        <v>7.6630157784986652</v>
      </c>
      <c r="D142" s="624">
        <f t="shared" si="31"/>
        <v>75.810836993892863</v>
      </c>
      <c r="E142" s="166"/>
      <c r="F142" s="166"/>
      <c r="G142" s="166"/>
      <c r="H142" s="166"/>
      <c r="I142" s="166"/>
      <c r="J142" s="166"/>
      <c r="K142" s="166"/>
      <c r="L142" s="166"/>
      <c r="M142" s="166"/>
      <c r="N142" s="166"/>
      <c r="O142" s="166"/>
      <c r="P142" s="166"/>
      <c r="Q142" s="166"/>
      <c r="R142" s="166"/>
      <c r="S142" s="166"/>
      <c r="T142" s="166"/>
      <c r="U142" s="166"/>
      <c r="V142" s="166"/>
      <c r="W142" s="166"/>
      <c r="X142" s="166"/>
      <c r="Y142" s="166"/>
    </row>
    <row r="143" spans="1:33" hidden="1" x14ac:dyDescent="0.15">
      <c r="A143" s="176"/>
      <c r="B143" s="623">
        <f t="shared" si="35"/>
        <v>4750000</v>
      </c>
      <c r="C143" s="623">
        <f t="shared" si="30"/>
        <v>7.2596991585776829</v>
      </c>
      <c r="D143" s="624">
        <f t="shared" si="31"/>
        <v>68.040751207815177</v>
      </c>
      <c r="E143" s="166"/>
      <c r="F143" s="166"/>
      <c r="G143" s="166"/>
      <c r="H143" s="166"/>
      <c r="I143" s="166"/>
      <c r="J143" s="166"/>
      <c r="K143" s="166"/>
      <c r="L143" s="166"/>
      <c r="M143" s="166"/>
      <c r="N143" s="166"/>
      <c r="O143" s="166"/>
      <c r="P143" s="166"/>
      <c r="Q143" s="166"/>
      <c r="R143" s="166"/>
      <c r="S143" s="166"/>
      <c r="T143" s="166"/>
      <c r="U143" s="166"/>
      <c r="V143" s="166"/>
      <c r="W143" s="166"/>
      <c r="X143" s="166"/>
      <c r="Y143" s="166"/>
    </row>
    <row r="144" spans="1:33" hidden="1" x14ac:dyDescent="0.15">
      <c r="A144" s="178"/>
      <c r="B144" s="623">
        <f t="shared" si="35"/>
        <v>5000000</v>
      </c>
      <c r="C144" s="623">
        <f t="shared" si="30"/>
        <v>6.8967142006487991</v>
      </c>
      <c r="D144" s="624">
        <f t="shared" si="31"/>
        <v>61.406777965053209</v>
      </c>
      <c r="E144" s="166"/>
      <c r="F144" s="166"/>
      <c r="G144" s="166"/>
      <c r="H144" s="166"/>
      <c r="I144" s="166"/>
      <c r="J144" s="166"/>
      <c r="K144" s="166"/>
      <c r="L144" s="166"/>
      <c r="M144" s="166"/>
      <c r="N144" s="166"/>
      <c r="O144" s="166"/>
      <c r="P144" s="166"/>
      <c r="Q144" s="166"/>
      <c r="R144" s="166"/>
      <c r="S144" s="166"/>
      <c r="T144" s="166"/>
      <c r="U144" s="166"/>
      <c r="V144" s="166"/>
      <c r="W144" s="166"/>
      <c r="X144" s="166"/>
      <c r="Y144" s="166"/>
    </row>
    <row r="145" spans="1:25" hidden="1" x14ac:dyDescent="0.15">
      <c r="A145" s="178"/>
      <c r="B145" s="623">
        <f t="shared" si="35"/>
        <v>5250000</v>
      </c>
      <c r="C145" s="623">
        <f t="shared" si="30"/>
        <v>6.5682992387131414</v>
      </c>
      <c r="D145" s="624">
        <f t="shared" si="31"/>
        <v>55.697757791431471</v>
      </c>
      <c r="E145" s="166"/>
      <c r="F145" s="166"/>
      <c r="G145" s="166"/>
      <c r="H145" s="166"/>
      <c r="I145" s="166"/>
      <c r="J145" s="166"/>
      <c r="K145" s="166"/>
      <c r="L145" s="166"/>
      <c r="M145" s="166"/>
      <c r="N145" s="166"/>
      <c r="O145" s="166"/>
      <c r="P145" s="166"/>
      <c r="Q145" s="166"/>
      <c r="R145" s="166"/>
      <c r="S145" s="166"/>
      <c r="T145" s="166"/>
      <c r="U145" s="166"/>
      <c r="V145" s="166"/>
      <c r="W145" s="166"/>
      <c r="X145" s="166"/>
      <c r="Y145" s="166"/>
    </row>
    <row r="146" spans="1:25" hidden="1" x14ac:dyDescent="0.15">
      <c r="A146" s="178"/>
      <c r="B146" s="623">
        <f t="shared" si="35"/>
        <v>5500000</v>
      </c>
      <c r="C146" s="623">
        <f t="shared" si="30"/>
        <v>6.2697401824079986</v>
      </c>
      <c r="D146" s="624">
        <f t="shared" si="31"/>
        <v>50.749403276903479</v>
      </c>
      <c r="E146" s="166"/>
      <c r="F146" s="166"/>
      <c r="G146" s="166"/>
      <c r="H146" s="166"/>
      <c r="I146" s="166"/>
      <c r="J146" s="166"/>
      <c r="K146" s="166"/>
      <c r="L146" s="166"/>
      <c r="M146" s="166"/>
      <c r="N146" s="166"/>
      <c r="O146" s="166"/>
      <c r="P146" s="166"/>
      <c r="Q146" s="166"/>
      <c r="R146" s="166"/>
      <c r="S146" s="166"/>
      <c r="T146" s="166"/>
      <c r="U146" s="166"/>
      <c r="V146" s="166"/>
      <c r="W146" s="166"/>
      <c r="X146" s="166"/>
      <c r="Y146" s="166"/>
    </row>
    <row r="147" spans="1:25" hidden="1" x14ac:dyDescent="0.15">
      <c r="A147" s="178"/>
      <c r="B147" s="623">
        <f t="shared" si="35"/>
        <v>5750000</v>
      </c>
      <c r="C147" s="623">
        <f t="shared" si="30"/>
        <v>5.997142783172869</v>
      </c>
      <c r="D147" s="624">
        <f t="shared" si="31"/>
        <v>46.432346287374834</v>
      </c>
      <c r="E147" s="166"/>
      <c r="F147" s="166"/>
      <c r="G147" s="166"/>
      <c r="H147" s="166"/>
      <c r="I147" s="166"/>
      <c r="J147" s="166"/>
      <c r="K147" s="166"/>
      <c r="L147" s="166"/>
      <c r="M147" s="166"/>
      <c r="N147" s="166"/>
      <c r="O147" s="166"/>
      <c r="P147" s="166"/>
      <c r="Q147" s="166"/>
      <c r="R147" s="166"/>
      <c r="S147" s="166"/>
      <c r="T147" s="166"/>
      <c r="U147" s="166"/>
      <c r="V147" s="166"/>
      <c r="W147" s="166"/>
      <c r="X147" s="166"/>
      <c r="Y147" s="166"/>
    </row>
    <row r="148" spans="1:25" hidden="1" x14ac:dyDescent="0.15">
      <c r="A148" s="178"/>
      <c r="B148" s="623">
        <f t="shared" si="35"/>
        <v>6000000</v>
      </c>
      <c r="C148" s="623">
        <f t="shared" si="30"/>
        <v>5.7472618338739982</v>
      </c>
      <c r="D148" s="624">
        <f t="shared" si="31"/>
        <v>42.64359580906472</v>
      </c>
      <c r="E148" s="166"/>
      <c r="F148" s="166"/>
      <c r="G148" s="166"/>
      <c r="H148" s="166"/>
      <c r="I148" s="166"/>
      <c r="J148" s="166"/>
      <c r="K148" s="166"/>
      <c r="L148" s="166"/>
      <c r="M148" s="166"/>
      <c r="N148" s="166"/>
      <c r="O148" s="166"/>
      <c r="P148" s="166"/>
      <c r="Q148" s="166"/>
      <c r="R148" s="166"/>
      <c r="S148" s="166"/>
      <c r="T148" s="166"/>
      <c r="U148" s="166"/>
      <c r="V148" s="166"/>
      <c r="W148" s="166"/>
      <c r="X148" s="166"/>
      <c r="Y148" s="166"/>
    </row>
    <row r="149" spans="1:25" hidden="1" x14ac:dyDescent="0.15">
      <c r="A149" s="178"/>
      <c r="B149" s="623">
        <f t="shared" si="35"/>
        <v>6250000</v>
      </c>
      <c r="C149" s="623">
        <f t="shared" si="30"/>
        <v>5.5173713605190384</v>
      </c>
      <c r="D149" s="624">
        <f t="shared" si="31"/>
        <v>39.300337897634058</v>
      </c>
      <c r="E149" s="166"/>
      <c r="F149" s="166"/>
      <c r="G149" s="166"/>
      <c r="H149" s="166"/>
      <c r="I149" s="166"/>
      <c r="J149" s="166"/>
      <c r="K149" s="166"/>
      <c r="L149" s="166"/>
      <c r="M149" s="166"/>
      <c r="N149" s="166"/>
      <c r="O149" s="166"/>
      <c r="P149" s="166"/>
      <c r="Q149" s="166"/>
      <c r="R149" s="166"/>
      <c r="S149" s="166"/>
      <c r="T149" s="166"/>
      <c r="U149" s="166"/>
      <c r="V149" s="166"/>
      <c r="W149" s="166"/>
      <c r="X149" s="166"/>
      <c r="Y149" s="166"/>
    </row>
    <row r="150" spans="1:25" hidden="1" x14ac:dyDescent="0.15">
      <c r="A150" s="178"/>
      <c r="B150" s="623">
        <f t="shared" si="35"/>
        <v>6500000</v>
      </c>
      <c r="C150" s="623">
        <f t="shared" si="30"/>
        <v>5.3051647697298447</v>
      </c>
      <c r="D150" s="624">
        <f t="shared" si="31"/>
        <v>36.335371576954557</v>
      </c>
      <c r="E150" s="166"/>
      <c r="F150" s="166"/>
      <c r="G150" s="166"/>
      <c r="H150" s="166"/>
      <c r="I150" s="166"/>
      <c r="J150" s="166"/>
      <c r="K150" s="166"/>
      <c r="L150" s="166"/>
      <c r="M150" s="166"/>
      <c r="N150" s="166"/>
      <c r="O150" s="166"/>
      <c r="P150" s="166"/>
      <c r="Q150" s="166"/>
      <c r="R150" s="166"/>
      <c r="S150" s="166"/>
      <c r="T150" s="166"/>
      <c r="U150" s="166"/>
      <c r="V150" s="166"/>
      <c r="W150" s="166"/>
      <c r="X150" s="166"/>
      <c r="Y150" s="166"/>
    </row>
    <row r="151" spans="1:25" hidden="1" x14ac:dyDescent="0.15">
      <c r="A151" s="178"/>
      <c r="B151" s="623">
        <f t="shared" si="35"/>
        <v>6750000</v>
      </c>
      <c r="C151" s="623">
        <f t="shared" si="30"/>
        <v>5.1086771856657771</v>
      </c>
      <c r="D151" s="624">
        <f t="shared" si="31"/>
        <v>33.693705330619039</v>
      </c>
      <c r="E151" s="166"/>
      <c r="F151" s="166"/>
      <c r="G151" s="166"/>
      <c r="H151" s="166"/>
      <c r="I151" s="166"/>
      <c r="J151" s="166"/>
      <c r="K151" s="166"/>
      <c r="L151" s="166"/>
      <c r="M151" s="166"/>
      <c r="N151" s="166"/>
      <c r="O151" s="166"/>
      <c r="P151" s="166"/>
      <c r="Q151" s="166"/>
      <c r="R151" s="166"/>
      <c r="S151" s="166"/>
      <c r="T151" s="166"/>
      <c r="U151" s="166"/>
      <c r="V151" s="166"/>
      <c r="W151" s="166"/>
      <c r="X151" s="166"/>
      <c r="Y151" s="166"/>
    </row>
    <row r="152" spans="1:25" hidden="1" x14ac:dyDescent="0.15">
      <c r="A152" s="178"/>
      <c r="B152" s="623">
        <f t="shared" si="35"/>
        <v>7000000</v>
      </c>
      <c r="C152" s="623">
        <f t="shared" si="30"/>
        <v>4.9262244290348569</v>
      </c>
      <c r="D152" s="624">
        <f t="shared" si="31"/>
        <v>31.329988757680201</v>
      </c>
      <c r="E152" s="166"/>
      <c r="F152" s="166"/>
      <c r="G152" s="166"/>
      <c r="H152" s="166"/>
      <c r="I152" s="166"/>
      <c r="J152" s="166"/>
      <c r="K152" s="166"/>
      <c r="L152" s="166"/>
      <c r="M152" s="166"/>
      <c r="N152" s="166"/>
      <c r="O152" s="166"/>
      <c r="P152" s="166"/>
      <c r="Q152" s="166"/>
      <c r="R152" s="166"/>
      <c r="S152" s="166"/>
      <c r="T152" s="166"/>
      <c r="U152" s="166"/>
      <c r="V152" s="166"/>
      <c r="W152" s="166"/>
      <c r="X152" s="166"/>
      <c r="Y152" s="166"/>
    </row>
    <row r="153" spans="1:25" hidden="1" x14ac:dyDescent="0.15">
      <c r="A153" s="178"/>
      <c r="B153" s="623">
        <f t="shared" si="35"/>
        <v>7250000</v>
      </c>
      <c r="C153" s="623">
        <f t="shared" si="30"/>
        <v>4.7563546211371026</v>
      </c>
      <c r="D153" s="624">
        <f t="shared" si="31"/>
        <v>29.206553134389154</v>
      </c>
      <c r="E153" s="166"/>
      <c r="F153" s="166"/>
      <c r="G153" s="166"/>
      <c r="H153" s="166"/>
      <c r="I153" s="166"/>
      <c r="J153" s="166"/>
      <c r="K153" s="166"/>
      <c r="L153" s="166"/>
      <c r="M153" s="166"/>
      <c r="N153" s="166"/>
      <c r="O153" s="166"/>
      <c r="P153" s="166"/>
      <c r="Q153" s="166"/>
      <c r="R153" s="166"/>
      <c r="S153" s="166"/>
      <c r="T153" s="166"/>
      <c r="U153" s="166"/>
      <c r="V153" s="166"/>
      <c r="W153" s="166"/>
      <c r="X153" s="166"/>
      <c r="Y153" s="166"/>
    </row>
    <row r="154" spans="1:25" hidden="1" x14ac:dyDescent="0.15">
      <c r="A154" s="178"/>
      <c r="B154" s="623">
        <f t="shared" si="35"/>
        <v>7500000</v>
      </c>
      <c r="C154" s="623">
        <f t="shared" si="30"/>
        <v>4.5978094670991991</v>
      </c>
      <c r="D154" s="624">
        <f t="shared" si="31"/>
        <v>27.291901317801429</v>
      </c>
      <c r="E154" s="166"/>
      <c r="F154" s="166"/>
      <c r="G154" s="166"/>
      <c r="H154" s="166"/>
      <c r="I154" s="166"/>
      <c r="J154" s="166"/>
      <c r="K154" s="166"/>
      <c r="L154" s="166"/>
      <c r="M154" s="166"/>
      <c r="N154" s="166"/>
      <c r="O154" s="166"/>
      <c r="P154" s="166"/>
      <c r="Q154" s="166"/>
      <c r="R154" s="166"/>
      <c r="S154" s="166"/>
      <c r="T154" s="166"/>
      <c r="U154" s="166"/>
      <c r="V154" s="166"/>
      <c r="W154" s="166"/>
      <c r="X154" s="166"/>
      <c r="Y154" s="166"/>
    </row>
    <row r="155" spans="1:25" hidden="1" x14ac:dyDescent="0.15">
      <c r="A155" s="178"/>
      <c r="B155" s="623">
        <f t="shared" si="35"/>
        <v>7750000</v>
      </c>
      <c r="C155" s="623">
        <f t="shared" si="30"/>
        <v>4.4494930326766449</v>
      </c>
      <c r="D155" s="624">
        <f t="shared" si="31"/>
        <v>25.559532971926409</v>
      </c>
      <c r="E155" s="166"/>
      <c r="F155" s="166"/>
      <c r="G155" s="166"/>
      <c r="H155" s="166"/>
      <c r="I155" s="166"/>
      <c r="J155" s="166"/>
      <c r="K155" s="166"/>
      <c r="L155" s="166"/>
      <c r="M155" s="166"/>
      <c r="N155" s="166"/>
      <c r="O155" s="166"/>
      <c r="P155" s="166"/>
      <c r="Q155" s="166"/>
      <c r="R155" s="166"/>
      <c r="S155" s="166"/>
      <c r="T155" s="166"/>
      <c r="U155" s="166"/>
      <c r="V155" s="166"/>
      <c r="W155" s="166"/>
      <c r="X155" s="166"/>
      <c r="Y155" s="166"/>
    </row>
    <row r="156" spans="1:25" hidden="1" x14ac:dyDescent="0.15">
      <c r="A156" s="178"/>
      <c r="B156" s="623">
        <f t="shared" si="35"/>
        <v>8000000</v>
      </c>
      <c r="C156" s="623">
        <f t="shared" si="30"/>
        <v>4.3104463754054994</v>
      </c>
      <c r="D156" s="624">
        <f t="shared" si="31"/>
        <v>23.987022642598912</v>
      </c>
      <c r="E156" s="166"/>
      <c r="F156" s="166"/>
      <c r="G156" s="166"/>
      <c r="H156" s="166"/>
      <c r="I156" s="166"/>
      <c r="J156" s="166"/>
      <c r="K156" s="166"/>
      <c r="L156" s="166"/>
      <c r="M156" s="166"/>
      <c r="N156" s="166"/>
      <c r="O156" s="166"/>
      <c r="P156" s="166"/>
      <c r="Q156" s="166"/>
      <c r="R156" s="166"/>
      <c r="S156" s="166"/>
      <c r="T156" s="166"/>
      <c r="U156" s="166"/>
      <c r="V156" s="166"/>
      <c r="W156" s="166"/>
      <c r="X156" s="166"/>
      <c r="Y156" s="166"/>
    </row>
    <row r="157" spans="1:25" hidden="1" x14ac:dyDescent="0.15">
      <c r="A157" s="178"/>
      <c r="B157" s="623">
        <f t="shared" si="35"/>
        <v>8250000</v>
      </c>
      <c r="C157" s="623">
        <f t="shared" si="30"/>
        <v>4.179826788271999</v>
      </c>
      <c r="D157" s="624">
        <f t="shared" si="31"/>
        <v>22.55529034529043</v>
      </c>
      <c r="E157" s="166"/>
      <c r="F157" s="166"/>
      <c r="G157" s="166"/>
      <c r="H157" s="166"/>
      <c r="I157" s="166"/>
      <c r="J157" s="166"/>
      <c r="K157" s="166"/>
      <c r="L157" s="166"/>
      <c r="M157" s="166"/>
      <c r="N157" s="166"/>
      <c r="O157" s="166"/>
      <c r="P157" s="166"/>
      <c r="Q157" s="166"/>
      <c r="R157" s="166"/>
      <c r="S157" s="166"/>
      <c r="T157" s="166"/>
      <c r="U157" s="166"/>
      <c r="V157" s="166"/>
      <c r="W157" s="166"/>
      <c r="X157" s="166"/>
      <c r="Y157" s="166"/>
    </row>
    <row r="158" spans="1:25" hidden="1" x14ac:dyDescent="0.15">
      <c r="A158" s="178"/>
      <c r="B158" s="623">
        <f t="shared" si="35"/>
        <v>8500000</v>
      </c>
      <c r="C158" s="623">
        <f t="shared" si="30"/>
        <v>4.0568907062639994</v>
      </c>
      <c r="D158" s="624">
        <f t="shared" si="31"/>
        <v>21.248020057111834</v>
      </c>
      <c r="E158" s="166"/>
      <c r="F158" s="166"/>
      <c r="G158" s="166"/>
      <c r="H158" s="166"/>
      <c r="I158" s="166"/>
      <c r="J158" s="166"/>
      <c r="K158" s="166"/>
      <c r="L158" s="166"/>
      <c r="M158" s="166"/>
      <c r="N158" s="166"/>
      <c r="O158" s="166"/>
      <c r="P158" s="166"/>
      <c r="Q158" s="166"/>
      <c r="R158" s="166"/>
      <c r="S158" s="166"/>
      <c r="T158" s="166"/>
      <c r="U158" s="166"/>
      <c r="V158" s="166"/>
      <c r="W158" s="166"/>
      <c r="X158" s="166"/>
      <c r="Y158" s="166"/>
    </row>
    <row r="159" spans="1:25" hidden="1" x14ac:dyDescent="0.15">
      <c r="A159" s="178"/>
      <c r="B159" s="623">
        <f t="shared" ref="B159:B191" si="37">B158+B$125</f>
        <v>8750000</v>
      </c>
      <c r="C159" s="623">
        <f t="shared" si="30"/>
        <v>3.9409795432278845</v>
      </c>
      <c r="D159" s="624">
        <f t="shared" si="31"/>
        <v>20.051192804915331</v>
      </c>
      <c r="E159" s="166"/>
      <c r="F159" s="166"/>
      <c r="G159" s="166"/>
      <c r="H159" s="166"/>
      <c r="I159" s="166"/>
      <c r="J159" s="166"/>
      <c r="K159" s="166"/>
      <c r="L159" s="166"/>
      <c r="M159" s="166"/>
      <c r="N159" s="166"/>
      <c r="O159" s="166"/>
      <c r="P159" s="166"/>
      <c r="Q159" s="166"/>
      <c r="R159" s="166"/>
      <c r="S159" s="166"/>
      <c r="T159" s="166"/>
      <c r="U159" s="166"/>
      <c r="V159" s="166"/>
      <c r="W159" s="166"/>
      <c r="X159" s="166"/>
      <c r="Y159" s="166"/>
    </row>
    <row r="160" spans="1:25" hidden="1" x14ac:dyDescent="0.15">
      <c r="A160" s="178"/>
      <c r="B160" s="623">
        <f t="shared" si="37"/>
        <v>9000000</v>
      </c>
      <c r="C160" s="623">
        <f t="shared" si="30"/>
        <v>3.8315078892493326</v>
      </c>
      <c r="D160" s="624">
        <f t="shared" si="31"/>
        <v>18.952709248473216</v>
      </c>
      <c r="E160" s="166"/>
      <c r="F160" s="166"/>
      <c r="G160" s="166"/>
      <c r="H160" s="166"/>
      <c r="I160" s="166"/>
      <c r="J160" s="166"/>
      <c r="K160" s="166"/>
      <c r="L160" s="166"/>
      <c r="M160" s="166"/>
      <c r="N160" s="166"/>
      <c r="O160" s="166"/>
      <c r="P160" s="166"/>
      <c r="Q160" s="166"/>
      <c r="R160" s="166"/>
      <c r="S160" s="166"/>
      <c r="T160" s="166"/>
      <c r="U160" s="166"/>
      <c r="V160" s="166"/>
      <c r="W160" s="166"/>
      <c r="X160" s="166"/>
      <c r="Y160" s="166"/>
    </row>
    <row r="161" spans="1:25" hidden="1" x14ac:dyDescent="0.15">
      <c r="A161" s="178"/>
      <c r="B161" s="623">
        <f t="shared" si="37"/>
        <v>9250000</v>
      </c>
      <c r="C161" s="623">
        <f t="shared" si="30"/>
        <v>3.7279536219723237</v>
      </c>
      <c r="D161" s="624">
        <f t="shared" si="31"/>
        <v>17.942082677882603</v>
      </c>
      <c r="E161" s="166"/>
      <c r="F161" s="166"/>
      <c r="G161" s="166"/>
      <c r="H161" s="166"/>
      <c r="I161" s="166"/>
      <c r="J161" s="166"/>
      <c r="K161" s="166"/>
      <c r="L161" s="166"/>
      <c r="M161" s="166"/>
      <c r="N161" s="166"/>
      <c r="O161" s="166"/>
      <c r="P161" s="166"/>
      <c r="Q161" s="166"/>
      <c r="R161" s="166"/>
      <c r="S161" s="166"/>
      <c r="T161" s="166"/>
      <c r="U161" s="166"/>
      <c r="V161" s="166"/>
      <c r="W161" s="166"/>
      <c r="X161" s="166"/>
      <c r="Y161" s="166"/>
    </row>
    <row r="162" spans="1:25" hidden="1" x14ac:dyDescent="0.15">
      <c r="A162" s="178"/>
      <c r="B162" s="623">
        <f t="shared" si="37"/>
        <v>9500000</v>
      </c>
      <c r="C162" s="623">
        <f t="shared" si="30"/>
        <v>3.6298495792888414</v>
      </c>
      <c r="D162" s="624">
        <f t="shared" si="31"/>
        <v>17.010187801953794</v>
      </c>
      <c r="E162" s="166"/>
      <c r="F162" s="166"/>
      <c r="G162" s="166"/>
      <c r="H162" s="166"/>
      <c r="I162" s="166"/>
      <c r="J162" s="166"/>
      <c r="K162" s="166"/>
      <c r="L162" s="166"/>
      <c r="M162" s="166"/>
      <c r="N162" s="166"/>
      <c r="O162" s="166"/>
      <c r="P162" s="166"/>
      <c r="Q162" s="166"/>
      <c r="R162" s="166"/>
      <c r="S162" s="166"/>
      <c r="T162" s="166"/>
      <c r="U162" s="166"/>
      <c r="V162" s="166"/>
      <c r="W162" s="166"/>
      <c r="X162" s="166"/>
      <c r="Y162" s="166"/>
    </row>
    <row r="163" spans="1:25" hidden="1" x14ac:dyDescent="0.15">
      <c r="A163" s="178"/>
      <c r="B163" s="623">
        <f t="shared" si="37"/>
        <v>9750000</v>
      </c>
      <c r="C163" s="623">
        <f t="shared" si="30"/>
        <v>3.5367765131532298</v>
      </c>
      <c r="D163" s="624">
        <f t="shared" si="31"/>
        <v>16.149054034202027</v>
      </c>
      <c r="E163" s="166"/>
      <c r="F163" s="166"/>
      <c r="G163" s="166"/>
      <c r="H163" s="166"/>
      <c r="I163" s="166"/>
      <c r="J163" s="166"/>
      <c r="K163" s="166"/>
      <c r="L163" s="166"/>
      <c r="M163" s="166"/>
      <c r="N163" s="166"/>
      <c r="O163" s="166"/>
      <c r="P163" s="166"/>
      <c r="Q163" s="166"/>
      <c r="R163" s="166"/>
      <c r="S163" s="166"/>
      <c r="T163" s="166"/>
      <c r="U163" s="166"/>
      <c r="V163" s="166"/>
      <c r="W163" s="166"/>
      <c r="X163" s="166"/>
      <c r="Y163" s="166"/>
    </row>
    <row r="164" spans="1:25" hidden="1" x14ac:dyDescent="0.15">
      <c r="A164" s="178"/>
      <c r="B164" s="623">
        <f t="shared" si="37"/>
        <v>10000000</v>
      </c>
      <c r="C164" s="623">
        <f t="shared" si="30"/>
        <v>3.4483571003243996</v>
      </c>
      <c r="D164" s="624">
        <f t="shared" si="31"/>
        <v>15.351694491263302</v>
      </c>
      <c r="E164" s="166"/>
      <c r="F164" s="166"/>
      <c r="G164" s="166"/>
      <c r="H164" s="166"/>
      <c r="I164" s="166"/>
      <c r="J164" s="166"/>
      <c r="K164" s="166"/>
      <c r="L164" s="166"/>
      <c r="M164" s="166"/>
      <c r="N164" s="166"/>
      <c r="O164" s="166"/>
      <c r="P164" s="166"/>
      <c r="Q164" s="166"/>
      <c r="R164" s="166"/>
      <c r="S164" s="166"/>
      <c r="T164" s="166"/>
      <c r="U164" s="166"/>
      <c r="V164" s="166"/>
      <c r="W164" s="166"/>
      <c r="X164" s="166"/>
      <c r="Y164" s="166"/>
    </row>
    <row r="165" spans="1:25" hidden="1" x14ac:dyDescent="0.15">
      <c r="A165" s="178"/>
      <c r="B165" s="623">
        <f t="shared" si="37"/>
        <v>10250000</v>
      </c>
      <c r="C165" s="623">
        <f t="shared" si="30"/>
        <v>3.3642508295847797</v>
      </c>
      <c r="D165" s="624">
        <f t="shared" si="31"/>
        <v>14.611963822737229</v>
      </c>
      <c r="E165" s="166"/>
      <c r="F165" s="166"/>
      <c r="G165" s="166"/>
      <c r="H165" s="166"/>
      <c r="I165" s="166"/>
      <c r="J165" s="166"/>
      <c r="K165" s="166"/>
      <c r="L165" s="166"/>
      <c r="M165" s="166"/>
      <c r="N165" s="166"/>
      <c r="O165" s="166"/>
      <c r="P165" s="166"/>
      <c r="Q165" s="166"/>
      <c r="R165" s="166"/>
      <c r="S165" s="166"/>
      <c r="T165" s="166"/>
      <c r="U165" s="166"/>
      <c r="V165" s="166"/>
      <c r="W165" s="166"/>
      <c r="X165" s="166"/>
      <c r="Y165" s="166"/>
    </row>
    <row r="166" spans="1:25" hidden="1" x14ac:dyDescent="0.15">
      <c r="A166" s="178"/>
      <c r="B166" s="623">
        <f t="shared" si="37"/>
        <v>10500000</v>
      </c>
      <c r="C166" s="623">
        <f t="shared" si="30"/>
        <v>3.2841496193565707</v>
      </c>
      <c r="D166" s="624">
        <f t="shared" si="31"/>
        <v>13.924439447857868</v>
      </c>
      <c r="E166" s="166"/>
      <c r="F166" s="166"/>
      <c r="G166" s="166"/>
      <c r="H166" s="166"/>
      <c r="I166" s="166"/>
      <c r="J166" s="166"/>
      <c r="K166" s="166"/>
      <c r="L166" s="166"/>
      <c r="M166" s="166"/>
      <c r="N166" s="166"/>
      <c r="O166" s="166"/>
      <c r="P166" s="166"/>
      <c r="Q166" s="166"/>
      <c r="R166" s="166"/>
      <c r="S166" s="166"/>
      <c r="T166" s="166"/>
      <c r="U166" s="166"/>
      <c r="V166" s="166"/>
      <c r="W166" s="166"/>
      <c r="X166" s="166"/>
      <c r="Y166" s="166"/>
    </row>
    <row r="167" spans="1:25" hidden="1" x14ac:dyDescent="0.15">
      <c r="A167" s="178"/>
      <c r="B167" s="623">
        <f t="shared" si="37"/>
        <v>10750000</v>
      </c>
      <c r="C167" s="623">
        <f t="shared" si="30"/>
        <v>3.2077740468133946</v>
      </c>
      <c r="D167" s="624">
        <f t="shared" si="31"/>
        <v>13.284321896171596</v>
      </c>
      <c r="E167" s="166"/>
      <c r="F167" s="166"/>
      <c r="G167" s="166"/>
      <c r="H167" s="166"/>
      <c r="I167" s="166"/>
      <c r="J167" s="166"/>
      <c r="K167" s="166"/>
      <c r="L167" s="166"/>
      <c r="M167" s="166"/>
      <c r="N167" s="166"/>
      <c r="O167" s="166"/>
      <c r="P167" s="166"/>
      <c r="Q167" s="166"/>
      <c r="R167" s="166"/>
      <c r="S167" s="166"/>
      <c r="T167" s="166"/>
      <c r="U167" s="166"/>
      <c r="V167" s="166"/>
      <c r="W167" s="166"/>
      <c r="X167" s="166"/>
      <c r="Y167" s="166"/>
    </row>
    <row r="168" spans="1:25" hidden="1" x14ac:dyDescent="0.15">
      <c r="A168" s="178"/>
      <c r="B168" s="623">
        <f t="shared" si="37"/>
        <v>11000000</v>
      </c>
      <c r="C168" s="623">
        <f t="shared" si="30"/>
        <v>3.1348700912039993</v>
      </c>
      <c r="D168" s="624">
        <f t="shared" si="31"/>
        <v>12.68735081922587</v>
      </c>
      <c r="E168" s="166"/>
      <c r="F168" s="166"/>
      <c r="G168" s="166"/>
      <c r="H168" s="166"/>
      <c r="I168" s="166"/>
      <c r="J168" s="166"/>
      <c r="K168" s="166"/>
      <c r="L168" s="166"/>
      <c r="M168" s="166"/>
      <c r="N168" s="166"/>
      <c r="O168" s="166"/>
      <c r="P168" s="166"/>
      <c r="Q168" s="166"/>
      <c r="R168" s="166"/>
      <c r="S168" s="166"/>
      <c r="T168" s="166"/>
      <c r="U168" s="166"/>
      <c r="V168" s="166"/>
      <c r="W168" s="166"/>
      <c r="X168" s="166"/>
      <c r="Y168" s="166"/>
    </row>
    <row r="169" spans="1:25" hidden="1" x14ac:dyDescent="0.15">
      <c r="A169" s="178"/>
      <c r="B169" s="623">
        <f t="shared" si="37"/>
        <v>11250000</v>
      </c>
      <c r="C169" s="623">
        <f t="shared" si="30"/>
        <v>3.0652063113994661</v>
      </c>
      <c r="D169" s="624">
        <f t="shared" si="31"/>
        <v>12.129733919022854</v>
      </c>
      <c r="E169" s="166"/>
      <c r="F169" s="166"/>
      <c r="G169" s="166"/>
      <c r="H169" s="166"/>
      <c r="I169" s="166"/>
      <c r="J169" s="166"/>
      <c r="K169" s="166"/>
      <c r="L169" s="166"/>
      <c r="M169" s="166"/>
      <c r="N169" s="166"/>
      <c r="O169" s="166"/>
      <c r="P169" s="166"/>
      <c r="Q169" s="166"/>
      <c r="R169" s="166"/>
      <c r="S169" s="166"/>
      <c r="T169" s="166"/>
      <c r="U169" s="166"/>
      <c r="V169" s="166"/>
      <c r="W169" s="166"/>
      <c r="X169" s="166"/>
      <c r="Y169" s="166"/>
    </row>
    <row r="170" spans="1:25" hidden="1" x14ac:dyDescent="0.15">
      <c r="A170" s="178"/>
      <c r="B170" s="623">
        <f t="shared" si="37"/>
        <v>11500000</v>
      </c>
      <c r="C170" s="623">
        <f t="shared" si="30"/>
        <v>2.9985713915864345</v>
      </c>
      <c r="D170" s="624">
        <f t="shared" si="31"/>
        <v>11.608086571843709</v>
      </c>
      <c r="E170" s="166"/>
      <c r="F170" s="166"/>
      <c r="G170" s="166"/>
      <c r="H170" s="166"/>
      <c r="I170" s="166"/>
      <c r="J170" s="166"/>
      <c r="K170" s="166"/>
      <c r="L170" s="166"/>
      <c r="M170" s="166"/>
      <c r="N170" s="166"/>
      <c r="O170" s="166"/>
      <c r="P170" s="166"/>
      <c r="Q170" s="166"/>
      <c r="R170" s="166"/>
      <c r="S170" s="166"/>
      <c r="T170" s="166"/>
      <c r="U170" s="166"/>
      <c r="V170" s="166"/>
      <c r="W170" s="166"/>
      <c r="X170" s="166"/>
      <c r="Y170" s="166"/>
    </row>
    <row r="171" spans="1:25" hidden="1" x14ac:dyDescent="0.15">
      <c r="A171" s="178"/>
      <c r="B171" s="623">
        <f t="shared" si="37"/>
        <v>11750000</v>
      </c>
      <c r="C171" s="623">
        <f t="shared" si="30"/>
        <v>2.9347720002760842</v>
      </c>
      <c r="D171" s="624">
        <f t="shared" si="31"/>
        <v>11.119380346772871</v>
      </c>
      <c r="E171" s="166"/>
      <c r="F171" s="166"/>
      <c r="G171" s="166"/>
      <c r="H171" s="166"/>
      <c r="I171" s="166"/>
      <c r="J171" s="166"/>
      <c r="K171" s="166"/>
      <c r="L171" s="166"/>
      <c r="M171" s="166"/>
      <c r="N171" s="166"/>
      <c r="O171" s="166"/>
      <c r="P171" s="166"/>
      <c r="Q171" s="166"/>
      <c r="R171" s="166"/>
      <c r="S171" s="166"/>
      <c r="T171" s="166"/>
      <c r="U171" s="166"/>
      <c r="V171" s="166"/>
      <c r="W171" s="166"/>
      <c r="X171" s="166"/>
      <c r="Y171" s="166"/>
    </row>
    <row r="172" spans="1:25" hidden="1" x14ac:dyDescent="0.15">
      <c r="A172" s="178"/>
      <c r="B172" s="623">
        <f t="shared" si="37"/>
        <v>12000000</v>
      </c>
      <c r="C172" s="623">
        <f t="shared" si="30"/>
        <v>2.8736309169369991</v>
      </c>
      <c r="D172" s="624">
        <f t="shared" si="31"/>
        <v>10.66089895226618</v>
      </c>
      <c r="E172" s="166"/>
      <c r="F172" s="166"/>
      <c r="G172" s="166"/>
      <c r="H172" s="166"/>
      <c r="I172" s="166"/>
      <c r="J172" s="166"/>
      <c r="K172" s="166"/>
      <c r="L172" s="166"/>
      <c r="M172" s="166"/>
      <c r="N172" s="166"/>
      <c r="O172" s="166"/>
      <c r="P172" s="166"/>
      <c r="Q172" s="166"/>
      <c r="R172" s="166"/>
      <c r="S172" s="166"/>
      <c r="T172" s="166"/>
      <c r="U172" s="166"/>
      <c r="V172" s="166"/>
      <c r="W172" s="166"/>
      <c r="X172" s="166"/>
      <c r="Y172" s="166"/>
    </row>
    <row r="173" spans="1:25" hidden="1" x14ac:dyDescent="0.15">
      <c r="A173" s="178"/>
      <c r="B173" s="623">
        <f t="shared" si="37"/>
        <v>12250000</v>
      </c>
      <c r="C173" s="623">
        <f t="shared" si="30"/>
        <v>2.814985388019918</v>
      </c>
      <c r="D173" s="624">
        <f t="shared" si="31"/>
        <v>10.23020041067109</v>
      </c>
      <c r="E173" s="166"/>
      <c r="F173" s="166"/>
      <c r="G173" s="166"/>
      <c r="H173" s="166"/>
      <c r="I173" s="166"/>
      <c r="J173" s="166"/>
      <c r="K173" s="166"/>
      <c r="L173" s="166"/>
      <c r="M173" s="166"/>
      <c r="N173" s="166"/>
      <c r="O173" s="166"/>
      <c r="P173" s="166"/>
      <c r="Q173" s="166"/>
      <c r="R173" s="166"/>
      <c r="S173" s="166"/>
      <c r="T173" s="166"/>
      <c r="U173" s="166"/>
      <c r="V173" s="166"/>
      <c r="W173" s="166"/>
      <c r="X173" s="166"/>
      <c r="Y173" s="166"/>
    </row>
    <row r="174" spans="1:25" hidden="1" x14ac:dyDescent="0.15">
      <c r="A174" s="178"/>
      <c r="B174" s="623">
        <f t="shared" si="37"/>
        <v>12500000</v>
      </c>
      <c r="C174" s="623">
        <f t="shared" si="30"/>
        <v>2.7586856802595192</v>
      </c>
      <c r="D174" s="624">
        <f t="shared" si="31"/>
        <v>9.8250844744085146</v>
      </c>
      <c r="E174" s="166"/>
      <c r="F174" s="166"/>
      <c r="G174" s="166"/>
      <c r="H174" s="166"/>
      <c r="I174" s="166"/>
      <c r="J174" s="166"/>
      <c r="K174" s="166"/>
      <c r="L174" s="166"/>
      <c r="M174" s="166"/>
      <c r="N174" s="166"/>
      <c r="O174" s="166"/>
      <c r="P174" s="166"/>
      <c r="Q174" s="166"/>
      <c r="R174" s="166"/>
      <c r="S174" s="166"/>
      <c r="T174" s="166"/>
      <c r="U174" s="166"/>
      <c r="V174" s="166"/>
      <c r="W174" s="166"/>
      <c r="X174" s="166"/>
      <c r="Y174" s="166"/>
    </row>
    <row r="175" spans="1:25" hidden="1" x14ac:dyDescent="0.15">
      <c r="A175" s="178"/>
      <c r="B175" s="623">
        <f t="shared" si="37"/>
        <v>12750000</v>
      </c>
      <c r="C175" s="623">
        <f t="shared" si="30"/>
        <v>2.7045938041759996</v>
      </c>
      <c r="D175" s="624">
        <f t="shared" si="31"/>
        <v>9.4435644698274821</v>
      </c>
      <c r="E175" s="166"/>
      <c r="F175" s="166"/>
      <c r="G175" s="166"/>
      <c r="H175" s="166"/>
      <c r="I175" s="166"/>
      <c r="J175" s="166"/>
      <c r="K175" s="166"/>
      <c r="L175" s="166"/>
      <c r="M175" s="166"/>
      <c r="N175" s="166"/>
      <c r="O175" s="166"/>
      <c r="P175" s="166"/>
      <c r="Q175" s="166"/>
      <c r="R175" s="166"/>
      <c r="S175" s="166"/>
      <c r="T175" s="166"/>
      <c r="U175" s="166"/>
      <c r="V175" s="166"/>
      <c r="W175" s="166"/>
      <c r="X175" s="166"/>
      <c r="Y175" s="166"/>
    </row>
    <row r="176" spans="1:25" hidden="1" x14ac:dyDescent="0.15">
      <c r="A176" s="178"/>
      <c r="B176" s="623">
        <f t="shared" si="37"/>
        <v>13000000</v>
      </c>
      <c r="C176" s="623">
        <f t="shared" si="30"/>
        <v>2.6525823848649224</v>
      </c>
      <c r="D176" s="624">
        <f t="shared" si="31"/>
        <v>9.0838428942386393</v>
      </c>
      <c r="E176" s="166"/>
      <c r="F176" s="166"/>
      <c r="G176" s="166"/>
      <c r="H176" s="166"/>
      <c r="I176" s="166"/>
      <c r="J176" s="166"/>
      <c r="K176" s="166"/>
      <c r="L176" s="166"/>
      <c r="M176" s="166"/>
      <c r="N176" s="166"/>
      <c r="O176" s="166"/>
      <c r="P176" s="166"/>
      <c r="Q176" s="166"/>
      <c r="R176" s="166"/>
      <c r="S176" s="166"/>
      <c r="T176" s="166"/>
      <c r="U176" s="166"/>
      <c r="V176" s="166"/>
      <c r="W176" s="166"/>
      <c r="X176" s="166"/>
      <c r="Y176" s="166"/>
    </row>
    <row r="177" spans="1:25" hidden="1" x14ac:dyDescent="0.15">
      <c r="A177" s="178"/>
      <c r="B177" s="623">
        <f t="shared" si="37"/>
        <v>13250000</v>
      </c>
      <c r="C177" s="623">
        <f t="shared" si="30"/>
        <v>2.6025336606221878</v>
      </c>
      <c r="D177" s="624">
        <f t="shared" si="31"/>
        <v>8.7442902050627573</v>
      </c>
      <c r="E177" s="166"/>
      <c r="F177" s="166"/>
      <c r="G177" s="166"/>
      <c r="H177" s="166"/>
      <c r="I177" s="166"/>
      <c r="J177" s="166"/>
      <c r="K177" s="166"/>
      <c r="L177" s="166"/>
      <c r="M177" s="166"/>
      <c r="N177" s="166"/>
      <c r="O177" s="166"/>
      <c r="P177" s="166"/>
      <c r="Q177" s="166"/>
      <c r="R177" s="166"/>
      <c r="S177" s="166"/>
      <c r="T177" s="166"/>
      <c r="U177" s="166"/>
      <c r="V177" s="166"/>
      <c r="W177" s="166"/>
      <c r="X177" s="166"/>
      <c r="Y177" s="166"/>
    </row>
    <row r="178" spans="1:25" hidden="1" x14ac:dyDescent="0.15">
      <c r="A178" s="178"/>
      <c r="B178" s="623">
        <f t="shared" si="37"/>
        <v>13500000</v>
      </c>
      <c r="C178" s="623">
        <f t="shared" si="30"/>
        <v>2.5543385928328886</v>
      </c>
      <c r="D178" s="624">
        <f t="shared" si="31"/>
        <v>8.4234263326547598</v>
      </c>
      <c r="E178" s="166"/>
      <c r="F178" s="166"/>
      <c r="G178" s="166"/>
      <c r="H178" s="166"/>
      <c r="I178" s="166"/>
      <c r="J178" s="166"/>
      <c r="K178" s="166"/>
      <c r="L178" s="166"/>
      <c r="M178" s="166"/>
      <c r="N178" s="166"/>
      <c r="O178" s="166"/>
      <c r="P178" s="166"/>
      <c r="Q178" s="166"/>
      <c r="R178" s="166"/>
      <c r="S178" s="166"/>
      <c r="T178" s="166"/>
      <c r="U178" s="166"/>
      <c r="V178" s="166"/>
      <c r="W178" s="166"/>
      <c r="X178" s="166"/>
      <c r="Y178" s="166"/>
    </row>
    <row r="179" spans="1:25" hidden="1" x14ac:dyDescent="0.15">
      <c r="A179" s="178"/>
      <c r="B179" s="623">
        <f t="shared" si="37"/>
        <v>13750000</v>
      </c>
      <c r="C179" s="623">
        <f t="shared" si="30"/>
        <v>2.5078960729631996</v>
      </c>
      <c r="D179" s="624">
        <f t="shared" si="31"/>
        <v>8.1199045243045536</v>
      </c>
      <c r="E179" s="166"/>
      <c r="F179" s="166"/>
      <c r="G179" s="166"/>
      <c r="H179" s="166"/>
      <c r="I179" s="166"/>
      <c r="J179" s="166"/>
      <c r="K179" s="166"/>
      <c r="L179" s="166"/>
      <c r="M179" s="166"/>
      <c r="N179" s="166"/>
      <c r="O179" s="166"/>
      <c r="P179" s="166"/>
      <c r="Q179" s="166"/>
      <c r="R179" s="166"/>
      <c r="S179" s="166"/>
      <c r="T179" s="166"/>
      <c r="U179" s="166"/>
      <c r="V179" s="166"/>
      <c r="W179" s="166"/>
      <c r="X179" s="166"/>
      <c r="Y179" s="166"/>
    </row>
    <row r="180" spans="1:25" hidden="1" x14ac:dyDescent="0.15">
      <c r="A180" s="178"/>
      <c r="B180" s="623">
        <f t="shared" si="37"/>
        <v>14000000</v>
      </c>
      <c r="C180" s="623">
        <f t="shared" si="30"/>
        <v>2.4631122145174285</v>
      </c>
      <c r="D180" s="624">
        <f t="shared" si="31"/>
        <v>7.8324971894200504</v>
      </c>
      <c r="E180" s="166"/>
      <c r="F180" s="166"/>
      <c r="G180" s="166"/>
      <c r="H180" s="166"/>
      <c r="I180" s="166"/>
      <c r="J180" s="166"/>
      <c r="K180" s="166"/>
      <c r="L180" s="166"/>
      <c r="M180" s="166"/>
      <c r="N180" s="166"/>
      <c r="O180" s="166"/>
      <c r="P180" s="166"/>
      <c r="Q180" s="166"/>
      <c r="R180" s="166"/>
      <c r="S180" s="166"/>
      <c r="T180" s="166"/>
      <c r="U180" s="166"/>
      <c r="V180" s="166"/>
      <c r="W180" s="166"/>
      <c r="X180" s="166"/>
      <c r="Y180" s="166"/>
    </row>
    <row r="181" spans="1:25" hidden="1" x14ac:dyDescent="0.15">
      <c r="A181" s="178"/>
      <c r="B181" s="623">
        <f t="shared" si="37"/>
        <v>14250000</v>
      </c>
      <c r="C181" s="623">
        <f t="shared" si="30"/>
        <v>2.4198997195258944</v>
      </c>
      <c r="D181" s="624">
        <f t="shared" si="31"/>
        <v>7.560083467535021</v>
      </c>
      <c r="E181" s="166"/>
      <c r="F181" s="166"/>
      <c r="G181" s="166"/>
      <c r="H181" s="166"/>
      <c r="I181" s="166"/>
      <c r="J181" s="166"/>
      <c r="K181" s="166"/>
      <c r="L181" s="166"/>
      <c r="M181" s="166"/>
      <c r="N181" s="166"/>
      <c r="O181" s="166"/>
      <c r="P181" s="166"/>
      <c r="Q181" s="166"/>
      <c r="R181" s="166"/>
      <c r="S181" s="166"/>
      <c r="T181" s="166"/>
      <c r="U181" s="166"/>
      <c r="V181" s="166"/>
      <c r="W181" s="166"/>
      <c r="X181" s="166"/>
      <c r="Y181" s="166"/>
    </row>
    <row r="182" spans="1:25" hidden="1" x14ac:dyDescent="0.15">
      <c r="A182" s="178"/>
      <c r="B182" s="623">
        <f t="shared" si="37"/>
        <v>14500000</v>
      </c>
      <c r="C182" s="623">
        <f t="shared" si="30"/>
        <v>2.3781773105685513</v>
      </c>
      <c r="D182" s="624">
        <f t="shared" si="31"/>
        <v>7.3016382835972884</v>
      </c>
      <c r="E182" s="166"/>
      <c r="F182" s="166"/>
      <c r="G182" s="166"/>
      <c r="H182" s="166"/>
      <c r="I182" s="166"/>
      <c r="J182" s="166"/>
      <c r="K182" s="166"/>
      <c r="L182" s="166"/>
      <c r="M182" s="166"/>
      <c r="N182" s="166"/>
      <c r="O182" s="166"/>
      <c r="P182" s="166"/>
      <c r="Q182" s="166"/>
      <c r="R182" s="166"/>
      <c r="S182" s="166"/>
      <c r="T182" s="166"/>
      <c r="U182" s="166"/>
      <c r="V182" s="166"/>
      <c r="W182" s="166"/>
      <c r="X182" s="166"/>
      <c r="Y182" s="166"/>
    </row>
    <row r="183" spans="1:25" hidden="1" x14ac:dyDescent="0.15">
      <c r="A183" s="178"/>
      <c r="B183" s="623">
        <f t="shared" si="37"/>
        <v>14750000</v>
      </c>
      <c r="C183" s="623">
        <f t="shared" si="30"/>
        <v>2.3378692205589147</v>
      </c>
      <c r="D183" s="624">
        <f t="shared" si="31"/>
        <v>7.0562226906122607</v>
      </c>
      <c r="E183" s="166"/>
      <c r="F183" s="166"/>
      <c r="G183" s="166"/>
      <c r="H183" s="166"/>
      <c r="I183" s="166"/>
      <c r="J183" s="166"/>
      <c r="K183" s="166"/>
      <c r="L183" s="166"/>
      <c r="M183" s="166"/>
      <c r="N183" s="166"/>
      <c r="O183" s="166"/>
      <c r="P183" s="166"/>
      <c r="Q183" s="166"/>
      <c r="R183" s="166"/>
      <c r="S183" s="166"/>
      <c r="T183" s="166"/>
      <c r="U183" s="166"/>
      <c r="V183" s="166"/>
      <c r="W183" s="166"/>
      <c r="X183" s="166"/>
      <c r="Y183" s="166"/>
    </row>
    <row r="184" spans="1:25" hidden="1" x14ac:dyDescent="0.15">
      <c r="A184" s="178"/>
      <c r="B184" s="623">
        <f t="shared" si="37"/>
        <v>15000000</v>
      </c>
      <c r="C184" s="623">
        <f t="shared" si="30"/>
        <v>2.2989047335495996</v>
      </c>
      <c r="D184" s="624">
        <f t="shared" si="31"/>
        <v>6.8229753294503572</v>
      </c>
      <c r="E184" s="166"/>
      <c r="F184" s="166"/>
      <c r="G184" s="166"/>
      <c r="H184" s="166"/>
      <c r="I184" s="166"/>
      <c r="J184" s="166"/>
      <c r="K184" s="166"/>
      <c r="L184" s="166"/>
      <c r="M184" s="166"/>
      <c r="N184" s="166"/>
      <c r="O184" s="166"/>
      <c r="P184" s="166"/>
      <c r="Q184" s="166"/>
      <c r="R184" s="166"/>
      <c r="S184" s="166"/>
      <c r="T184" s="166"/>
      <c r="U184" s="166"/>
      <c r="V184" s="166"/>
      <c r="W184" s="166"/>
      <c r="X184" s="166"/>
      <c r="Y184" s="166"/>
    </row>
    <row r="185" spans="1:25" hidden="1" x14ac:dyDescent="0.15">
      <c r="A185" s="178"/>
      <c r="B185" s="623">
        <f t="shared" si="37"/>
        <v>15250000</v>
      </c>
      <c r="C185" s="623">
        <f t="shared" si="30"/>
        <v>2.261217770704524</v>
      </c>
      <c r="D185" s="624">
        <f t="shared" si="31"/>
        <v>6.6011048605270854</v>
      </c>
      <c r="E185" s="166"/>
      <c r="F185" s="166"/>
      <c r="G185" s="166"/>
      <c r="H185" s="166"/>
      <c r="I185" s="166"/>
      <c r="J185" s="166"/>
      <c r="K185" s="166"/>
      <c r="L185" s="166"/>
      <c r="M185" s="166"/>
      <c r="N185" s="166"/>
      <c r="O185" s="166"/>
      <c r="P185" s="166"/>
      <c r="Q185" s="166"/>
      <c r="R185" s="166"/>
      <c r="S185" s="166"/>
      <c r="T185" s="166"/>
      <c r="U185" s="166"/>
      <c r="V185" s="166"/>
      <c r="W185" s="166"/>
      <c r="X185" s="166"/>
      <c r="Y185" s="166"/>
    </row>
    <row r="186" spans="1:25" hidden="1" x14ac:dyDescent="0.15">
      <c r="A186" s="178"/>
      <c r="B186" s="623">
        <f t="shared" si="37"/>
        <v>15500000</v>
      </c>
      <c r="C186" s="623">
        <f t="shared" si="30"/>
        <v>2.2247465163383224</v>
      </c>
      <c r="D186" s="624">
        <f t="shared" si="31"/>
        <v>6.3898832429816022</v>
      </c>
      <c r="E186" s="166"/>
      <c r="F186" s="166"/>
      <c r="G186" s="166"/>
      <c r="H186" s="166"/>
      <c r="I186" s="166"/>
      <c r="J186" s="166"/>
      <c r="K186" s="166"/>
      <c r="L186" s="166"/>
      <c r="M186" s="166"/>
      <c r="N186" s="166"/>
      <c r="O186" s="166"/>
      <c r="P186" s="166"/>
      <c r="Q186" s="166"/>
      <c r="R186" s="166"/>
      <c r="S186" s="166"/>
      <c r="T186" s="166"/>
      <c r="U186" s="166"/>
      <c r="V186" s="166"/>
      <c r="W186" s="166"/>
      <c r="X186" s="166"/>
      <c r="Y186" s="166"/>
    </row>
    <row r="187" spans="1:25" hidden="1" x14ac:dyDescent="0.15">
      <c r="A187" s="178"/>
      <c r="B187" s="623">
        <f t="shared" si="37"/>
        <v>15750000</v>
      </c>
      <c r="C187" s="623">
        <f t="shared" si="30"/>
        <v>2.1894330795710473</v>
      </c>
      <c r="D187" s="624">
        <f t="shared" si="31"/>
        <v>6.1886397546034981</v>
      </c>
      <c r="E187" s="166"/>
      <c r="F187" s="166"/>
      <c r="G187" s="166"/>
      <c r="H187" s="166"/>
      <c r="I187" s="166"/>
      <c r="J187" s="166"/>
      <c r="K187" s="166"/>
      <c r="L187" s="166"/>
      <c r="M187" s="166"/>
      <c r="N187" s="166"/>
      <c r="O187" s="166"/>
      <c r="P187" s="166"/>
      <c r="Q187" s="166"/>
      <c r="R187" s="166"/>
      <c r="S187" s="166"/>
      <c r="T187" s="166"/>
      <c r="U187" s="166"/>
      <c r="V187" s="166"/>
      <c r="W187" s="166"/>
      <c r="X187" s="166"/>
      <c r="Y187" s="166"/>
    </row>
    <row r="188" spans="1:25" hidden="1" x14ac:dyDescent="0.15">
      <c r="A188" s="178"/>
      <c r="B188" s="623">
        <f t="shared" si="37"/>
        <v>16000000</v>
      </c>
      <c r="C188" s="623">
        <f t="shared" si="30"/>
        <v>2.1552231877027497</v>
      </c>
      <c r="D188" s="624">
        <f t="shared" si="31"/>
        <v>5.9967556606497281</v>
      </c>
      <c r="E188" s="166"/>
      <c r="F188" s="166"/>
      <c r="G188" s="166"/>
      <c r="H188" s="166"/>
      <c r="I188" s="166"/>
      <c r="J188" s="166"/>
      <c r="K188" s="166"/>
      <c r="L188" s="166"/>
      <c r="M188" s="166"/>
      <c r="N188" s="166"/>
      <c r="O188" s="166"/>
      <c r="P188" s="166"/>
      <c r="Q188" s="166"/>
      <c r="R188" s="166"/>
      <c r="S188" s="166"/>
      <c r="T188" s="166"/>
      <c r="U188" s="166"/>
      <c r="V188" s="166"/>
      <c r="W188" s="166"/>
      <c r="X188" s="166"/>
      <c r="Y188" s="166"/>
    </row>
    <row r="189" spans="1:25" hidden="1" x14ac:dyDescent="0.15">
      <c r="A189" s="178"/>
      <c r="B189" s="623">
        <f t="shared" si="37"/>
        <v>16250000</v>
      </c>
      <c r="C189" s="623">
        <f t="shared" si="30"/>
        <v>2.1220659078919382</v>
      </c>
      <c r="D189" s="624">
        <f t="shared" si="31"/>
        <v>5.813659452312729</v>
      </c>
      <c r="E189" s="166"/>
      <c r="F189" s="166"/>
      <c r="G189" s="166"/>
      <c r="H189" s="166"/>
      <c r="I189" s="166"/>
      <c r="J189" s="166"/>
      <c r="K189" s="166"/>
      <c r="L189" s="166"/>
      <c r="M189" s="166"/>
      <c r="N189" s="166"/>
      <c r="O189" s="166"/>
      <c r="P189" s="166"/>
      <c r="Q189" s="166"/>
      <c r="R189" s="166"/>
      <c r="S189" s="166"/>
      <c r="T189" s="166"/>
      <c r="U189" s="166"/>
      <c r="V189" s="166"/>
      <c r="W189" s="166"/>
      <c r="X189" s="166"/>
      <c r="Y189" s="166"/>
    </row>
    <row r="190" spans="1:25" hidden="1" x14ac:dyDescent="0.15">
      <c r="A190" s="178"/>
      <c r="B190" s="623">
        <f t="shared" si="37"/>
        <v>16500000</v>
      </c>
      <c r="C190" s="623">
        <f t="shared" ref="C190:C203" si="38">1.3/(2*PI()*C$8*0.001*$B190*10^-6)</f>
        <v>2.0899133941359995</v>
      </c>
      <c r="D190" s="624">
        <f t="shared" ref="D190:D203" si="39">2/((2*PI()*$B190*10^-6)^2*33)*10^6</f>
        <v>5.6388225863226076</v>
      </c>
      <c r="E190" s="166"/>
      <c r="F190" s="166"/>
      <c r="G190" s="166"/>
      <c r="H190" s="166"/>
      <c r="I190" s="166"/>
      <c r="J190" s="166"/>
      <c r="K190" s="166"/>
      <c r="L190" s="166"/>
      <c r="M190" s="166"/>
      <c r="N190" s="166"/>
      <c r="O190" s="166"/>
      <c r="P190" s="166"/>
      <c r="Q190" s="166"/>
      <c r="R190" s="166"/>
      <c r="S190" s="166"/>
      <c r="T190" s="166"/>
      <c r="U190" s="166"/>
      <c r="V190" s="166"/>
      <c r="W190" s="166"/>
      <c r="X190" s="166"/>
      <c r="Y190" s="166"/>
    </row>
    <row r="191" spans="1:25" hidden="1" x14ac:dyDescent="0.15">
      <c r="A191" s="178"/>
      <c r="B191" s="623">
        <f t="shared" si="37"/>
        <v>16750000</v>
      </c>
      <c r="C191" s="623">
        <f t="shared" si="38"/>
        <v>2.0587206569100895</v>
      </c>
      <c r="D191" s="624">
        <f t="shared" si="39"/>
        <v>5.4717556663001288</v>
      </c>
      <c r="E191" s="166"/>
      <c r="F191" s="166"/>
      <c r="G191" s="166"/>
      <c r="H191" s="166"/>
      <c r="I191" s="166"/>
      <c r="J191" s="166"/>
      <c r="K191" s="166"/>
      <c r="L191" s="166"/>
      <c r="M191" s="166"/>
      <c r="N191" s="166"/>
      <c r="O191" s="166"/>
      <c r="P191" s="166"/>
      <c r="Q191" s="166"/>
      <c r="R191" s="166"/>
      <c r="S191" s="166"/>
      <c r="T191" s="166"/>
      <c r="U191" s="166"/>
      <c r="V191" s="166"/>
      <c r="W191" s="166"/>
      <c r="X191" s="166"/>
      <c r="Y191" s="166"/>
    </row>
    <row r="192" spans="1:25" hidden="1" x14ac:dyDescent="0.15">
      <c r="A192" s="178"/>
      <c r="B192" s="623">
        <f t="shared" ref="B192:B203" si="40">B191+B$125</f>
        <v>17000000</v>
      </c>
      <c r="C192" s="623">
        <f t="shared" si="38"/>
        <v>2.0284453531319997</v>
      </c>
      <c r="D192" s="624">
        <f t="shared" si="39"/>
        <v>5.3120050142779585</v>
      </c>
      <c r="E192" s="166"/>
      <c r="F192" s="166"/>
      <c r="G192" s="166"/>
      <c r="H192" s="166"/>
      <c r="I192" s="166"/>
      <c r="J192" s="166"/>
      <c r="K192" s="166"/>
      <c r="L192" s="166"/>
      <c r="M192" s="166"/>
      <c r="N192" s="166"/>
      <c r="O192" s="166"/>
      <c r="P192" s="166"/>
      <c r="Q192" s="166"/>
      <c r="R192" s="166"/>
      <c r="S192" s="166"/>
      <c r="T192" s="166"/>
      <c r="U192" s="166"/>
      <c r="V192" s="166"/>
      <c r="W192" s="166"/>
      <c r="X192" s="166"/>
      <c r="Y192" s="166"/>
    </row>
    <row r="193" spans="1:25" hidden="1" x14ac:dyDescent="0.15">
      <c r="A193" s="178"/>
      <c r="B193" s="623">
        <f t="shared" si="40"/>
        <v>17250000</v>
      </c>
      <c r="C193" s="623">
        <f t="shared" si="38"/>
        <v>1.9990475943909563</v>
      </c>
      <c r="D193" s="624">
        <f t="shared" si="39"/>
        <v>5.1591495874860911</v>
      </c>
      <c r="E193" s="166"/>
      <c r="F193" s="166"/>
      <c r="G193" s="166"/>
      <c r="H193" s="166"/>
      <c r="I193" s="166"/>
      <c r="J193" s="166"/>
      <c r="K193" s="166"/>
      <c r="L193" s="166"/>
      <c r="M193" s="166"/>
      <c r="N193" s="166"/>
      <c r="O193" s="166"/>
      <c r="P193" s="166"/>
      <c r="Q193" s="166"/>
      <c r="R193" s="166"/>
      <c r="S193" s="166"/>
      <c r="T193" s="166"/>
      <c r="U193" s="166"/>
      <c r="V193" s="166"/>
      <c r="W193" s="166"/>
      <c r="X193" s="166"/>
      <c r="Y193" s="166"/>
    </row>
    <row r="194" spans="1:25" hidden="1" x14ac:dyDescent="0.15">
      <c r="A194" s="178"/>
      <c r="B194" s="623">
        <f t="shared" si="40"/>
        <v>17500000</v>
      </c>
      <c r="C194" s="623">
        <f t="shared" si="38"/>
        <v>1.9704897716139422</v>
      </c>
      <c r="D194" s="624">
        <f t="shared" si="39"/>
        <v>5.0127982012288328</v>
      </c>
      <c r="E194" s="166"/>
      <c r="F194" s="166"/>
      <c r="G194" s="166"/>
      <c r="H194" s="166"/>
      <c r="I194" s="166"/>
      <c r="J194" s="166"/>
      <c r="K194" s="166"/>
      <c r="L194" s="166"/>
      <c r="M194" s="166"/>
      <c r="N194" s="166"/>
      <c r="O194" s="166"/>
      <c r="P194" s="166"/>
      <c r="Q194" s="166"/>
      <c r="R194" s="166"/>
      <c r="S194" s="166"/>
      <c r="T194" s="166"/>
      <c r="U194" s="166"/>
      <c r="V194" s="166"/>
      <c r="W194" s="166"/>
      <c r="X194" s="166"/>
      <c r="Y194" s="166"/>
    </row>
    <row r="195" spans="1:25" hidden="1" x14ac:dyDescent="0.15">
      <c r="A195" s="178"/>
      <c r="B195" s="623">
        <f t="shared" si="40"/>
        <v>17750000</v>
      </c>
      <c r="C195" s="623">
        <f t="shared" si="38"/>
        <v>1.9427363945489573</v>
      </c>
      <c r="D195" s="624">
        <f t="shared" si="39"/>
        <v>4.8725870236106497</v>
      </c>
      <c r="E195" s="166"/>
      <c r="F195" s="166"/>
      <c r="G195" s="166"/>
      <c r="H195" s="166"/>
      <c r="I195" s="166"/>
      <c r="J195" s="166"/>
      <c r="K195" s="166"/>
      <c r="L195" s="166"/>
      <c r="M195" s="166"/>
      <c r="N195" s="166"/>
      <c r="O195" s="166"/>
      <c r="P195" s="166"/>
      <c r="Q195" s="166"/>
      <c r="R195" s="166"/>
      <c r="S195" s="166"/>
      <c r="T195" s="166"/>
      <c r="U195" s="166"/>
      <c r="V195" s="166"/>
      <c r="W195" s="166"/>
      <c r="X195" s="166"/>
      <c r="Y195" s="166"/>
    </row>
    <row r="196" spans="1:25" hidden="1" x14ac:dyDescent="0.15">
      <c r="A196" s="178"/>
      <c r="B196" s="623">
        <f t="shared" si="40"/>
        <v>18000000</v>
      </c>
      <c r="C196" s="623">
        <f t="shared" si="38"/>
        <v>1.9157539446246663</v>
      </c>
      <c r="D196" s="624">
        <f t="shared" si="39"/>
        <v>4.738177312118304</v>
      </c>
      <c r="E196" s="166"/>
      <c r="F196" s="166"/>
      <c r="G196" s="166"/>
      <c r="H196" s="166"/>
      <c r="I196" s="166"/>
      <c r="J196" s="166"/>
      <c r="K196" s="166"/>
      <c r="L196" s="166"/>
      <c r="M196" s="166"/>
      <c r="N196" s="166"/>
      <c r="O196" s="166"/>
      <c r="P196" s="166"/>
      <c r="Q196" s="166"/>
      <c r="R196" s="166"/>
      <c r="S196" s="166"/>
      <c r="T196" s="166"/>
      <c r="U196" s="166"/>
      <c r="V196" s="166"/>
      <c r="W196" s="166"/>
      <c r="X196" s="166"/>
      <c r="Y196" s="166"/>
    </row>
    <row r="197" spans="1:25" hidden="1" x14ac:dyDescent="0.15">
      <c r="A197" s="178"/>
      <c r="B197" s="623">
        <f t="shared" si="40"/>
        <v>18250000</v>
      </c>
      <c r="C197" s="623">
        <f t="shared" si="38"/>
        <v>1.8895107399037805</v>
      </c>
      <c r="D197" s="624">
        <f t="shared" si="39"/>
        <v>4.6092533657386534</v>
      </c>
      <c r="E197" s="166"/>
      <c r="F197" s="166"/>
      <c r="G197" s="166"/>
      <c r="H197" s="166"/>
      <c r="I197" s="166"/>
      <c r="J197" s="166"/>
      <c r="K197" s="166"/>
      <c r="L197" s="166"/>
      <c r="M197" s="166"/>
      <c r="N197" s="166"/>
      <c r="O197" s="166"/>
      <c r="P197" s="166"/>
      <c r="Q197" s="166"/>
      <c r="R197" s="166"/>
      <c r="S197" s="166"/>
      <c r="T197" s="166"/>
      <c r="U197" s="166"/>
      <c r="V197" s="166"/>
      <c r="W197" s="166"/>
      <c r="X197" s="166"/>
      <c r="Y197" s="166"/>
    </row>
    <row r="198" spans="1:25" hidden="1" x14ac:dyDescent="0.15">
      <c r="A198" s="178"/>
      <c r="B198" s="623">
        <f t="shared" si="40"/>
        <v>18500000</v>
      </c>
      <c r="C198" s="623">
        <f t="shared" si="38"/>
        <v>1.8639768109861619</v>
      </c>
      <c r="D198" s="624">
        <f t="shared" si="39"/>
        <v>4.4855206694706506</v>
      </c>
      <c r="E198" s="166"/>
      <c r="F198" s="166"/>
      <c r="G198" s="166"/>
      <c r="H198" s="166"/>
      <c r="I198" s="166"/>
      <c r="J198" s="166"/>
      <c r="K198" s="166"/>
      <c r="L198" s="166"/>
      <c r="M198" s="166"/>
      <c r="N198" s="166"/>
      <c r="O198" s="166"/>
      <c r="P198" s="166"/>
      <c r="Q198" s="166"/>
      <c r="R198" s="166"/>
      <c r="S198" s="166"/>
      <c r="T198" s="166"/>
      <c r="U198" s="166"/>
      <c r="V198" s="166"/>
      <c r="W198" s="166"/>
      <c r="X198" s="166"/>
      <c r="Y198" s="166"/>
    </row>
    <row r="199" spans="1:25" hidden="1" x14ac:dyDescent="0.15">
      <c r="A199" s="178"/>
      <c r="B199" s="623">
        <f t="shared" si="40"/>
        <v>18750000</v>
      </c>
      <c r="C199" s="623">
        <f t="shared" si="38"/>
        <v>1.8391237868396799</v>
      </c>
      <c r="D199" s="624">
        <f t="shared" si="39"/>
        <v>4.3667042108482281</v>
      </c>
      <c r="E199" s="166"/>
      <c r="F199" s="166"/>
      <c r="G199" s="166"/>
      <c r="H199" s="166"/>
      <c r="I199" s="166"/>
      <c r="J199" s="166"/>
      <c r="K199" s="166"/>
      <c r="L199" s="166"/>
      <c r="M199" s="166"/>
      <c r="N199" s="166"/>
      <c r="O199" s="166"/>
      <c r="P199" s="166"/>
      <c r="Q199" s="166"/>
      <c r="R199" s="166"/>
      <c r="S199" s="166"/>
      <c r="T199" s="166"/>
      <c r="U199" s="166"/>
      <c r="V199" s="166"/>
      <c r="W199" s="166"/>
      <c r="X199" s="166"/>
      <c r="Y199" s="166"/>
    </row>
    <row r="200" spans="1:25" hidden="1" x14ac:dyDescent="0.15">
      <c r="A200" s="178"/>
      <c r="B200" s="623">
        <f t="shared" si="40"/>
        <v>19000000</v>
      </c>
      <c r="C200" s="623">
        <f t="shared" si="38"/>
        <v>1.8149247896444207</v>
      </c>
      <c r="D200" s="624">
        <f t="shared" si="39"/>
        <v>4.2525469504884486</v>
      </c>
      <c r="E200" s="166"/>
      <c r="F200" s="166"/>
      <c r="G200" s="166"/>
      <c r="H200" s="166"/>
      <c r="I200" s="166"/>
      <c r="J200" s="166"/>
      <c r="K200" s="166"/>
      <c r="L200" s="166"/>
      <c r="M200" s="166"/>
      <c r="N200" s="166"/>
      <c r="O200" s="166"/>
      <c r="P200" s="166"/>
      <c r="Q200" s="166"/>
      <c r="R200" s="166"/>
      <c r="S200" s="166"/>
      <c r="T200" s="166"/>
      <c r="U200" s="166"/>
      <c r="V200" s="166"/>
      <c r="W200" s="166"/>
      <c r="X200" s="166"/>
      <c r="Y200" s="166"/>
    </row>
    <row r="201" spans="1:25" hidden="1" x14ac:dyDescent="0.15">
      <c r="A201" s="178"/>
      <c r="B201" s="623">
        <f t="shared" si="40"/>
        <v>19250000</v>
      </c>
      <c r="C201" s="623">
        <f t="shared" si="38"/>
        <v>1.7913543378308565</v>
      </c>
      <c r="D201" s="624">
        <f t="shared" si="39"/>
        <v>4.1428084307676301</v>
      </c>
      <c r="E201" s="166"/>
      <c r="F201" s="166"/>
      <c r="G201" s="166"/>
      <c r="H201" s="166"/>
      <c r="I201" s="166"/>
      <c r="J201" s="166"/>
      <c r="K201" s="166"/>
      <c r="L201" s="166"/>
      <c r="M201" s="166"/>
      <c r="N201" s="166"/>
      <c r="O201" s="166"/>
      <c r="P201" s="166"/>
      <c r="Q201" s="166"/>
      <c r="R201" s="166"/>
      <c r="S201" s="166"/>
      <c r="T201" s="166"/>
      <c r="U201" s="166"/>
      <c r="V201" s="166"/>
      <c r="W201" s="166"/>
      <c r="X201" s="166"/>
      <c r="Y201" s="166"/>
    </row>
    <row r="202" spans="1:25" hidden="1" x14ac:dyDescent="0.15">
      <c r="A202" s="178"/>
      <c r="B202" s="623">
        <f t="shared" si="40"/>
        <v>19500000</v>
      </c>
      <c r="C202" s="623">
        <f t="shared" si="38"/>
        <v>1.7683882565766149</v>
      </c>
      <c r="D202" s="624">
        <f t="shared" si="39"/>
        <v>4.0372635085505069</v>
      </c>
      <c r="E202" s="166"/>
      <c r="F202" s="166"/>
      <c r="G202" s="166"/>
      <c r="H202" s="166"/>
      <c r="I202" s="166"/>
      <c r="J202" s="166"/>
      <c r="K202" s="166"/>
      <c r="L202" s="166"/>
      <c r="M202" s="166"/>
      <c r="N202" s="166"/>
      <c r="O202" s="166"/>
      <c r="P202" s="166"/>
      <c r="Q202" s="166"/>
      <c r="R202" s="166"/>
      <c r="S202" s="166"/>
      <c r="T202" s="166"/>
      <c r="U202" s="166"/>
      <c r="V202" s="166"/>
      <c r="W202" s="166"/>
      <c r="X202" s="166"/>
      <c r="Y202" s="166"/>
    </row>
    <row r="203" spans="1:25" hidden="1" x14ac:dyDescent="0.15">
      <c r="A203" s="175"/>
      <c r="B203" s="623">
        <f t="shared" si="40"/>
        <v>19750000</v>
      </c>
      <c r="C203" s="623">
        <f t="shared" si="38"/>
        <v>1.7460035951009616</v>
      </c>
      <c r="D203" s="624">
        <f t="shared" si="39"/>
        <v>3.9357011994906719</v>
      </c>
      <c r="E203" s="166"/>
      <c r="F203" s="166"/>
      <c r="G203" s="166"/>
      <c r="H203" s="166"/>
      <c r="I203" s="166"/>
      <c r="J203" s="166"/>
      <c r="K203" s="166"/>
      <c r="L203" s="166"/>
      <c r="M203" s="166"/>
      <c r="N203" s="166"/>
      <c r="O203" s="166"/>
      <c r="P203" s="166"/>
      <c r="Q203" s="166"/>
      <c r="R203" s="166"/>
      <c r="S203" s="166"/>
      <c r="T203" s="166"/>
      <c r="U203" s="166"/>
      <c r="V203" s="166"/>
      <c r="W203" s="166"/>
      <c r="X203" s="166"/>
      <c r="Y203" s="166"/>
    </row>
    <row r="204" spans="1:25" x14ac:dyDescent="0.15">
      <c r="A204" s="175"/>
      <c r="B204" s="175"/>
      <c r="C204" s="175"/>
      <c r="D204" s="175"/>
      <c r="E204" s="175"/>
      <c r="F204" s="175"/>
      <c r="G204" s="175"/>
      <c r="H204" s="175"/>
      <c r="I204" s="175"/>
      <c r="J204" s="175"/>
      <c r="K204" s="175"/>
      <c r="L204" s="175"/>
      <c r="M204" s="175"/>
      <c r="N204" s="175"/>
      <c r="O204" s="175"/>
      <c r="P204" s="175"/>
      <c r="Q204" s="175"/>
      <c r="R204" s="175"/>
      <c r="S204" s="175"/>
      <c r="T204" s="175"/>
      <c r="U204" s="175"/>
      <c r="V204" s="175"/>
      <c r="W204" s="175"/>
    </row>
    <row r="205" spans="1:25" x14ac:dyDescent="0.15">
      <c r="A205" s="175"/>
      <c r="B205" s="175"/>
      <c r="C205" s="175"/>
      <c r="D205" s="175"/>
      <c r="E205" s="175"/>
      <c r="F205" s="175"/>
      <c r="G205" s="175"/>
      <c r="H205" s="175"/>
      <c r="I205" s="175"/>
      <c r="J205" s="175"/>
      <c r="K205" s="175"/>
      <c r="L205" s="175"/>
      <c r="M205" s="175"/>
      <c r="N205" s="175"/>
      <c r="O205" s="175"/>
      <c r="P205" s="175"/>
      <c r="Q205" s="175"/>
      <c r="R205" s="175"/>
      <c r="S205" s="175"/>
      <c r="T205" s="175"/>
      <c r="U205" s="175"/>
      <c r="V205" s="175"/>
      <c r="W205" s="175"/>
    </row>
    <row r="206" spans="1:25" x14ac:dyDescent="0.15">
      <c r="A206" s="175"/>
      <c r="B206" s="175"/>
      <c r="C206" s="175"/>
      <c r="D206" s="175"/>
      <c r="E206" s="175"/>
      <c r="F206" s="175"/>
      <c r="G206" s="175"/>
      <c r="H206" s="175"/>
      <c r="I206" s="175"/>
      <c r="J206" s="175"/>
      <c r="K206" s="175"/>
      <c r="L206" s="175"/>
      <c r="M206" s="175"/>
      <c r="N206" s="175"/>
      <c r="O206" s="175"/>
      <c r="P206" s="175"/>
      <c r="Q206" s="175"/>
      <c r="R206" s="175"/>
      <c r="S206" s="175"/>
      <c r="T206" s="175"/>
      <c r="U206" s="175"/>
      <c r="V206" s="175"/>
      <c r="W206" s="175"/>
    </row>
    <row r="207" spans="1:25" x14ac:dyDescent="0.15">
      <c r="B207" s="175"/>
      <c r="C207" s="175"/>
      <c r="D207" s="175"/>
      <c r="E207" s="175"/>
      <c r="F207" s="175"/>
      <c r="G207" s="175"/>
      <c r="H207" s="175"/>
      <c r="I207" s="175"/>
      <c r="J207" s="175"/>
      <c r="K207" s="175"/>
      <c r="L207" s="175"/>
      <c r="M207" s="175"/>
      <c r="N207" s="175"/>
      <c r="O207" s="175"/>
      <c r="P207" s="175"/>
      <c r="Q207" s="175"/>
      <c r="R207" s="175"/>
      <c r="S207" s="175"/>
      <c r="T207" s="175"/>
      <c r="U207" s="175"/>
      <c r="V207" s="175"/>
      <c r="W207" s="175"/>
    </row>
    <row r="208" spans="1:25" x14ac:dyDescent="0.15">
      <c r="B208" s="175"/>
      <c r="C208" s="175"/>
      <c r="D208" s="175"/>
      <c r="E208" s="175"/>
      <c r="F208" s="175"/>
      <c r="G208" s="175"/>
      <c r="H208" s="175"/>
      <c r="I208" s="175"/>
      <c r="J208" s="175"/>
      <c r="K208" s="175"/>
      <c r="L208" s="175"/>
      <c r="M208" s="175"/>
      <c r="N208" s="175"/>
      <c r="O208" s="175"/>
      <c r="P208" s="175"/>
      <c r="Q208" s="175"/>
      <c r="R208" s="175"/>
      <c r="S208" s="175"/>
      <c r="T208" s="175"/>
      <c r="U208" s="175"/>
      <c r="V208" s="175"/>
      <c r="W208" s="175"/>
    </row>
    <row r="209" spans="2:23" x14ac:dyDescent="0.15">
      <c r="B209" s="175"/>
      <c r="C209" s="175"/>
      <c r="D209" s="175"/>
      <c r="E209" s="175"/>
      <c r="F209" s="175"/>
      <c r="G209" s="175"/>
      <c r="H209" s="175"/>
      <c r="I209" s="175"/>
      <c r="J209" s="175"/>
      <c r="K209" s="175"/>
      <c r="L209" s="175"/>
      <c r="M209" s="175"/>
      <c r="N209" s="175"/>
      <c r="O209" s="175"/>
      <c r="P209" s="175"/>
      <c r="Q209" s="175"/>
      <c r="R209" s="175"/>
      <c r="S209" s="175"/>
      <c r="T209" s="175"/>
      <c r="U209" s="175"/>
      <c r="V209" s="175"/>
      <c r="W209" s="175"/>
    </row>
    <row r="210" spans="2:23" x14ac:dyDescent="0.15">
      <c r="B210" s="175"/>
      <c r="C210" s="175"/>
      <c r="D210" s="175"/>
      <c r="E210" s="175"/>
      <c r="F210" s="175"/>
      <c r="G210" s="175"/>
      <c r="H210" s="175"/>
      <c r="I210" s="175"/>
      <c r="J210" s="175"/>
      <c r="K210" s="175"/>
      <c r="L210" s="175"/>
      <c r="M210" s="175"/>
      <c r="N210" s="175"/>
      <c r="O210" s="175"/>
      <c r="P210" s="175"/>
      <c r="Q210" s="175"/>
      <c r="R210" s="175"/>
      <c r="S210" s="175"/>
      <c r="T210" s="175"/>
      <c r="U210" s="175"/>
      <c r="V210" s="175"/>
      <c r="W210" s="175"/>
    </row>
    <row r="211" spans="2:23" x14ac:dyDescent="0.15">
      <c r="B211" s="175"/>
      <c r="C211" s="175"/>
      <c r="D211" s="175"/>
      <c r="E211" s="175"/>
      <c r="F211" s="175"/>
      <c r="G211" s="175"/>
      <c r="H211" s="175"/>
      <c r="I211" s="175"/>
      <c r="J211" s="175"/>
      <c r="K211" s="175"/>
      <c r="L211" s="175"/>
      <c r="M211" s="175"/>
      <c r="N211" s="175"/>
      <c r="O211" s="175"/>
      <c r="P211" s="175"/>
      <c r="Q211" s="175"/>
      <c r="R211" s="175"/>
      <c r="S211" s="175"/>
      <c r="T211" s="175"/>
      <c r="U211" s="175"/>
      <c r="V211" s="175"/>
      <c r="W211" s="175"/>
    </row>
    <row r="212" spans="2:23" x14ac:dyDescent="0.15">
      <c r="B212" s="175"/>
      <c r="C212" s="175"/>
      <c r="D212" s="175"/>
      <c r="E212" s="175"/>
      <c r="F212" s="175"/>
      <c r="G212" s="175"/>
      <c r="H212" s="175"/>
      <c r="I212" s="175"/>
      <c r="J212" s="175"/>
      <c r="K212" s="175"/>
      <c r="L212" s="175"/>
      <c r="M212" s="175"/>
      <c r="N212" s="175"/>
      <c r="O212" s="175"/>
      <c r="P212" s="175"/>
      <c r="Q212" s="175"/>
      <c r="R212" s="175"/>
      <c r="S212" s="175"/>
      <c r="T212" s="175"/>
      <c r="U212" s="175"/>
      <c r="V212" s="175"/>
      <c r="W212" s="175"/>
    </row>
    <row r="213" spans="2:23" x14ac:dyDescent="0.15">
      <c r="B213" s="175"/>
      <c r="C213" s="175"/>
      <c r="D213" s="175"/>
      <c r="E213" s="175"/>
      <c r="F213" s="175"/>
      <c r="G213" s="175"/>
      <c r="H213" s="175"/>
      <c r="I213" s="175"/>
      <c r="J213" s="175"/>
      <c r="K213" s="175"/>
      <c r="L213" s="175"/>
      <c r="M213" s="175"/>
      <c r="N213" s="175"/>
      <c r="O213" s="175"/>
      <c r="P213" s="175"/>
      <c r="Q213" s="175"/>
      <c r="R213" s="175"/>
      <c r="S213" s="175"/>
      <c r="T213" s="175"/>
      <c r="U213" s="175"/>
      <c r="V213" s="175"/>
      <c r="W213" s="175"/>
    </row>
    <row r="214" spans="2:23" x14ac:dyDescent="0.15">
      <c r="B214" s="175"/>
      <c r="C214" s="175"/>
      <c r="D214" s="175"/>
      <c r="E214" s="175"/>
      <c r="F214" s="175"/>
      <c r="G214" s="175"/>
      <c r="H214" s="175"/>
      <c r="I214" s="175"/>
      <c r="J214" s="175"/>
      <c r="K214" s="175"/>
      <c r="L214" s="175"/>
      <c r="M214" s="175"/>
      <c r="N214" s="175"/>
      <c r="O214" s="175"/>
      <c r="P214" s="175"/>
      <c r="Q214" s="175"/>
      <c r="R214" s="175"/>
      <c r="S214" s="175"/>
      <c r="T214" s="175"/>
      <c r="U214" s="175"/>
      <c r="V214" s="175"/>
      <c r="W214" s="175"/>
    </row>
    <row r="215" spans="2:23" x14ac:dyDescent="0.15">
      <c r="B215" s="175"/>
      <c r="C215" s="175"/>
      <c r="D215" s="175"/>
      <c r="E215" s="175"/>
      <c r="F215" s="175"/>
      <c r="G215" s="175"/>
      <c r="H215" s="175"/>
      <c r="I215" s="175"/>
      <c r="J215" s="175"/>
      <c r="K215" s="175"/>
      <c r="L215" s="175"/>
      <c r="M215" s="175"/>
      <c r="N215" s="175"/>
      <c r="O215" s="175"/>
      <c r="P215" s="175"/>
      <c r="Q215" s="175"/>
      <c r="R215" s="175"/>
      <c r="S215" s="175"/>
      <c r="T215" s="175"/>
      <c r="U215" s="175"/>
      <c r="V215" s="175"/>
      <c r="W215" s="175"/>
    </row>
    <row r="216" spans="2:23" x14ac:dyDescent="0.15">
      <c r="B216" s="175"/>
      <c r="C216" s="175"/>
      <c r="D216" s="175"/>
      <c r="E216" s="175"/>
      <c r="F216" s="175"/>
      <c r="G216" s="175"/>
      <c r="H216" s="175"/>
      <c r="I216" s="175"/>
      <c r="J216" s="175"/>
      <c r="K216" s="175"/>
      <c r="L216" s="175"/>
      <c r="M216" s="175"/>
      <c r="N216" s="175"/>
      <c r="O216" s="175"/>
      <c r="P216" s="175"/>
      <c r="Q216" s="175"/>
      <c r="R216" s="175"/>
      <c r="S216" s="175"/>
      <c r="T216" s="175"/>
      <c r="U216" s="175"/>
      <c r="V216" s="175"/>
      <c r="W216" s="175"/>
    </row>
    <row r="217" spans="2:23" x14ac:dyDescent="0.15">
      <c r="B217" s="175"/>
      <c r="C217" s="175"/>
      <c r="D217" s="175"/>
      <c r="E217" s="175"/>
      <c r="F217" s="175"/>
      <c r="G217" s="175"/>
      <c r="H217" s="175"/>
      <c r="I217" s="175"/>
      <c r="J217" s="175"/>
      <c r="K217" s="175"/>
      <c r="L217" s="175"/>
      <c r="M217" s="175"/>
      <c r="N217" s="175"/>
      <c r="O217" s="175"/>
      <c r="P217" s="175"/>
      <c r="Q217" s="175"/>
      <c r="R217" s="175"/>
      <c r="S217" s="175"/>
      <c r="T217" s="175"/>
      <c r="U217" s="175"/>
      <c r="V217" s="175"/>
      <c r="W217" s="175"/>
    </row>
    <row r="218" spans="2:23" x14ac:dyDescent="0.15">
      <c r="B218" s="175"/>
      <c r="C218" s="175"/>
      <c r="D218" s="175"/>
      <c r="E218" s="175"/>
      <c r="F218" s="175"/>
      <c r="G218" s="175"/>
      <c r="H218" s="175"/>
      <c r="I218" s="175"/>
      <c r="J218" s="175"/>
      <c r="K218" s="175"/>
      <c r="L218" s="175"/>
      <c r="M218" s="175"/>
      <c r="N218" s="175"/>
      <c r="O218" s="175"/>
      <c r="P218" s="175"/>
      <c r="Q218" s="175"/>
      <c r="R218" s="175"/>
      <c r="S218" s="175"/>
      <c r="T218" s="175"/>
      <c r="U218" s="175"/>
      <c r="V218" s="175"/>
      <c r="W218" s="175"/>
    </row>
    <row r="219" spans="2:23" x14ac:dyDescent="0.15">
      <c r="B219" s="175"/>
      <c r="C219" s="175"/>
      <c r="D219" s="175"/>
      <c r="E219" s="175"/>
      <c r="F219" s="175"/>
      <c r="G219" s="175"/>
      <c r="H219" s="175"/>
      <c r="I219" s="175"/>
      <c r="J219" s="175"/>
      <c r="K219" s="175"/>
      <c r="L219" s="175"/>
      <c r="M219" s="175"/>
      <c r="N219" s="175"/>
      <c r="O219" s="175"/>
      <c r="P219" s="175"/>
      <c r="Q219" s="175"/>
      <c r="R219" s="175"/>
      <c r="S219" s="175"/>
      <c r="T219" s="175"/>
      <c r="U219" s="175"/>
      <c r="V219" s="175"/>
      <c r="W219" s="175"/>
    </row>
    <row r="220" spans="2:23" x14ac:dyDescent="0.15">
      <c r="B220" s="175"/>
      <c r="C220" s="175"/>
      <c r="D220" s="175"/>
      <c r="E220" s="175"/>
      <c r="F220" s="175"/>
      <c r="G220" s="175"/>
      <c r="H220" s="175"/>
      <c r="I220" s="175"/>
      <c r="J220" s="175"/>
      <c r="K220" s="175"/>
      <c r="L220" s="175"/>
      <c r="M220" s="175"/>
      <c r="N220" s="175"/>
      <c r="O220" s="175"/>
      <c r="P220" s="175"/>
      <c r="Q220" s="175"/>
      <c r="R220" s="175"/>
      <c r="S220" s="175"/>
      <c r="T220" s="175"/>
      <c r="U220" s="175"/>
      <c r="V220" s="175"/>
      <c r="W220" s="175"/>
    </row>
    <row r="221" spans="2:23" x14ac:dyDescent="0.15">
      <c r="B221" s="175"/>
      <c r="C221" s="175"/>
      <c r="D221" s="175"/>
      <c r="E221" s="175"/>
      <c r="F221" s="175"/>
      <c r="G221" s="175"/>
      <c r="H221" s="175"/>
      <c r="I221" s="175"/>
      <c r="J221" s="175"/>
      <c r="K221" s="175"/>
      <c r="L221" s="175"/>
      <c r="M221" s="175"/>
      <c r="N221" s="175"/>
      <c r="O221" s="175"/>
      <c r="P221" s="175"/>
      <c r="Q221" s="175"/>
      <c r="R221" s="175"/>
      <c r="S221" s="175"/>
      <c r="T221" s="175"/>
      <c r="U221" s="175"/>
      <c r="V221" s="175"/>
      <c r="W221" s="175"/>
    </row>
    <row r="222" spans="2:23" x14ac:dyDescent="0.15">
      <c r="B222" s="175"/>
      <c r="C222" s="175"/>
      <c r="D222" s="175"/>
      <c r="E222" s="175"/>
      <c r="F222" s="175"/>
      <c r="G222" s="175"/>
      <c r="H222" s="175"/>
      <c r="I222" s="175"/>
      <c r="J222" s="175"/>
      <c r="K222" s="175"/>
      <c r="L222" s="175"/>
      <c r="M222" s="175"/>
      <c r="N222" s="175"/>
      <c r="O222" s="175"/>
      <c r="P222" s="175"/>
      <c r="Q222" s="175"/>
      <c r="R222" s="175"/>
      <c r="S222" s="175"/>
      <c r="T222" s="175"/>
      <c r="U222" s="175"/>
      <c r="V222" s="175"/>
      <c r="W222" s="175"/>
    </row>
    <row r="223" spans="2:23" x14ac:dyDescent="0.15">
      <c r="B223" s="175"/>
      <c r="C223" s="175"/>
      <c r="D223" s="175"/>
      <c r="E223" s="175"/>
      <c r="F223" s="175"/>
      <c r="G223" s="175"/>
      <c r="H223" s="175"/>
      <c r="I223" s="175"/>
      <c r="J223" s="175"/>
      <c r="K223" s="175"/>
      <c r="L223" s="175"/>
      <c r="M223" s="175"/>
      <c r="N223" s="175"/>
      <c r="O223" s="175"/>
      <c r="P223" s="175"/>
      <c r="Q223" s="175"/>
      <c r="R223" s="175"/>
      <c r="S223" s="175"/>
      <c r="T223" s="175"/>
      <c r="U223" s="175"/>
      <c r="V223" s="175"/>
      <c r="W223" s="175"/>
    </row>
  </sheetData>
  <sheetProtection sheet="1" objects="1" scenarios="1"/>
  <phoneticPr fontId="121"/>
  <conditionalFormatting sqref="E25">
    <cfRule type="expression" dxfId="40" priority="2">
      <formula>IF(E25="This must be closer than Switch-On Distance",1,0)</formula>
    </cfRule>
  </conditionalFormatting>
  <conditionalFormatting sqref="E13">
    <cfRule type="expression" dxfId="39" priority="1">
      <formula>IF(C13&gt;33,1,0)</formula>
    </cfRule>
  </conditionalFormatting>
  <dataValidations count="11">
    <dataValidation type="list" allowBlank="1" showInputMessage="1" showErrorMessage="1" sqref="D23 D25 D51 D49 D40">
      <formula1>"mm, mil"</formula1>
    </dataValidation>
    <dataValidation type="list" allowBlank="1" showInputMessage="1" showErrorMessage="1" sqref="C7">
      <formula1>"1.8, 3.3"</formula1>
    </dataValidation>
    <dataValidation type="decimal" operator="greaterThan" allowBlank="1" showInputMessage="1" showErrorMessage="1" sqref="C10:C12 C25">
      <formula1>0</formula1>
    </dataValidation>
    <dataValidation type="decimal" errorStyle="warning" operator="greaterThan" allowBlank="1" showInputMessage="1" showErrorMessage="1" errorTitle="Sensor Inductance" error="The inductance of a 4.00mm spiral may be too low for the LDC0851 to support." sqref="C23">
      <formula1>4</formula1>
    </dataValidation>
    <dataValidation type="decimal" errorStyle="warning" allowBlank="1" showInputMessage="1" showErrorMessage="1" error="The width of  cannot be more than 180 degrees._x000a_" sqref="C117">
      <formula1>0.001</formula1>
      <formula2>360</formula2>
    </dataValidation>
    <dataValidation type="decimal" errorStyle="warning" operator="greaterThan" allowBlank="1" showInputMessage="1" showErrorMessage="1" error="Missing counts can occur if the oversample ratio is not &gt;2. A minimum of 3 is recommended." sqref="C119">
      <formula1>2.5</formula1>
    </dataValidation>
    <dataValidation errorStyle="warning" operator="greaterThanOrEqual" allowBlank="1" showInputMessage="1" showErrorMessage="1" error="Most systems have at least 1 event per rotation._x000a_" sqref="C118"/>
    <dataValidation type="decimal" errorStyle="warning" allowBlank="1" showInputMessage="1" showErrorMessage="1" error="The width of one gear tooth cannot be more than 180 degrees._x000a_" sqref="C116">
      <formula1>0.001</formula1>
      <formula2>360</formula2>
    </dataValidation>
    <dataValidation type="decimal" errorStyle="warning" allowBlank="1" showInputMessage="1" showErrorMessage="1" error="This switching distance is either closer than the closest target distance or too far based on the sensor size. " sqref="C40">
      <formula1>C25</formula1>
      <formula2>C23/2</formula2>
    </dataValidation>
    <dataValidation type="decimal" allowBlank="1" showInputMessage="1" showErrorMessage="1" sqref="C65">
      <formula1>0.001</formula1>
      <formula2>1000000</formula2>
    </dataValidation>
    <dataValidation type="decimal" allowBlank="1" showInputMessage="1" showErrorMessage="1" sqref="C66">
      <formula1>0.001</formula1>
      <formula2>C16*1000</formula2>
    </dataValidation>
  </dataValidations>
  <hyperlinks>
    <hyperlink ref="D2" location="Contents!A1" display="Return to Main Page"/>
    <hyperlink ref="C64" r:id="rId1"/>
  </hyperlinks>
  <pageMargins left="0.7" right="0.7" top="0.75" bottom="0.75" header="0.3" footer="0.3"/>
  <pageSetup orientation="portrait" r:id="rId2"/>
  <ignoredErrors>
    <ignoredError sqref="C50" formula="1"/>
  </ignoredErrors>
  <drawing r:id="rId3"/>
  <legacyDrawing r:id="rId4"/>
  <oleObjects>
    <mc:AlternateContent xmlns:mc="http://schemas.openxmlformats.org/markup-compatibility/2006">
      <mc:Choice Requires="x14">
        <oleObject progId="Acrobat Document" dvAspect="DVASPECT_ICON" shapeId="41999" r:id="rId5">
          <objectPr locked="0" defaultSize="0" r:id="rId6">
            <anchor moveWithCells="1">
              <from>
                <xdr:col>4</xdr:col>
                <xdr:colOff>466725</xdr:colOff>
                <xdr:row>2</xdr:row>
                <xdr:rowOff>38100</xdr:rowOff>
              </from>
              <to>
                <xdr:col>4</xdr:col>
                <xdr:colOff>1381125</xdr:colOff>
                <xdr:row>5</xdr:row>
                <xdr:rowOff>133350</xdr:rowOff>
              </to>
            </anchor>
          </objectPr>
        </oleObject>
      </mc:Choice>
      <mc:Fallback>
        <oleObject progId="Acrobat Document" dvAspect="DVASPECT_ICON" shapeId="41999" r:id="rId5"/>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4" tint="0.59999389629810485"/>
  </sheetPr>
  <dimension ref="A4:L269"/>
  <sheetViews>
    <sheetView showGridLines="0" showRowColHeaders="0" tabSelected="1" topLeftCell="A7" zoomScaleNormal="100" workbookViewId="0">
      <selection activeCell="K50" sqref="K50"/>
    </sheetView>
  </sheetViews>
  <sheetFormatPr defaultRowHeight="13.5" x14ac:dyDescent="0.15"/>
  <cols>
    <col min="1" max="2" width="5.75" customWidth="1"/>
    <col min="3" max="3" width="36.875" customWidth="1"/>
    <col min="4" max="4" width="12.5" customWidth="1"/>
    <col min="5" max="5" width="8.5" customWidth="1"/>
    <col min="6" max="6" width="12" bestFit="1" customWidth="1"/>
    <col min="7" max="7" width="12.5" bestFit="1" customWidth="1"/>
    <col min="8" max="8" width="14.875" customWidth="1"/>
    <col min="12" max="12" width="12.125" customWidth="1"/>
    <col min="13" max="13" width="10.5" customWidth="1"/>
    <col min="14" max="14" width="10" customWidth="1"/>
  </cols>
  <sheetData>
    <row r="4" spans="2:11" ht="17.25" x14ac:dyDescent="0.2">
      <c r="B4" s="4" t="s">
        <v>855</v>
      </c>
      <c r="C4" s="4"/>
      <c r="E4" s="20" t="s">
        <v>198</v>
      </c>
    </row>
    <row r="5" spans="2:11" ht="17.25" x14ac:dyDescent="0.2">
      <c r="B5" s="4"/>
      <c r="C5" s="4"/>
      <c r="E5" s="20"/>
    </row>
    <row r="6" spans="2:11" ht="17.25" x14ac:dyDescent="0.2">
      <c r="B6" s="9"/>
      <c r="C6" s="92"/>
    </row>
    <row r="7" spans="2:11" ht="14.25" x14ac:dyDescent="0.15">
      <c r="B7" s="9"/>
      <c r="C7" s="452" t="s">
        <v>283</v>
      </c>
      <c r="D7" s="391" t="s">
        <v>1586</v>
      </c>
      <c r="E7" s="7"/>
      <c r="F7" s="9"/>
      <c r="G7" s="7"/>
      <c r="H7" s="7"/>
      <c r="I7" s="7"/>
      <c r="J7" s="7"/>
      <c r="K7" s="7"/>
    </row>
    <row r="8" spans="2:11" hidden="1" x14ac:dyDescent="0.15">
      <c r="B8" s="9"/>
      <c r="C8" s="97" t="s">
        <v>882</v>
      </c>
      <c r="D8" s="558" t="b">
        <f>IF(RIGHT(D7,1)="2",TRUE,FALSE)</f>
        <v>1</v>
      </c>
      <c r="E8" s="7"/>
      <c r="F8" s="7"/>
      <c r="G8" s="7"/>
      <c r="H8" s="7"/>
      <c r="I8" s="7"/>
      <c r="J8" s="7"/>
      <c r="K8" s="7"/>
    </row>
    <row r="9" spans="2:11" x14ac:dyDescent="0.15">
      <c r="B9" s="9"/>
      <c r="C9" s="97" t="s">
        <v>868</v>
      </c>
      <c r="D9" s="559" t="s">
        <v>873</v>
      </c>
      <c r="E9" s="7"/>
      <c r="F9" s="71" t="str">
        <f>IF(AND(D8,NOT(D10)),D7&amp;" does not support this many channels","")</f>
        <v/>
      </c>
      <c r="G9" s="7"/>
      <c r="H9" s="7"/>
      <c r="I9" s="7"/>
      <c r="J9" s="7"/>
      <c r="K9" s="7"/>
    </row>
    <row r="10" spans="2:11" hidden="1" x14ac:dyDescent="0.15">
      <c r="B10" s="9"/>
      <c r="C10" s="97" t="s">
        <v>883</v>
      </c>
      <c r="D10" s="558">
        <f>INDEX(I13:I19,MATCH(D9,D13:D19,0))</f>
        <v>1</v>
      </c>
      <c r="E10" s="7"/>
      <c r="F10" s="7"/>
      <c r="G10" s="7"/>
      <c r="H10" s="7"/>
      <c r="I10" s="7"/>
      <c r="J10" s="7"/>
      <c r="K10" s="7"/>
    </row>
    <row r="11" spans="2:11" hidden="1" x14ac:dyDescent="0.15">
      <c r="B11" s="9"/>
      <c r="C11" s="97" t="s">
        <v>945</v>
      </c>
      <c r="D11" s="563">
        <f>IF(MID(D7,5,1)="6",1,0)</f>
        <v>1</v>
      </c>
      <c r="E11" s="7"/>
      <c r="F11" s="7"/>
      <c r="G11" s="7"/>
      <c r="H11" s="7"/>
      <c r="I11" s="7"/>
      <c r="J11" s="7"/>
      <c r="K11" s="7"/>
    </row>
    <row r="12" spans="2:11" hidden="1" x14ac:dyDescent="0.15">
      <c r="B12" s="9"/>
      <c r="C12" s="97"/>
      <c r="D12" s="552" t="s">
        <v>876</v>
      </c>
      <c r="E12" s="125" t="s">
        <v>877</v>
      </c>
      <c r="F12" s="125" t="s">
        <v>878</v>
      </c>
      <c r="G12" s="125" t="s">
        <v>879</v>
      </c>
      <c r="H12" s="125" t="s">
        <v>880</v>
      </c>
      <c r="I12" s="125" t="s">
        <v>881</v>
      </c>
      <c r="J12" s="7"/>
      <c r="K12" s="7"/>
    </row>
    <row r="13" spans="2:11" hidden="1" x14ac:dyDescent="0.15">
      <c r="B13" s="9"/>
      <c r="C13" s="97"/>
      <c r="D13" s="552" t="s">
        <v>869</v>
      </c>
      <c r="E13" s="553">
        <v>0</v>
      </c>
      <c r="F13" s="553">
        <v>0</v>
      </c>
      <c r="G13" s="553">
        <v>0</v>
      </c>
      <c r="H13" s="553">
        <v>1</v>
      </c>
      <c r="I13" s="553">
        <v>1</v>
      </c>
      <c r="J13" s="7"/>
      <c r="K13" s="7"/>
    </row>
    <row r="14" spans="2:11" hidden="1" x14ac:dyDescent="0.15">
      <c r="B14" s="9"/>
      <c r="C14" s="97"/>
      <c r="D14" s="552" t="s">
        <v>870</v>
      </c>
      <c r="E14" s="553">
        <v>0</v>
      </c>
      <c r="F14" s="553">
        <v>0</v>
      </c>
      <c r="G14" s="553">
        <v>1</v>
      </c>
      <c r="H14" s="553">
        <v>1</v>
      </c>
      <c r="I14" s="553">
        <v>1</v>
      </c>
      <c r="J14" s="7"/>
      <c r="K14" s="7"/>
    </row>
    <row r="15" spans="2:11" hidden="1" x14ac:dyDescent="0.15">
      <c r="B15" s="9"/>
      <c r="C15" s="97"/>
      <c r="D15" s="552" t="s">
        <v>871</v>
      </c>
      <c r="E15" s="553">
        <v>0</v>
      </c>
      <c r="F15" s="553">
        <v>0</v>
      </c>
      <c r="G15" s="553">
        <v>2</v>
      </c>
      <c r="H15" s="553">
        <v>1</v>
      </c>
      <c r="I15" s="553">
        <v>0</v>
      </c>
      <c r="J15" s="7"/>
      <c r="K15" s="7"/>
    </row>
    <row r="16" spans="2:11" hidden="1" x14ac:dyDescent="0.15">
      <c r="B16" s="9"/>
      <c r="C16" s="97"/>
      <c r="D16" s="552" t="s">
        <v>872</v>
      </c>
      <c r="E16" s="553">
        <v>0</v>
      </c>
      <c r="F16" s="553">
        <v>0</v>
      </c>
      <c r="G16" s="553">
        <v>3</v>
      </c>
      <c r="H16" s="553">
        <v>1</v>
      </c>
      <c r="I16" s="553">
        <v>0</v>
      </c>
      <c r="J16" s="7"/>
      <c r="K16" s="7"/>
    </row>
    <row r="17" spans="2:11" hidden="1" x14ac:dyDescent="0.15">
      <c r="B17" s="9"/>
      <c r="C17" s="97"/>
      <c r="D17" s="552" t="s">
        <v>873</v>
      </c>
      <c r="E17" s="553">
        <v>0</v>
      </c>
      <c r="F17" s="553">
        <v>1</v>
      </c>
      <c r="G17" s="553">
        <v>0</v>
      </c>
      <c r="H17" s="553">
        <v>2</v>
      </c>
      <c r="I17" s="553">
        <v>1</v>
      </c>
      <c r="J17" s="7"/>
      <c r="K17" s="7"/>
    </row>
    <row r="18" spans="2:11" hidden="1" x14ac:dyDescent="0.15">
      <c r="B18" s="9"/>
      <c r="C18" s="97"/>
      <c r="D18" s="552" t="s">
        <v>874</v>
      </c>
      <c r="E18" s="553">
        <v>1</v>
      </c>
      <c r="F18" s="553">
        <v>1</v>
      </c>
      <c r="G18" s="553">
        <v>0</v>
      </c>
      <c r="H18" s="553">
        <v>3</v>
      </c>
      <c r="I18" s="553">
        <v>0</v>
      </c>
      <c r="J18" s="7"/>
      <c r="K18" s="7"/>
    </row>
    <row r="19" spans="2:11" hidden="1" x14ac:dyDescent="0.15">
      <c r="B19" s="9"/>
      <c r="C19" s="97"/>
      <c r="D19" s="552" t="s">
        <v>875</v>
      </c>
      <c r="E19" s="553">
        <v>2</v>
      </c>
      <c r="F19" s="553">
        <v>1</v>
      </c>
      <c r="G19" s="553">
        <v>0</v>
      </c>
      <c r="H19" s="553">
        <v>4</v>
      </c>
      <c r="I19" s="553">
        <v>0</v>
      </c>
      <c r="J19" s="7"/>
      <c r="K19" s="7"/>
    </row>
    <row r="20" spans="2:11" hidden="1" x14ac:dyDescent="0.15">
      <c r="B20" s="9"/>
      <c r="C20" s="97"/>
      <c r="D20" s="560" t="s">
        <v>772</v>
      </c>
      <c r="E20" s="562" t="s">
        <v>953</v>
      </c>
      <c r="F20" s="7"/>
      <c r="G20" s="7"/>
      <c r="H20" s="7"/>
      <c r="I20" s="7"/>
      <c r="J20" s="7"/>
      <c r="K20" s="7"/>
    </row>
    <row r="21" spans="2:11" hidden="1" x14ac:dyDescent="0.15">
      <c r="B21" s="9"/>
      <c r="C21" s="93" t="s">
        <v>884</v>
      </c>
      <c r="D21" s="555">
        <f>INDEX(H13:H19,MATCH(D9,D13:D19,0))</f>
        <v>2</v>
      </c>
      <c r="E21" s="93"/>
      <c r="F21" s="7"/>
      <c r="G21" s="7"/>
      <c r="H21" s="7"/>
      <c r="I21" s="7"/>
      <c r="J21" s="7"/>
      <c r="K21" s="7"/>
    </row>
    <row r="22" spans="2:11" hidden="1" x14ac:dyDescent="0.15">
      <c r="B22" s="9"/>
      <c r="C22" s="93" t="s">
        <v>885</v>
      </c>
      <c r="D22" s="556">
        <f>INDEX(E13:E19,MATCH(D9,D13:D19,0))</f>
        <v>0</v>
      </c>
      <c r="E22" s="473">
        <v>13</v>
      </c>
      <c r="F22" s="7"/>
      <c r="G22" s="7"/>
      <c r="H22" s="7"/>
      <c r="I22" s="7"/>
      <c r="J22" s="7"/>
      <c r="K22" s="7"/>
    </row>
    <row r="23" spans="2:11" hidden="1" x14ac:dyDescent="0.15">
      <c r="B23" s="9"/>
      <c r="C23" s="93" t="s">
        <v>886</v>
      </c>
      <c r="D23" s="557">
        <f>INDEX(F13:F19,MATCH(D9,D13:D19,0))</f>
        <v>1</v>
      </c>
      <c r="E23" s="473">
        <v>15</v>
      </c>
      <c r="F23" s="7"/>
      <c r="G23" s="7"/>
      <c r="H23" s="7"/>
      <c r="I23" s="7"/>
      <c r="J23" s="7"/>
      <c r="K23" s="7"/>
    </row>
    <row r="24" spans="2:11" hidden="1" x14ac:dyDescent="0.15">
      <c r="B24" s="9"/>
      <c r="C24" s="93" t="s">
        <v>879</v>
      </c>
      <c r="D24" s="557">
        <f>INDEX(G13:G19,MATCH(D9,D13:D19,0))</f>
        <v>0</v>
      </c>
      <c r="E24" s="473">
        <v>14</v>
      </c>
      <c r="F24" s="7"/>
      <c r="G24" s="7"/>
      <c r="H24" s="7"/>
      <c r="I24" s="7"/>
      <c r="J24" s="7"/>
      <c r="K24" s="7"/>
    </row>
    <row r="25" spans="2:11" hidden="1" x14ac:dyDescent="0.15">
      <c r="B25" s="9"/>
      <c r="C25" s="93" t="s">
        <v>929</v>
      </c>
      <c r="D25" s="557">
        <v>1</v>
      </c>
      <c r="E25" s="473">
        <v>10</v>
      </c>
      <c r="F25" s="7"/>
      <c r="G25" s="7"/>
      <c r="H25" s="7"/>
      <c r="I25" s="7"/>
      <c r="J25" s="7"/>
      <c r="K25" s="7"/>
    </row>
    <row r="26" spans="2:11" hidden="1" x14ac:dyDescent="0.15">
      <c r="B26" s="9"/>
      <c r="C26" s="93" t="s">
        <v>930</v>
      </c>
      <c r="D26" s="557">
        <v>1</v>
      </c>
      <c r="E26" s="473">
        <v>12</v>
      </c>
      <c r="F26" s="7"/>
      <c r="G26" s="7"/>
      <c r="H26" s="7"/>
      <c r="I26" s="7"/>
      <c r="J26" s="7"/>
      <c r="K26" s="7"/>
    </row>
    <row r="27" spans="2:11" hidden="1" x14ac:dyDescent="0.15">
      <c r="B27" s="9"/>
      <c r="C27" s="93" t="s">
        <v>928</v>
      </c>
      <c r="D27" s="557">
        <f>IF(D32="Internal",0,1)</f>
        <v>1</v>
      </c>
      <c r="E27" s="473">
        <v>9</v>
      </c>
      <c r="F27" s="7"/>
      <c r="G27" s="7"/>
      <c r="H27" s="7"/>
      <c r="I27" s="7"/>
      <c r="J27" s="7"/>
      <c r="K27" s="7"/>
    </row>
    <row r="28" spans="2:11" hidden="1" x14ac:dyDescent="0.15">
      <c r="B28" s="9"/>
      <c r="C28" s="93" t="s">
        <v>931</v>
      </c>
      <c r="D28" s="557">
        <v>0</v>
      </c>
      <c r="E28" s="473">
        <v>7</v>
      </c>
      <c r="F28" s="7"/>
      <c r="G28" s="7"/>
      <c r="H28" s="7"/>
      <c r="I28" s="7"/>
      <c r="J28" s="7"/>
      <c r="K28" s="7"/>
    </row>
    <row r="29" spans="2:11" hidden="1" x14ac:dyDescent="0.15">
      <c r="B29" s="9"/>
      <c r="C29" s="93" t="s">
        <v>932</v>
      </c>
      <c r="D29" s="557">
        <f>IF(AND(D9=D13,D87&gt;32),1,0)</f>
        <v>0</v>
      </c>
      <c r="E29" s="473">
        <v>6</v>
      </c>
      <c r="F29" s="7"/>
      <c r="G29" s="7"/>
      <c r="H29" s="7"/>
      <c r="I29" s="7"/>
      <c r="J29" s="7"/>
      <c r="K29" s="7"/>
    </row>
    <row r="30" spans="2:11" hidden="1" x14ac:dyDescent="0.15">
      <c r="B30" s="9"/>
      <c r="C30" s="93" t="s">
        <v>925</v>
      </c>
      <c r="D30" s="554">
        <f>D24*(2^E24)+D25*(2^E25)+D26*(2^E26)+D27*(2^E27)+D28*(2^E28)+D29*(2^E29)</f>
        <v>5632</v>
      </c>
      <c r="E30" s="6"/>
      <c r="F30" s="7"/>
      <c r="G30" s="7"/>
      <c r="H30" s="7"/>
      <c r="I30" s="7"/>
      <c r="J30" s="7"/>
      <c r="K30" s="7"/>
    </row>
    <row r="31" spans="2:11" x14ac:dyDescent="0.15">
      <c r="B31" s="9"/>
      <c r="F31" s="7"/>
      <c r="G31" s="7"/>
      <c r="H31" s="71"/>
      <c r="I31" s="7"/>
      <c r="K31" s="7"/>
    </row>
    <row r="32" spans="2:11" x14ac:dyDescent="0.15">
      <c r="B32" s="9"/>
      <c r="C32" s="97" t="s">
        <v>926</v>
      </c>
      <c r="D32" s="561" t="s">
        <v>1030</v>
      </c>
      <c r="E32" s="7"/>
      <c r="F32" s="9" t="str">
        <f>IF(MID(D7,5,1)="6",IF(D32="Internal","External Recommended for LDC161x applications",""),"")</f>
        <v/>
      </c>
      <c r="G32" s="7"/>
      <c r="H32" s="7"/>
      <c r="I32" s="7"/>
      <c r="J32" s="7"/>
      <c r="K32" s="7"/>
    </row>
    <row r="33" spans="1:11" x14ac:dyDescent="0.15">
      <c r="B33" s="9"/>
      <c r="C33" s="97" t="s">
        <v>927</v>
      </c>
      <c r="D33" s="610">
        <v>40</v>
      </c>
      <c r="E33" s="6" t="s">
        <v>0</v>
      </c>
      <c r="F33" s="6"/>
      <c r="G33" s="7"/>
      <c r="H33" s="7"/>
      <c r="I33" s="7"/>
      <c r="J33" s="7"/>
      <c r="K33" s="7"/>
    </row>
    <row r="34" spans="1:11" x14ac:dyDescent="0.15">
      <c r="B34" s="9"/>
      <c r="C34" s="97" t="s">
        <v>1031</v>
      </c>
      <c r="D34" s="358">
        <v>40</v>
      </c>
      <c r="E34" s="6" t="s">
        <v>0</v>
      </c>
      <c r="F34" s="71" t="str">
        <f>IF(AND(D34&gt;D33,D32="External"),"Reference Frequency Exceeds Maximum allowed","")</f>
        <v/>
      </c>
      <c r="G34" s="7"/>
      <c r="H34" s="7"/>
      <c r="I34" s="7"/>
      <c r="J34" s="7"/>
      <c r="K34" s="7"/>
    </row>
    <row r="35" spans="1:11" ht="16.5" x14ac:dyDescent="0.25">
      <c r="B35" s="9"/>
      <c r="C35" s="97" t="s">
        <v>1035</v>
      </c>
      <c r="D35" s="164">
        <f>CEILING(D34/D37,1)</f>
        <v>1</v>
      </c>
      <c r="E35" s="8"/>
      <c r="F35" s="71"/>
      <c r="G35" s="7"/>
      <c r="H35" s="7"/>
      <c r="I35" s="7"/>
      <c r="J35" s="7"/>
      <c r="K35" s="7"/>
    </row>
    <row r="36" spans="1:11" hidden="1" x14ac:dyDescent="0.15">
      <c r="B36" s="9"/>
      <c r="C36" s="97" t="s">
        <v>1033</v>
      </c>
      <c r="D36" s="611">
        <f>IF(D32="External",D35,1)</f>
        <v>1</v>
      </c>
      <c r="E36" s="8" t="s">
        <v>1034</v>
      </c>
      <c r="F36" s="71"/>
      <c r="G36" s="7"/>
      <c r="H36" s="7"/>
      <c r="I36" s="7"/>
      <c r="J36" s="7"/>
      <c r="K36" s="7"/>
    </row>
    <row r="37" spans="1:11" x14ac:dyDescent="0.15">
      <c r="B37" s="9"/>
      <c r="C37" s="97" t="s">
        <v>1032</v>
      </c>
      <c r="D37" s="612">
        <f>IF(D21=1,35,40)</f>
        <v>40</v>
      </c>
      <c r="E37" s="6" t="s">
        <v>0</v>
      </c>
      <c r="F37" s="6" t="str">
        <f>IF(D21=1,"Reduced to 35MHz for single channel mode","")</f>
        <v/>
      </c>
      <c r="G37" s="7"/>
      <c r="H37" s="7"/>
      <c r="I37" s="7"/>
      <c r="J37" s="7"/>
      <c r="K37" s="7"/>
    </row>
    <row r="38" spans="1:11" x14ac:dyDescent="0.15">
      <c r="B38" s="9"/>
      <c r="C38" s="97" t="s">
        <v>1038</v>
      </c>
      <c r="D38" s="609">
        <f>IF(D32="External",D34/D36,40)</f>
        <v>40</v>
      </c>
      <c r="E38" s="6" t="s">
        <v>0</v>
      </c>
      <c r="F38" s="71"/>
      <c r="G38" s="7"/>
      <c r="H38" s="7"/>
      <c r="I38" s="7"/>
      <c r="J38" s="7"/>
      <c r="K38" s="7"/>
    </row>
    <row r="39" spans="1:11" ht="14.25" x14ac:dyDescent="0.15">
      <c r="B39" s="9"/>
      <c r="C39" s="97"/>
      <c r="D39" s="529"/>
      <c r="E39" s="8"/>
    </row>
    <row r="40" spans="1:11" ht="14.25" x14ac:dyDescent="0.15">
      <c r="C40" s="452" t="s">
        <v>1062</v>
      </c>
      <c r="D40" s="529"/>
      <c r="E40" s="6"/>
    </row>
    <row r="41" spans="1:11" hidden="1" x14ac:dyDescent="0.15">
      <c r="C41" s="93" t="s">
        <v>1048</v>
      </c>
      <c r="D41" s="615" t="b">
        <f>OR((Spiral_Inductor_Designer!D20=Spiral_Inductor_Designer!B248),(Spiral_Inductor_Designer!D20=Spiral_Inductor_Designer!B247))</f>
        <v>1</v>
      </c>
      <c r="E41" s="6"/>
    </row>
    <row r="42" spans="1:11" hidden="1" x14ac:dyDescent="0.15">
      <c r="A42" s="7"/>
      <c r="B42" s="7"/>
      <c r="C42" s="93" t="s">
        <v>1049</v>
      </c>
      <c r="D42" s="613" t="b">
        <v>1</v>
      </c>
      <c r="E42" s="6"/>
    </row>
    <row r="43" spans="1:11" ht="15" x14ac:dyDescent="0.2">
      <c r="B43" s="9"/>
      <c r="C43" s="398" t="s">
        <v>278</v>
      </c>
      <c r="D43" s="272">
        <v>9</v>
      </c>
      <c r="E43" s="88" t="s">
        <v>96</v>
      </c>
      <c r="G43" s="20" t="s">
        <v>706</v>
      </c>
    </row>
    <row r="44" spans="1:11" ht="14.25" x14ac:dyDescent="0.15">
      <c r="B44" s="9"/>
      <c r="C44" s="398" t="s">
        <v>264</v>
      </c>
      <c r="D44" s="272">
        <v>330</v>
      </c>
      <c r="E44" s="86" t="s">
        <v>27</v>
      </c>
      <c r="F44" s="71" t="str">
        <f>IF(AND(NOT(D41),D42), "Spiral Inductor Designer is not set to LDC1612/4 or LDC1312/4","")</f>
        <v/>
      </c>
    </row>
    <row r="45" spans="1:11" ht="14.25" hidden="1" x14ac:dyDescent="0.2">
      <c r="B45" s="9"/>
      <c r="C45" s="93" t="s">
        <v>1040</v>
      </c>
      <c r="D45" s="614">
        <f>IF(D42,Spiral_Inductor_Designer!D195,D43)</f>
        <v>7.400373448711707</v>
      </c>
      <c r="E45" s="88" t="s">
        <v>96</v>
      </c>
      <c r="F45" s="6" t="s">
        <v>1046</v>
      </c>
    </row>
    <row r="46" spans="1:11" hidden="1" x14ac:dyDescent="0.15">
      <c r="B46" s="9"/>
      <c r="C46" s="93" t="s">
        <v>1041</v>
      </c>
      <c r="D46" s="614">
        <f>IF(D42,Spiral_Inductor_Designer!D22,D44)</f>
        <v>330</v>
      </c>
      <c r="E46" s="86" t="s">
        <v>27</v>
      </c>
      <c r="F46" s="6" t="s">
        <v>1046</v>
      </c>
    </row>
    <row r="47" spans="1:11" ht="14.25" hidden="1" x14ac:dyDescent="0.2">
      <c r="B47" s="9"/>
      <c r="C47" s="543" t="s">
        <v>937</v>
      </c>
      <c r="D47" s="544">
        <v>1E-3</v>
      </c>
      <c r="E47" s="543" t="s">
        <v>0</v>
      </c>
    </row>
    <row r="48" spans="1:11" ht="14.25" hidden="1" x14ac:dyDescent="0.2">
      <c r="B48" s="9"/>
      <c r="C48" s="543" t="s">
        <v>938</v>
      </c>
      <c r="D48" s="545">
        <v>10</v>
      </c>
      <c r="E48" s="543" t="s">
        <v>0</v>
      </c>
    </row>
    <row r="49" spans="2:8" ht="14.25" x14ac:dyDescent="0.15">
      <c r="B49" s="9"/>
      <c r="C49" s="398" t="s">
        <v>944</v>
      </c>
      <c r="D49" s="55">
        <f>1000/(2*PI()*SQRT(D46*D45))</f>
        <v>3.2205966996961268</v>
      </c>
      <c r="E49" s="86" t="s">
        <v>0</v>
      </c>
      <c r="F49" s="71" t="str">
        <f>IF(D49&lt;D47,"Below minimum of "&amp;D47&amp;"MHz, reduce C or L",IF(D49&gt;D48,"Exceeds maximum of "&amp;D48&amp;"MHz, increase L or C",""))</f>
        <v/>
      </c>
    </row>
    <row r="50" spans="2:8" ht="14.25" x14ac:dyDescent="0.15">
      <c r="B50" s="9"/>
      <c r="C50" s="268" t="s">
        <v>242</v>
      </c>
      <c r="D50" s="271">
        <v>3.5</v>
      </c>
      <c r="E50" s="93" t="str">
        <f>IF(C50="Sensor Q","","kΩ")</f>
        <v>kΩ</v>
      </c>
      <c r="F50" s="7" t="s">
        <v>959</v>
      </c>
    </row>
    <row r="51" spans="2:8" ht="14.25" x14ac:dyDescent="0.15">
      <c r="B51" s="9"/>
      <c r="C51" s="464" t="str">
        <f>IF(C50="Sensor Q","Sensor RP","Sensor Q")</f>
        <v>Sensor Q</v>
      </c>
      <c r="D51" s="96">
        <f>IF(C51="Sensor Q",D50*SQRT(D46/D45),D50*SQRT(D46/D44))</f>
        <v>23.372124772783444</v>
      </c>
      <c r="E51" s="143" t="str">
        <f>IF(C51="Sensor Q","","kΩ")</f>
        <v/>
      </c>
    </row>
    <row r="52" spans="2:8" hidden="1" x14ac:dyDescent="0.15">
      <c r="B52" s="9"/>
      <c r="C52" s="466" t="s">
        <v>1042</v>
      </c>
      <c r="D52" s="588">
        <f>IF(C51="Sensor RP",D51,D50)</f>
        <v>3.5</v>
      </c>
      <c r="E52" s="6" t="s">
        <v>243</v>
      </c>
      <c r="F52" s="6" t="s">
        <v>1053</v>
      </c>
    </row>
    <row r="53" spans="2:8" hidden="1" x14ac:dyDescent="0.15">
      <c r="B53" s="9"/>
      <c r="C53" s="86" t="s">
        <v>1043</v>
      </c>
      <c r="D53" s="588">
        <f>IF(C51="Sensor Q",D51,D50)</f>
        <v>23.372124772783444</v>
      </c>
      <c r="F53" s="6" t="s">
        <v>1053</v>
      </c>
    </row>
    <row r="54" spans="2:8" hidden="1" x14ac:dyDescent="0.15">
      <c r="B54" s="9"/>
      <c r="C54" s="86" t="s">
        <v>1044</v>
      </c>
      <c r="D54" s="588">
        <f>IF(D42,Spiral_Inductor_Designer!D203,D52)</f>
        <v>4.6132456407941662</v>
      </c>
      <c r="E54" s="6" t="s">
        <v>243</v>
      </c>
      <c r="F54" s="6" t="s">
        <v>1046</v>
      </c>
    </row>
    <row r="55" spans="2:8" hidden="1" x14ac:dyDescent="0.15">
      <c r="B55" s="9"/>
      <c r="C55" s="86" t="s">
        <v>1045</v>
      </c>
      <c r="D55" s="588">
        <f>IF(D42,Spiral_Inductor_Designer!D204,D53)</f>
        <v>30.621077478443585</v>
      </c>
      <c r="F55" s="6" t="s">
        <v>1046</v>
      </c>
    </row>
    <row r="56" spans="2:8" ht="14.25" x14ac:dyDescent="0.15">
      <c r="B56" s="9"/>
      <c r="C56" s="61" t="s">
        <v>403</v>
      </c>
      <c r="D56" s="272">
        <v>14</v>
      </c>
      <c r="E56" t="s">
        <v>34</v>
      </c>
    </row>
    <row r="57" spans="2:8" hidden="1" x14ac:dyDescent="0.15">
      <c r="B57" s="9"/>
      <c r="C57" s="86" t="s">
        <v>1050</v>
      </c>
      <c r="D57" s="617">
        <f>IF(D42,Spiral_Inductor_Designer!D27,D56)</f>
        <v>13.9</v>
      </c>
      <c r="E57" s="6" t="s">
        <v>34</v>
      </c>
      <c r="F57" s="6" t="s">
        <v>1046</v>
      </c>
    </row>
    <row r="58" spans="2:8" ht="14.25" x14ac:dyDescent="0.15">
      <c r="B58" s="9"/>
      <c r="C58" s="61"/>
      <c r="D58" s="596"/>
    </row>
    <row r="59" spans="2:8" ht="14.25" x14ac:dyDescent="0.15">
      <c r="B59" s="9"/>
      <c r="C59" s="452" t="s">
        <v>1039</v>
      </c>
      <c r="D59" s="596"/>
    </row>
    <row r="60" spans="2:8" ht="14.25" x14ac:dyDescent="0.15">
      <c r="B60" s="9"/>
      <c r="C60" s="61" t="s">
        <v>978</v>
      </c>
      <c r="D60" s="272">
        <v>1.5</v>
      </c>
      <c r="E60" t="s">
        <v>34</v>
      </c>
      <c r="F60" s="814" t="str">
        <f>("Assumes Aluminum target at least "&amp;TEXT(3*MAX(D65,D71),"0.000")&amp; "mm thick")</f>
        <v>Assumes Aluminum target at least 0.124mm thick</v>
      </c>
      <c r="G60" s="815"/>
      <c r="H60" s="815"/>
    </row>
    <row r="61" spans="2:8" ht="14.25" x14ac:dyDescent="0.15">
      <c r="B61" s="9"/>
      <c r="C61" s="61" t="s">
        <v>433</v>
      </c>
      <c r="D61" s="272">
        <v>1.4</v>
      </c>
      <c r="E61" t="s">
        <v>34</v>
      </c>
      <c r="F61" s="816"/>
      <c r="G61" s="815"/>
      <c r="H61" s="815"/>
    </row>
    <row r="62" spans="2:8" ht="14.25" hidden="1" x14ac:dyDescent="0.15">
      <c r="B62" s="9"/>
      <c r="C62" s="61" t="s">
        <v>864</v>
      </c>
      <c r="D62" s="149">
        <f>D60/D57</f>
        <v>0.1079136690647482</v>
      </c>
    </row>
    <row r="63" spans="2:8" ht="14.25" hidden="1" x14ac:dyDescent="0.15">
      <c r="B63" s="9"/>
      <c r="C63" s="61" t="s">
        <v>865</v>
      </c>
      <c r="D63" s="537">
        <f>(0.00406832344757895+15.5588911/(1+(D57/0.0358077078721068)^0.865185989584669))+(0.973523646945684-1.1322846019223/(1+(D57/1.1356393338887)^1.06847511981245))*(1-EXP(-(10.3324121181807-56.0213701830392/(1+(D57/0.0139455036722347)^0.572123422421793))*D62))</f>
        <v>0.66265865066858043</v>
      </c>
    </row>
    <row r="64" spans="2:8" ht="16.5" x14ac:dyDescent="0.25">
      <c r="B64" s="9"/>
      <c r="C64" s="61" t="s">
        <v>991</v>
      </c>
      <c r="D64" s="542">
        <f>1000/(2*PI()*SQRT(D63*D46*D45))</f>
        <v>3.9563199648603695</v>
      </c>
      <c r="E64" t="s">
        <v>0</v>
      </c>
      <c r="F64" s="71" t="str">
        <f>IF(D64&lt;D47,"Below minimum of "&amp;D47&amp;"MHz, reduce C or L",IF(D64&gt;D48,"Exceeds maximum of "&amp;D48&amp;"MHz, increase L or C",""))</f>
        <v/>
      </c>
    </row>
    <row r="65" spans="2:6" ht="14.25" hidden="1" x14ac:dyDescent="0.15">
      <c r="B65" s="9"/>
      <c r="C65" s="61" t="s">
        <v>941</v>
      </c>
      <c r="D65" s="537">
        <f>0.0819/SQRT(D64)</f>
        <v>4.117543518490599E-2</v>
      </c>
      <c r="E65" t="s">
        <v>34</v>
      </c>
      <c r="F65" s="71"/>
    </row>
    <row r="66" spans="2:6" ht="16.5" hidden="1" x14ac:dyDescent="0.25">
      <c r="B66" s="9"/>
      <c r="C66" s="61" t="s">
        <v>940</v>
      </c>
      <c r="D66" s="537">
        <f>D63*D54</f>
        <v>3.0570071315313729</v>
      </c>
      <c r="E66" t="s">
        <v>243</v>
      </c>
      <c r="F66" s="86" t="s">
        <v>1054</v>
      </c>
    </row>
    <row r="67" spans="2:6" ht="14.25" hidden="1" x14ac:dyDescent="0.15">
      <c r="B67" s="9"/>
      <c r="C67" s="61" t="s">
        <v>866</v>
      </c>
      <c r="D67" s="149">
        <f>D61/D57</f>
        <v>0.10071942446043164</v>
      </c>
    </row>
    <row r="68" spans="2:6" ht="14.25" hidden="1" x14ac:dyDescent="0.15">
      <c r="B68" s="9"/>
      <c r="C68" s="61" t="s">
        <v>867</v>
      </c>
      <c r="D68" s="535">
        <f>(0.00406832344757895+15.5588911/(1+(D57/0.0358077078721068)^0.865185989584669))+(0.973523646945684-1.1322846019223/(1+(D57/1.1356393338887)^1.06847511981245))*(1-EXP(-(10.3324121181807-56.0213701830392/(1+(D57/0.0139455036722347)^0.572123422421793))*D67))</f>
        <v>0.63981731667374897</v>
      </c>
    </row>
    <row r="69" spans="2:6" ht="16.5" x14ac:dyDescent="0.25">
      <c r="B69" s="9"/>
      <c r="C69" s="61" t="s">
        <v>992</v>
      </c>
      <c r="D69" s="542">
        <f>1000/(2*PI()*SQRT(D68*D46*D45))</f>
        <v>4.0263205575328476</v>
      </c>
      <c r="E69" t="s">
        <v>0</v>
      </c>
      <c r="F69" s="71" t="str">
        <f>IF(D69&lt;D47,"Below minimum of "&amp;D47&amp;"MHz, reduce C or L",IF(D69&gt;D48,"Exceeds maximum of "&amp;D48&amp;"MHz, increase L or C",""))</f>
        <v/>
      </c>
    </row>
    <row r="70" spans="2:6" ht="14.25" x14ac:dyDescent="0.15">
      <c r="B70" s="9"/>
      <c r="C70" s="61" t="s">
        <v>969</v>
      </c>
      <c r="D70" s="573">
        <f>ABS(D69-D64)*1000</f>
        <v>70.000592672478049</v>
      </c>
      <c r="E70" t="s">
        <v>72</v>
      </c>
      <c r="F70" s="71"/>
    </row>
    <row r="71" spans="2:6" ht="14.25" hidden="1" x14ac:dyDescent="0.15">
      <c r="B71" s="9"/>
      <c r="C71" s="61" t="s">
        <v>942</v>
      </c>
      <c r="D71" s="537">
        <f>0.0819/SQRT(D69)</f>
        <v>4.0815932919570204E-2</v>
      </c>
      <c r="E71" t="s">
        <v>34</v>
      </c>
      <c r="F71" s="71"/>
    </row>
    <row r="72" spans="2:6" ht="16.5" hidden="1" x14ac:dyDescent="0.25">
      <c r="B72" s="9"/>
      <c r="C72" s="61" t="s">
        <v>939</v>
      </c>
      <c r="D72" s="537">
        <f>D68*D54</f>
        <v>2.9516344470497931</v>
      </c>
      <c r="E72" t="s">
        <v>243</v>
      </c>
      <c r="F72" s="86" t="s">
        <v>1054</v>
      </c>
    </row>
    <row r="73" spans="2:6" ht="14.25" hidden="1" x14ac:dyDescent="0.15">
      <c r="B73" s="9"/>
      <c r="C73" s="61"/>
      <c r="D73" s="535"/>
      <c r="F73" s="86"/>
    </row>
    <row r="74" spans="2:6" ht="15" hidden="1" x14ac:dyDescent="0.25">
      <c r="B74" s="9"/>
      <c r="C74" s="2" t="s">
        <v>206</v>
      </c>
      <c r="D74" s="151">
        <v>0.7</v>
      </c>
      <c r="E74" s="2" t="s">
        <v>16</v>
      </c>
      <c r="F74" s="86"/>
    </row>
    <row r="75" spans="2:6" hidden="1" x14ac:dyDescent="0.15">
      <c r="B75" s="9"/>
      <c r="C75" s="3"/>
      <c r="D75" s="346">
        <v>299790000</v>
      </c>
      <c r="E75" s="3"/>
      <c r="F75" s="86"/>
    </row>
    <row r="76" spans="2:6" hidden="1" x14ac:dyDescent="0.15">
      <c r="B76" s="9"/>
      <c r="C76" s="2" t="s">
        <v>207</v>
      </c>
      <c r="D76" s="174">
        <f>MAX(D69,D64,D49)</f>
        <v>4.0263205575328476</v>
      </c>
      <c r="E76" s="2" t="s">
        <v>0</v>
      </c>
      <c r="F76" s="86"/>
    </row>
    <row r="77" spans="2:6" hidden="1" x14ac:dyDescent="0.15">
      <c r="B77" s="9"/>
      <c r="C77" s="3"/>
      <c r="D77" s="83">
        <v>6</v>
      </c>
      <c r="E77" s="123"/>
      <c r="F77" s="86"/>
    </row>
    <row r="78" spans="2:6" hidden="1" x14ac:dyDescent="0.15">
      <c r="B78" s="9"/>
      <c r="C78" s="3"/>
      <c r="D78" s="83">
        <v>14</v>
      </c>
      <c r="E78" s="123"/>
      <c r="F78" s="86"/>
    </row>
    <row r="79" spans="2:6" hidden="1" x14ac:dyDescent="0.15">
      <c r="B79" s="9"/>
      <c r="C79" s="3"/>
      <c r="D79" s="83">
        <f>D78/360/(D76*1000000)</f>
        <v>9.6586668481056798E-9</v>
      </c>
      <c r="E79" s="123"/>
      <c r="F79" s="86"/>
    </row>
    <row r="80" spans="2:6" hidden="1" x14ac:dyDescent="0.15">
      <c r="B80" s="9"/>
      <c r="C80" s="3"/>
      <c r="D80" s="83">
        <f>(D79-(D77*0.000000001))/2</f>
        <v>1.8293334240528395E-9</v>
      </c>
      <c r="E80" s="3"/>
      <c r="F80" s="86"/>
    </row>
    <row r="81" spans="2:12" ht="14.25" x14ac:dyDescent="0.15">
      <c r="B81" s="9"/>
      <c r="C81" s="165" t="s">
        <v>963</v>
      </c>
      <c r="D81" s="572">
        <f>MAX(50*D80*D74*D75,1)</f>
        <v>19.194555351888024</v>
      </c>
      <c r="E81" s="2" t="s">
        <v>3</v>
      </c>
      <c r="F81" s="86" t="s">
        <v>964</v>
      </c>
    </row>
    <row r="82" spans="2:12" ht="14.25" x14ac:dyDescent="0.15">
      <c r="B82" s="9"/>
      <c r="C82" s="61"/>
      <c r="D82" s="532"/>
    </row>
    <row r="83" spans="2:12" ht="14.25" x14ac:dyDescent="0.15">
      <c r="B83" s="9"/>
      <c r="C83" s="493" t="s">
        <v>857</v>
      </c>
      <c r="D83" s="531"/>
      <c r="E83" s="143"/>
    </row>
    <row r="84" spans="2:12" ht="14.25" hidden="1" x14ac:dyDescent="0.15">
      <c r="B84" s="9"/>
      <c r="C84" s="464" t="s">
        <v>858</v>
      </c>
      <c r="D84" s="269">
        <v>1.8</v>
      </c>
      <c r="E84" s="6" t="s">
        <v>376</v>
      </c>
      <c r="F84" t="s">
        <v>1055</v>
      </c>
    </row>
    <row r="85" spans="2:12" ht="14.25" hidden="1" x14ac:dyDescent="0.15">
      <c r="B85" s="9"/>
      <c r="C85" s="464" t="s">
        <v>936</v>
      </c>
      <c r="D85" s="269">
        <v>0.5</v>
      </c>
      <c r="E85" s="6" t="s">
        <v>376</v>
      </c>
    </row>
    <row r="86" spans="2:12" ht="15" hidden="1" x14ac:dyDescent="0.2">
      <c r="B86" s="9"/>
      <c r="C86" s="491" t="s">
        <v>859</v>
      </c>
      <c r="D86" s="540">
        <f>D84*PI()/(4*D54)</f>
        <v>0.30644730504141043</v>
      </c>
      <c r="E86" s="21" t="s">
        <v>244</v>
      </c>
      <c r="F86" t="s">
        <v>863</v>
      </c>
    </row>
    <row r="87" spans="2:12" ht="15" hidden="1" x14ac:dyDescent="0.2">
      <c r="B87" s="9"/>
      <c r="C87" s="491" t="s">
        <v>861</v>
      </c>
      <c r="D87" s="541">
        <f>LOG(D86*200/PI())/LOG(1.160155)</f>
        <v>19.998691919148278</v>
      </c>
      <c r="E87" s="21"/>
    </row>
    <row r="88" spans="2:12" ht="15" x14ac:dyDescent="0.2">
      <c r="B88" s="9"/>
      <c r="C88" s="491" t="s">
        <v>860</v>
      </c>
      <c r="D88" s="538">
        <f>IF(D87&lt;0,0,IF(D87&gt;31,31,ROUND(D87,0)))</f>
        <v>20</v>
      </c>
      <c r="E88" s="21"/>
      <c r="F88" t="str">
        <f>IF(D87&gt;31,"Consider using HIGH_CURRENT_DRV for a single channel","")</f>
        <v/>
      </c>
    </row>
    <row r="89" spans="2:12" ht="14.25" hidden="1" x14ac:dyDescent="0.15">
      <c r="B89" s="9"/>
      <c r="C89" t="s">
        <v>245</v>
      </c>
      <c r="D89" s="539">
        <f>PI()*(1.160155^D88)/200</f>
        <v>0.30650685971129699</v>
      </c>
      <c r="E89" t="s">
        <v>244</v>
      </c>
      <c r="F89" t="s">
        <v>1056</v>
      </c>
    </row>
    <row r="90" spans="2:12" ht="15" x14ac:dyDescent="0.2">
      <c r="B90" s="9"/>
      <c r="C90" s="533" t="s">
        <v>943</v>
      </c>
      <c r="D90" s="96">
        <f>4*MIN(D54,D66,D72)*D89/PI()</f>
        <v>1.151894984662835</v>
      </c>
      <c r="E90" s="534" t="s">
        <v>377</v>
      </c>
      <c r="F90" s="71" t="str">
        <f>IF(D90&lt;D85,"Low sensor amplitude; increase Rp or decrease sensor C","")</f>
        <v/>
      </c>
    </row>
    <row r="91" spans="2:12" ht="15" hidden="1" x14ac:dyDescent="0.2">
      <c r="B91" s="9"/>
      <c r="C91" s="533" t="s">
        <v>862</v>
      </c>
      <c r="D91" s="149">
        <f>MAX(D69,D64,D49)</f>
        <v>4.0263205575328476</v>
      </c>
      <c r="E91" s="534" t="s">
        <v>0</v>
      </c>
    </row>
    <row r="92" spans="2:12" ht="15" x14ac:dyDescent="0.2">
      <c r="B92" s="9"/>
      <c r="C92" s="533" t="s">
        <v>934</v>
      </c>
      <c r="D92" s="579">
        <f>IF(D91&lt;1,1,IF(D91&lt;3.3,3.3,IF(D91&lt;10,10,33)))</f>
        <v>10</v>
      </c>
      <c r="E92" s="534" t="s">
        <v>0</v>
      </c>
    </row>
    <row r="93" spans="2:12" ht="15" hidden="1" x14ac:dyDescent="0.2">
      <c r="B93" s="9"/>
      <c r="C93" s="533" t="s">
        <v>983</v>
      </c>
      <c r="D93" s="578">
        <f>IF(D91&lt;1,1,IF(D91&lt;3.3,4,IF(D91&lt;10,5,6)))</f>
        <v>5</v>
      </c>
      <c r="E93" s="534"/>
    </row>
    <row r="94" spans="2:12" ht="14.25" x14ac:dyDescent="0.15">
      <c r="B94" s="9"/>
      <c r="C94" s="61"/>
      <c r="D94" s="532"/>
    </row>
    <row r="95" spans="2:12" ht="14.25" x14ac:dyDescent="0.15">
      <c r="B95" s="9"/>
      <c r="C95" s="569" t="s">
        <v>1102</v>
      </c>
      <c r="D95" s="532"/>
    </row>
    <row r="96" spans="2:12" ht="14.25" x14ac:dyDescent="0.15">
      <c r="B96" s="9"/>
      <c r="C96" s="61" t="s">
        <v>979</v>
      </c>
      <c r="D96" s="272">
        <v>5000</v>
      </c>
      <c r="E96" s="45" t="s">
        <v>1549</v>
      </c>
      <c r="F96" s="71" t="str">
        <f>IF(D135&gt;65536,"Resolution not achieved; increase target movement range or reduce resolution",IF(AND(NOT(D11),(D132&lt;D133)),"This resolution exceeds LDC131x capabilities",""))</f>
        <v/>
      </c>
      <c r="G96" s="71"/>
      <c r="L96" s="547"/>
    </row>
    <row r="97" spans="2:12" x14ac:dyDescent="0.15">
      <c r="B97" s="9"/>
      <c r="E97" s="25"/>
      <c r="F97" s="71"/>
      <c r="G97" s="71"/>
      <c r="L97" s="547"/>
    </row>
    <row r="98" spans="2:12" hidden="1" x14ac:dyDescent="0.15">
      <c r="B98" s="9"/>
      <c r="C98" s="86" t="s">
        <v>981</v>
      </c>
      <c r="D98" s="589">
        <f>IF(E96="steps",D96,IF(E96="bits",2^D96,ABS(D60-D61)/(0.0005*D96)))</f>
        <v>4.0000000000000036E-2</v>
      </c>
      <c r="F98" s="71"/>
      <c r="G98" s="71"/>
      <c r="L98" s="547"/>
    </row>
    <row r="99" spans="2:12" ht="14.25" hidden="1" x14ac:dyDescent="0.2">
      <c r="B99" s="9"/>
      <c r="C99" s="86" t="s">
        <v>982</v>
      </c>
      <c r="D99" s="590">
        <f>2000*ABS(D60-D61)/D98</f>
        <v>5000</v>
      </c>
      <c r="E99" s="88" t="s">
        <v>114</v>
      </c>
      <c r="F99" s="71"/>
      <c r="G99" s="71"/>
    </row>
    <row r="100" spans="2:12" hidden="1" x14ac:dyDescent="0.15">
      <c r="B100" s="9"/>
      <c r="C100" s="466" t="s">
        <v>210</v>
      </c>
      <c r="D100" s="591">
        <f>D21</f>
        <v>2</v>
      </c>
      <c r="L100" s="547"/>
    </row>
    <row r="101" spans="2:12" hidden="1" x14ac:dyDescent="0.15">
      <c r="B101" s="9"/>
      <c r="C101" s="466" t="s">
        <v>252</v>
      </c>
      <c r="D101" s="588">
        <f>D55*D38/D49</f>
        <v>380.31557917615424</v>
      </c>
      <c r="L101" s="547"/>
    </row>
    <row r="102" spans="2:12" ht="14.25" x14ac:dyDescent="0.15">
      <c r="B102" s="9"/>
      <c r="C102" s="464" t="s">
        <v>856</v>
      </c>
      <c r="D102" s="546">
        <f>16*CEILING(D101/16,1)</f>
        <v>384</v>
      </c>
      <c r="E102" s="489"/>
      <c r="F102" s="25"/>
    </row>
    <row r="103" spans="2:12" hidden="1" x14ac:dyDescent="0.15">
      <c r="B103" s="9"/>
      <c r="C103" s="466" t="s">
        <v>382</v>
      </c>
      <c r="D103" s="583" t="str">
        <f>"0x"&amp;(DEC2HEX(D102/16,4))</f>
        <v>0x0018</v>
      </c>
      <c r="E103" s="117"/>
    </row>
    <row r="104" spans="2:12" x14ac:dyDescent="0.15">
      <c r="B104" s="9"/>
      <c r="C104" s="466"/>
      <c r="D104" s="584"/>
      <c r="E104" s="117"/>
    </row>
    <row r="105" spans="2:12" ht="14.25" x14ac:dyDescent="0.15">
      <c r="B105" s="9"/>
      <c r="C105" s="581" t="s">
        <v>987</v>
      </c>
      <c r="D105" s="596"/>
      <c r="E105" s="117"/>
    </row>
    <row r="106" spans="2:12" x14ac:dyDescent="0.15">
      <c r="B106" s="9"/>
      <c r="C106" s="499" t="s">
        <v>997</v>
      </c>
      <c r="D106" s="52" t="s">
        <v>1059</v>
      </c>
      <c r="E106" s="117" t="s">
        <v>995</v>
      </c>
      <c r="F106" t="str">
        <f>IF(D107,"For Actual, enter actual output codes from LDC131x for recommended settings","Estimated uses internal model to estimate settings")</f>
        <v>Estimated uses internal model to estimate settings</v>
      </c>
    </row>
    <row r="107" spans="2:12" hidden="1" x14ac:dyDescent="0.15">
      <c r="B107" s="9"/>
      <c r="C107" s="604" t="s">
        <v>996</v>
      </c>
      <c r="D107" s="75">
        <f>IF(D106="Estimated",0,1)</f>
        <v>0</v>
      </c>
      <c r="E107" s="117"/>
    </row>
    <row r="108" spans="2:12" x14ac:dyDescent="0.15">
      <c r="B108" s="9"/>
      <c r="C108" t="s">
        <v>1005</v>
      </c>
      <c r="D108" s="608">
        <v>800</v>
      </c>
      <c r="E108" s="117" t="s">
        <v>949</v>
      </c>
      <c r="F108" t="s">
        <v>999</v>
      </c>
    </row>
    <row r="109" spans="2:12" x14ac:dyDescent="0.15">
      <c r="B109" s="9"/>
      <c r="C109" t="s">
        <v>1006</v>
      </c>
      <c r="D109" s="608">
        <v>302</v>
      </c>
      <c r="E109" s="117" t="s">
        <v>949</v>
      </c>
      <c r="F109" t="s">
        <v>999</v>
      </c>
    </row>
    <row r="110" spans="2:12" hidden="1" x14ac:dyDescent="0.15">
      <c r="B110" s="9"/>
      <c r="C110" s="604" t="s">
        <v>994</v>
      </c>
      <c r="D110" s="594">
        <f>ABS(D108-D109)/4096</f>
        <v>0.12158203125</v>
      </c>
      <c r="E110" s="117"/>
    </row>
    <row r="111" spans="2:12" x14ac:dyDescent="0.15">
      <c r="B111" s="9"/>
      <c r="C111" s="592"/>
      <c r="D111" s="584"/>
      <c r="E111" s="117"/>
    </row>
    <row r="112" spans="2:12" x14ac:dyDescent="0.15">
      <c r="B112" s="9"/>
      <c r="C112" s="605" t="s">
        <v>1018</v>
      </c>
      <c r="D112" s="584"/>
      <c r="E112" s="117"/>
    </row>
    <row r="113" spans="2:8" hidden="1" x14ac:dyDescent="0.15">
      <c r="B113" s="9"/>
      <c r="C113" s="466" t="s">
        <v>988</v>
      </c>
      <c r="D113" s="600">
        <f>IF(D107,D110,0.001*D70/D38)</f>
        <v>1.7500148168119512E-3</v>
      </c>
      <c r="E113" s="117"/>
      <c r="F113" s="597"/>
      <c r="G113" s="598"/>
    </row>
    <row r="114" spans="2:8" hidden="1" x14ac:dyDescent="0.15">
      <c r="B114" s="9"/>
      <c r="C114" s="466" t="s">
        <v>989</v>
      </c>
      <c r="D114" s="601">
        <f>D113/0.0625/D140</f>
        <v>2.800023706899122E-2</v>
      </c>
      <c r="E114" s="117"/>
    </row>
    <row r="115" spans="2:8" hidden="1" x14ac:dyDescent="0.15">
      <c r="B115" s="9"/>
      <c r="C115" s="466" t="s">
        <v>1060</v>
      </c>
      <c r="D115" s="619" t="b">
        <v>1</v>
      </c>
      <c r="E115" s="117"/>
    </row>
    <row r="116" spans="2:8" x14ac:dyDescent="0.15">
      <c r="B116" s="9"/>
      <c r="C116" s="97" t="s">
        <v>284</v>
      </c>
      <c r="D116" s="595">
        <f>IF(D115,1,IF(D114&lt;1,16,IF(D114&lt;2,8,IF(D114&lt;4,4,1))))</f>
        <v>1</v>
      </c>
      <c r="E116" s="117" t="s">
        <v>998</v>
      </c>
      <c r="F116" s="330"/>
      <c r="G116" s="330"/>
      <c r="H116" s="330"/>
    </row>
    <row r="117" spans="2:8" hidden="1" x14ac:dyDescent="0.15">
      <c r="B117" s="9"/>
      <c r="C117" s="93" t="s">
        <v>1000</v>
      </c>
      <c r="D117" s="556">
        <f>IF(D11,0,ROUND(SQRT(D116),0)-1)</f>
        <v>0</v>
      </c>
      <c r="E117" s="117"/>
      <c r="F117" s="6" t="s">
        <v>990</v>
      </c>
    </row>
    <row r="118" spans="2:8" hidden="1" x14ac:dyDescent="0.15">
      <c r="B118" s="9"/>
      <c r="C118" s="466" t="s">
        <v>1001</v>
      </c>
      <c r="D118" s="602">
        <f>FLOOR(D64/D38/D140*4096,1)</f>
        <v>405</v>
      </c>
      <c r="E118" s="117"/>
      <c r="F118" s="6" t="s">
        <v>1026</v>
      </c>
    </row>
    <row r="119" spans="2:8" hidden="1" x14ac:dyDescent="0.15">
      <c r="B119" s="9"/>
      <c r="C119" s="466" t="s">
        <v>1002</v>
      </c>
      <c r="D119" s="602">
        <f>CEILING(D69/D38/D140*4096,1)</f>
        <v>413</v>
      </c>
      <c r="E119" s="117"/>
      <c r="F119" s="6" t="s">
        <v>1026</v>
      </c>
    </row>
    <row r="120" spans="2:8" hidden="1" x14ac:dyDescent="0.15">
      <c r="B120" s="9"/>
      <c r="C120" s="466" t="s">
        <v>1003</v>
      </c>
      <c r="D120" s="602">
        <f>IF(D107,MAX(D108:D109),D119)</f>
        <v>413</v>
      </c>
      <c r="E120" s="117"/>
      <c r="F120" s="6" t="s">
        <v>1027</v>
      </c>
    </row>
    <row r="121" spans="2:8" hidden="1" x14ac:dyDescent="0.15">
      <c r="B121" s="9"/>
      <c r="C121" s="466" t="s">
        <v>1004</v>
      </c>
      <c r="D121" s="602">
        <f>IF(D107,MIN(D108:D109),D118)</f>
        <v>405</v>
      </c>
      <c r="E121" s="117"/>
      <c r="F121" s="6" t="s">
        <v>1027</v>
      </c>
    </row>
    <row r="122" spans="2:8" hidden="1" x14ac:dyDescent="0.15">
      <c r="B122" s="9"/>
      <c r="C122" s="466" t="s">
        <v>1021</v>
      </c>
      <c r="D122" s="602">
        <f>D120-D121</f>
        <v>8</v>
      </c>
      <c r="E122" s="117"/>
    </row>
    <row r="123" spans="2:8" hidden="1" x14ac:dyDescent="0.15">
      <c r="B123" s="9"/>
      <c r="C123" s="466" t="s">
        <v>1028</v>
      </c>
      <c r="D123" s="602">
        <f>4096/D116</f>
        <v>4096</v>
      </c>
      <c r="E123" s="117"/>
    </row>
    <row r="124" spans="2:8" hidden="1" x14ac:dyDescent="0.15">
      <c r="B124" s="9"/>
      <c r="C124" s="466" t="s">
        <v>1022</v>
      </c>
      <c r="D124" s="602">
        <f>D123-D122</f>
        <v>4088</v>
      </c>
      <c r="E124" s="117"/>
      <c r="F124" s="6" t="s">
        <v>1024</v>
      </c>
    </row>
    <row r="125" spans="2:8" hidden="1" x14ac:dyDescent="0.15">
      <c r="B125" s="9"/>
      <c r="C125" s="466" t="s">
        <v>1020</v>
      </c>
      <c r="D125" s="607">
        <v>2</v>
      </c>
      <c r="E125" s="117"/>
      <c r="F125" s="6" t="s">
        <v>1025</v>
      </c>
    </row>
    <row r="126" spans="2:8" hidden="1" x14ac:dyDescent="0.15">
      <c r="B126" s="9"/>
      <c r="C126" s="466" t="s">
        <v>1023</v>
      </c>
      <c r="D126" s="607">
        <f>D109 - (D124/(D125+1))</f>
        <v>-1060.6666666666667</v>
      </c>
      <c r="E126" s="117"/>
    </row>
    <row r="127" spans="2:8" hidden="1" x14ac:dyDescent="0.15">
      <c r="B127" s="9"/>
      <c r="C127" s="599" t="s">
        <v>1019</v>
      </c>
      <c r="D127" s="607">
        <f>MAX(0,FLOOR(D126,1))</f>
        <v>0</v>
      </c>
      <c r="E127" s="117"/>
    </row>
    <row r="128" spans="2:8" x14ac:dyDescent="0.15">
      <c r="B128" s="9"/>
      <c r="C128" s="464" t="s">
        <v>993</v>
      </c>
      <c r="D128" s="603">
        <f>ROUND(D127*16,0)</f>
        <v>0</v>
      </c>
      <c r="E128" s="117" t="s">
        <v>949</v>
      </c>
    </row>
    <row r="129" spans="2:6" x14ac:dyDescent="0.15">
      <c r="B129" s="9"/>
      <c r="C129" s="466"/>
      <c r="D129" s="593"/>
      <c r="E129" s="117"/>
    </row>
    <row r="130" spans="2:6" x14ac:dyDescent="0.15">
      <c r="B130" s="9"/>
      <c r="C130" s="582" t="s">
        <v>1017</v>
      </c>
      <c r="D130" s="584"/>
      <c r="E130" s="117"/>
    </row>
    <row r="131" spans="2:6" hidden="1" x14ac:dyDescent="0.15">
      <c r="B131" s="9"/>
      <c r="C131" s="466" t="s">
        <v>947</v>
      </c>
      <c r="D131" s="585">
        <f>ABS(D64-D69)</f>
        <v>7.0000592672478046E-2</v>
      </c>
      <c r="E131" s="117" t="s">
        <v>0</v>
      </c>
    </row>
    <row r="132" spans="2:6" hidden="1" x14ac:dyDescent="0.15">
      <c r="B132" s="9"/>
      <c r="C132" s="466" t="s">
        <v>948</v>
      </c>
      <c r="D132" s="586">
        <f>D131*1000000/D98</f>
        <v>1750014.8168119495</v>
      </c>
      <c r="E132" s="117" t="s">
        <v>1</v>
      </c>
    </row>
    <row r="133" spans="2:6" hidden="1" x14ac:dyDescent="0.15">
      <c r="B133" s="9"/>
      <c r="C133" s="466" t="s">
        <v>1007</v>
      </c>
      <c r="D133" s="586">
        <f>D38*1000000/(4096*D116)</f>
        <v>9765.625</v>
      </c>
      <c r="E133" s="117" t="s">
        <v>1</v>
      </c>
    </row>
    <row r="134" spans="2:6" hidden="1" x14ac:dyDescent="0.15">
      <c r="B134" s="9"/>
      <c r="C134" s="466" t="s">
        <v>1550</v>
      </c>
      <c r="D134" s="586">
        <f>IF(E96="RCOUNT",D96,0)</f>
        <v>5000</v>
      </c>
      <c r="E134" s="117" t="s">
        <v>1549</v>
      </c>
    </row>
    <row r="135" spans="2:6" hidden="1" x14ac:dyDescent="0.15">
      <c r="B135" s="9"/>
      <c r="C135" s="466" t="s">
        <v>950</v>
      </c>
      <c r="D135" s="586">
        <f>(10^(LOG(D132/25317/D38,10)/-1.0023)/32)*(1.5*D64/D140)</f>
        <v>0.10745047793265208</v>
      </c>
      <c r="E135" s="117"/>
    </row>
    <row r="136" spans="2:6" hidden="1" x14ac:dyDescent="0.15">
      <c r="B136" s="9"/>
      <c r="C136" s="466" t="s">
        <v>951</v>
      </c>
      <c r="D136" s="587">
        <f>IF(D134&gt;0,ROUND(D134,0),ROUND(D135,0))</f>
        <v>5000</v>
      </c>
      <c r="E136" s="117"/>
    </row>
    <row r="137" spans="2:6" ht="14.25" x14ac:dyDescent="0.15">
      <c r="B137" s="9"/>
      <c r="C137" s="464" t="s">
        <v>952</v>
      </c>
      <c r="D137" s="551">
        <f>IF(D136&lt;5,5,IF(D136&gt;65535,65535,D136))</f>
        <v>5000</v>
      </c>
      <c r="E137" s="117" t="s">
        <v>949</v>
      </c>
    </row>
    <row r="138" spans="2:6" hidden="1" x14ac:dyDescent="0.15">
      <c r="B138" s="9"/>
    </row>
    <row r="139" spans="2:6" hidden="1" x14ac:dyDescent="0.15">
      <c r="B139" s="9"/>
      <c r="C139" s="464" t="s">
        <v>933</v>
      </c>
      <c r="D139" s="606">
        <f>D91/D38</f>
        <v>0.10065801393832119</v>
      </c>
      <c r="E139" s="6"/>
    </row>
    <row r="140" spans="2:6" ht="16.5" x14ac:dyDescent="0.25">
      <c r="B140" s="9"/>
      <c r="C140" s="464" t="s">
        <v>967</v>
      </c>
      <c r="D140" s="550">
        <f>CEILING(D139/0.25,1)</f>
        <v>1</v>
      </c>
      <c r="E140" s="6"/>
    </row>
    <row r="141" spans="2:6" ht="14.25" x14ac:dyDescent="0.15">
      <c r="B141" s="9"/>
      <c r="C141" s="7" t="s">
        <v>221</v>
      </c>
      <c r="D141" s="549">
        <f>0.001*D137*16/D38</f>
        <v>2</v>
      </c>
      <c r="E141" s="6" t="s">
        <v>229</v>
      </c>
    </row>
    <row r="142" spans="2:6" ht="14.25" hidden="1" x14ac:dyDescent="0.15">
      <c r="B142" s="9"/>
      <c r="C142" s="499" t="s">
        <v>955</v>
      </c>
      <c r="D142" s="565">
        <f>IF(D100&gt;1,D100*(D137+4),(D137+D102))</f>
        <v>10008</v>
      </c>
      <c r="E142" s="6"/>
    </row>
    <row r="143" spans="2:6" ht="14.25" hidden="1" x14ac:dyDescent="0.15">
      <c r="B143" s="9"/>
      <c r="C143" s="499" t="s">
        <v>956</v>
      </c>
      <c r="D143" s="565">
        <f>IF(D11,400000/(2*D100*49),13300/D100)</f>
        <v>2040.8163265306123</v>
      </c>
      <c r="E143" s="6" t="s">
        <v>405</v>
      </c>
    </row>
    <row r="144" spans="2:6" ht="14.25" hidden="1" x14ac:dyDescent="0.15">
      <c r="B144" s="9"/>
      <c r="C144" s="530" t="s">
        <v>957</v>
      </c>
      <c r="D144" s="566">
        <f>D38*1000000/D142/16</f>
        <v>249.80015987210231</v>
      </c>
      <c r="E144" s="6" t="s">
        <v>630</v>
      </c>
      <c r="F144" s="85"/>
    </row>
    <row r="145" spans="2:12" ht="14.25" x14ac:dyDescent="0.15">
      <c r="B145" s="9"/>
      <c r="C145" s="464" t="s">
        <v>954</v>
      </c>
      <c r="D145" s="564">
        <f>IF(D144&lt;D143,D144,D143)</f>
        <v>249.80015987210231</v>
      </c>
      <c r="E145" s="6" t="s">
        <v>630</v>
      </c>
      <c r="F145" s="61" t="str">
        <f>IF(D144&gt;D143,"I2C Bus limits Conversion Rate; decrease RCOUNT","")</f>
        <v/>
      </c>
    </row>
    <row r="146" spans="2:12" x14ac:dyDescent="0.15">
      <c r="B146" s="9"/>
      <c r="E146" s="6"/>
    </row>
    <row r="147" spans="2:12" x14ac:dyDescent="0.15">
      <c r="B147" s="9"/>
      <c r="L147" s="548"/>
    </row>
    <row r="148" spans="2:12" ht="14.25" x14ac:dyDescent="0.15">
      <c r="B148" s="9"/>
      <c r="C148" s="22" t="str">
        <f>D7&amp;" Register Configuration"</f>
        <v>LDC1612 Register Configuration</v>
      </c>
    </row>
    <row r="149" spans="2:12" x14ac:dyDescent="0.15">
      <c r="B149" s="9"/>
      <c r="C149" s="309" t="s">
        <v>770</v>
      </c>
      <c r="D149" s="428" t="s">
        <v>887</v>
      </c>
      <c r="E149" s="428" t="s">
        <v>888</v>
      </c>
    </row>
    <row r="150" spans="2:12" x14ac:dyDescent="0.15">
      <c r="B150" s="9"/>
      <c r="C150" s="11" t="s">
        <v>889</v>
      </c>
      <c r="D150" s="431" t="s">
        <v>893</v>
      </c>
      <c r="E150" s="536" t="str">
        <f>"0x"&amp;DEC2HEX(D137,4)</f>
        <v>0x1388</v>
      </c>
    </row>
    <row r="151" spans="2:12" x14ac:dyDescent="0.15">
      <c r="B151" s="9"/>
      <c r="C151" s="11" t="s">
        <v>890</v>
      </c>
      <c r="D151" s="431" t="s">
        <v>894</v>
      </c>
      <c r="E151" s="536" t="str">
        <f>"0x"&amp;DEC2HEX(D137,4)</f>
        <v>0x1388</v>
      </c>
    </row>
    <row r="152" spans="2:12" x14ac:dyDescent="0.15">
      <c r="B152" s="9"/>
      <c r="C152" s="11" t="s">
        <v>891</v>
      </c>
      <c r="D152" s="431" t="s">
        <v>895</v>
      </c>
      <c r="E152" s="536" t="str">
        <f>IF(D8,"DNC","0x"&amp;DEC2HEX(D137,4))</f>
        <v>DNC</v>
      </c>
    </row>
    <row r="153" spans="2:12" x14ac:dyDescent="0.15">
      <c r="B153" s="9"/>
      <c r="C153" s="11" t="s">
        <v>892</v>
      </c>
      <c r="D153" s="431" t="s">
        <v>896</v>
      </c>
      <c r="E153" s="536" t="str">
        <f>IF(D8,"DNC","0x"&amp;DEC2HEX(D137,4))</f>
        <v>DNC</v>
      </c>
    </row>
    <row r="154" spans="2:12" x14ac:dyDescent="0.15">
      <c r="B154" s="9"/>
      <c r="C154" s="11" t="s">
        <v>1009</v>
      </c>
      <c r="D154" s="431" t="s">
        <v>1013</v>
      </c>
      <c r="E154" s="536" t="str">
        <f>IF(D11,"0x0000","0x"&amp;DEC2HEX(D128,4))</f>
        <v>0x0000</v>
      </c>
    </row>
    <row r="155" spans="2:12" x14ac:dyDescent="0.15">
      <c r="B155" s="9"/>
      <c r="C155" s="11" t="s">
        <v>1010</v>
      </c>
      <c r="D155" s="431" t="s">
        <v>1014</v>
      </c>
      <c r="E155" s="536" t="str">
        <f>IF(D11,"0x0000","0x"&amp;DEC2HEX(D128,4))</f>
        <v>0x0000</v>
      </c>
    </row>
    <row r="156" spans="2:12" x14ac:dyDescent="0.15">
      <c r="B156" s="9"/>
      <c r="C156" s="11" t="s">
        <v>1011</v>
      </c>
      <c r="D156" s="431" t="s">
        <v>1015</v>
      </c>
      <c r="E156" s="536" t="str">
        <f>IF(OR(D11,D8),"0x0000","0x"&amp;DEC2HEX(D128,4))</f>
        <v>0x0000</v>
      </c>
    </row>
    <row r="157" spans="2:12" x14ac:dyDescent="0.15">
      <c r="B157" s="9"/>
      <c r="C157" s="11" t="s">
        <v>1012</v>
      </c>
      <c r="D157" s="431" t="s">
        <v>1016</v>
      </c>
      <c r="E157" s="536" t="str">
        <f>IF(OR(D11,D8),"0x0000","0x"&amp;DEC2HEX(D128,4))</f>
        <v>0x0000</v>
      </c>
    </row>
    <row r="158" spans="2:12" x14ac:dyDescent="0.15">
      <c r="B158" s="9"/>
      <c r="C158" s="11" t="s">
        <v>897</v>
      </c>
      <c r="D158" s="431" t="s">
        <v>901</v>
      </c>
      <c r="E158" s="536" t="str">
        <f>D103</f>
        <v>0x0018</v>
      </c>
    </row>
    <row r="159" spans="2:12" x14ac:dyDescent="0.15">
      <c r="B159" s="9"/>
      <c r="C159" s="11" t="s">
        <v>898</v>
      </c>
      <c r="D159" s="431" t="s">
        <v>902</v>
      </c>
      <c r="E159" s="536" t="str">
        <f>D103</f>
        <v>0x0018</v>
      </c>
    </row>
    <row r="160" spans="2:12" x14ac:dyDescent="0.15">
      <c r="B160" s="9"/>
      <c r="C160" s="11" t="s">
        <v>899</v>
      </c>
      <c r="D160" s="431" t="s">
        <v>903</v>
      </c>
      <c r="E160" s="536" t="str">
        <f>IF(D8,"DNC",D103)</f>
        <v>DNC</v>
      </c>
    </row>
    <row r="161" spans="2:12" x14ac:dyDescent="0.15">
      <c r="B161" s="9"/>
      <c r="C161" s="11" t="s">
        <v>900</v>
      </c>
      <c r="D161" s="431" t="s">
        <v>904</v>
      </c>
      <c r="E161" s="536" t="str">
        <f>IF(D8,"DNC",D103)</f>
        <v>DNC</v>
      </c>
    </row>
    <row r="162" spans="2:12" x14ac:dyDescent="0.15">
      <c r="B162" s="9"/>
      <c r="C162" s="11" t="s">
        <v>905</v>
      </c>
      <c r="D162" s="431" t="s">
        <v>909</v>
      </c>
      <c r="E162" s="536" t="str">
        <f>"0x"&amp;DEC2HEX(D140*(2^12)+D36,4)</f>
        <v>0x1001</v>
      </c>
    </row>
    <row r="163" spans="2:12" x14ac:dyDescent="0.15">
      <c r="B163" s="9"/>
      <c r="C163" s="11" t="s">
        <v>906</v>
      </c>
      <c r="D163" s="431" t="s">
        <v>910</v>
      </c>
      <c r="E163" s="536" t="str">
        <f>"0x"&amp;DEC2HEX(D140*(2^12)+D36,4)</f>
        <v>0x1001</v>
      </c>
    </row>
    <row r="164" spans="2:12" x14ac:dyDescent="0.15">
      <c r="B164" s="9"/>
      <c r="C164" s="11" t="s">
        <v>907</v>
      </c>
      <c r="D164" s="431" t="s">
        <v>911</v>
      </c>
      <c r="E164" s="536" t="str">
        <f>IF(D8,"DNC","0x"&amp;DEC2HEX(D140*(2^12)+D36,4))</f>
        <v>DNC</v>
      </c>
    </row>
    <row r="165" spans="2:12" x14ac:dyDescent="0.15">
      <c r="B165" s="9"/>
      <c r="C165" s="11" t="s">
        <v>908</v>
      </c>
      <c r="D165" s="431" t="s">
        <v>912</v>
      </c>
      <c r="E165" s="536" t="str">
        <f>IF(D8,"DNC","0x"&amp;DEC2HEX(D140*(2^12)+D36,4))</f>
        <v>DNC</v>
      </c>
    </row>
    <row r="166" spans="2:12" x14ac:dyDescent="0.15">
      <c r="B166" s="9"/>
      <c r="C166" s="11" t="s">
        <v>913</v>
      </c>
      <c r="D166" s="431" t="s">
        <v>914</v>
      </c>
      <c r="E166" s="536" t="str">
        <f>"0x"&amp;DEC2HEX(D30,4)</f>
        <v>0x1600</v>
      </c>
    </row>
    <row r="167" spans="2:12" x14ac:dyDescent="0.15">
      <c r="B167" s="9"/>
      <c r="C167" s="11" t="s">
        <v>915</v>
      </c>
      <c r="D167" s="431" t="s">
        <v>916</v>
      </c>
      <c r="E167" s="536" t="str">
        <f>"0x"&amp;DEC2HEX((D23*(2^E23)+D22*(2^E22)+D93+520),4)</f>
        <v>0x820D</v>
      </c>
    </row>
    <row r="168" spans="2:12" x14ac:dyDescent="0.15">
      <c r="B168" s="9"/>
      <c r="C168" s="11" t="s">
        <v>985</v>
      </c>
      <c r="D168" s="431" t="s">
        <v>986</v>
      </c>
      <c r="E168" s="536" t="str">
        <f>"0x"&amp;DEC2HEX(D117*2^9,4)</f>
        <v>0x0000</v>
      </c>
    </row>
    <row r="169" spans="2:12" x14ac:dyDescent="0.15">
      <c r="B169" s="9"/>
      <c r="C169" s="11" t="s">
        <v>917</v>
      </c>
      <c r="D169" s="431" t="s">
        <v>921</v>
      </c>
      <c r="E169" s="536" t="str">
        <f>"0x"&amp;DEC2HEX(D88*(2^11),4)</f>
        <v>0xA000</v>
      </c>
    </row>
    <row r="170" spans="2:12" x14ac:dyDescent="0.15">
      <c r="B170" s="9"/>
      <c r="C170" s="11" t="s">
        <v>918</v>
      </c>
      <c r="D170" s="431" t="s">
        <v>922</v>
      </c>
      <c r="E170" s="536" t="str">
        <f>"0x"&amp;DEC2HEX(D88*(2^11),4)</f>
        <v>0xA000</v>
      </c>
      <c r="G170" s="580"/>
      <c r="H170" s="580"/>
      <c r="I170" s="580"/>
      <c r="J170" s="580"/>
      <c r="K170" s="580"/>
      <c r="L170" s="580"/>
    </row>
    <row r="171" spans="2:12" x14ac:dyDescent="0.15">
      <c r="B171" s="9"/>
      <c r="C171" s="11" t="s">
        <v>919</v>
      </c>
      <c r="D171" s="431" t="s">
        <v>923</v>
      </c>
      <c r="E171" s="536" t="str">
        <f>IF(D8,"DNC","0x"&amp;DEC2HEX(D88*(2^11),4))</f>
        <v>DNC</v>
      </c>
      <c r="G171" s="580"/>
      <c r="H171" s="580"/>
      <c r="I171" s="580"/>
      <c r="J171" s="580"/>
      <c r="K171" s="580"/>
      <c r="L171" s="580"/>
    </row>
    <row r="172" spans="2:12" x14ac:dyDescent="0.15">
      <c r="B172" s="9"/>
      <c r="C172" s="11" t="s">
        <v>920</v>
      </c>
      <c r="D172" s="431" t="s">
        <v>924</v>
      </c>
      <c r="E172" s="536" t="str">
        <f>IF(D8,"DNC","0x"&amp;DEC2HEX(D88*(2^11),4))</f>
        <v>DNC</v>
      </c>
      <c r="G172" s="580"/>
      <c r="H172" s="580"/>
      <c r="I172" s="580"/>
      <c r="J172" s="580"/>
      <c r="K172" s="580"/>
      <c r="L172" s="580"/>
    </row>
    <row r="173" spans="2:12" x14ac:dyDescent="0.15">
      <c r="B173" s="9"/>
      <c r="G173" s="580"/>
      <c r="H173" s="580"/>
      <c r="I173" s="580"/>
      <c r="J173" s="580"/>
      <c r="K173" s="580"/>
      <c r="L173" s="580"/>
    </row>
    <row r="174" spans="2:12" ht="15.75" hidden="1" x14ac:dyDescent="0.25">
      <c r="B174" s="9"/>
      <c r="C174" s="141" t="s">
        <v>249</v>
      </c>
      <c r="D174" s="145">
        <f>D102/D38</f>
        <v>9.6</v>
      </c>
      <c r="E174" s="19" t="s">
        <v>222</v>
      </c>
    </row>
    <row r="175" spans="2:12" ht="14.25" hidden="1" x14ac:dyDescent="0.15">
      <c r="B175" s="57"/>
      <c r="C175" s="11" t="s">
        <v>236</v>
      </c>
      <c r="D175" s="146">
        <v>0.3</v>
      </c>
      <c r="E175" t="s">
        <v>229</v>
      </c>
    </row>
    <row r="176" spans="2:12" ht="14.25" hidden="1" x14ac:dyDescent="0.15">
      <c r="B176" s="17"/>
      <c r="C176" s="11" t="s">
        <v>237</v>
      </c>
      <c r="D176" s="147">
        <v>0.04</v>
      </c>
      <c r="E176" t="s">
        <v>229</v>
      </c>
    </row>
    <row r="177" spans="3:6" ht="15.95" customHeight="1" x14ac:dyDescent="0.2">
      <c r="C177" s="491"/>
      <c r="D177" s="492"/>
      <c r="E177" s="21"/>
      <c r="F177" s="85"/>
    </row>
    <row r="178" spans="3:6" ht="14.25" x14ac:dyDescent="0.15">
      <c r="C178" s="22" t="s">
        <v>1029</v>
      </c>
    </row>
    <row r="179" spans="3:6" x14ac:dyDescent="0.15">
      <c r="C179" s="393" t="s">
        <v>946</v>
      </c>
      <c r="D179" s="392" t="s">
        <v>711</v>
      </c>
      <c r="E179" s="56"/>
    </row>
    <row r="180" spans="3:6" ht="14.25" x14ac:dyDescent="0.15">
      <c r="C180" s="9"/>
      <c r="D180" s="60"/>
      <c r="E180" s="56"/>
    </row>
    <row r="181" spans="3:6" ht="16.5" hidden="1" x14ac:dyDescent="0.25">
      <c r="C181" s="11" t="s">
        <v>365</v>
      </c>
      <c r="D181" s="349">
        <f>D38</f>
        <v>40</v>
      </c>
      <c r="E181" s="6" t="s">
        <v>0</v>
      </c>
    </row>
    <row r="182" spans="3:6" hidden="1" x14ac:dyDescent="0.15">
      <c r="C182" s="530" t="s">
        <v>378</v>
      </c>
      <c r="D182" s="567">
        <f>D137</f>
        <v>5000</v>
      </c>
      <c r="E182" s="6"/>
    </row>
    <row r="183" spans="3:6" x14ac:dyDescent="0.15">
      <c r="C183" s="464" t="s">
        <v>232</v>
      </c>
      <c r="D183" s="150">
        <v>2</v>
      </c>
      <c r="E183" s="6" t="str">
        <f>IF(D205&gt;0,"sps","This Sample Rate is too high and cannot use Sleep Mode")</f>
        <v>sps</v>
      </c>
      <c r="F183" s="85"/>
    </row>
    <row r="184" spans="3:6" hidden="1" x14ac:dyDescent="0.15">
      <c r="C184" s="464" t="s">
        <v>210</v>
      </c>
      <c r="D184" s="276">
        <f>D21</f>
        <v>2</v>
      </c>
      <c r="E184" s="6"/>
    </row>
    <row r="185" spans="3:6" x14ac:dyDescent="0.15">
      <c r="C185" s="464" t="s">
        <v>230</v>
      </c>
      <c r="D185" s="277">
        <v>400</v>
      </c>
      <c r="E185" s="6" t="s">
        <v>231</v>
      </c>
    </row>
    <row r="186" spans="3:6" hidden="1" x14ac:dyDescent="0.15">
      <c r="C186" s="464" t="s">
        <v>958</v>
      </c>
      <c r="D186" s="142">
        <f>D102</f>
        <v>384</v>
      </c>
      <c r="E186" s="489"/>
      <c r="F186" s="25"/>
    </row>
    <row r="187" spans="3:6" ht="15" hidden="1" x14ac:dyDescent="0.25">
      <c r="C187" s="464" t="s">
        <v>249</v>
      </c>
      <c r="D187" s="142">
        <f>D186/D181</f>
        <v>9.6</v>
      </c>
      <c r="E187" s="19" t="s">
        <v>222</v>
      </c>
    </row>
    <row r="188" spans="3:6" hidden="1" x14ac:dyDescent="0.15">
      <c r="C188" s="13" t="s">
        <v>233</v>
      </c>
      <c r="D188" s="496">
        <v>2</v>
      </c>
      <c r="E188" t="s">
        <v>229</v>
      </c>
    </row>
    <row r="189" spans="3:6" hidden="1" x14ac:dyDescent="0.15">
      <c r="C189" s="13" t="s">
        <v>209</v>
      </c>
      <c r="D189" s="497">
        <f>4*D184+5</f>
        <v>13</v>
      </c>
    </row>
    <row r="190" spans="3:6" hidden="1" x14ac:dyDescent="0.15">
      <c r="C190" s="13" t="s">
        <v>235</v>
      </c>
      <c r="D190" s="497">
        <f>4*8+5</f>
        <v>37</v>
      </c>
    </row>
    <row r="191" spans="3:6" hidden="1" x14ac:dyDescent="0.15">
      <c r="C191" s="13" t="s">
        <v>234</v>
      </c>
      <c r="D191" s="113">
        <f>D189*D190/D185</f>
        <v>1.2024999999999999</v>
      </c>
      <c r="E191" t="s">
        <v>229</v>
      </c>
    </row>
    <row r="192" spans="3:6" ht="27" hidden="1" x14ac:dyDescent="0.15">
      <c r="C192" s="500" t="s">
        <v>383</v>
      </c>
      <c r="D192" s="113">
        <f>IF(D11=0,((D190+D184*D190)/D185),((D190+D184*2*D190)/D185))</f>
        <v>0.46250000000000002</v>
      </c>
      <c r="E192" t="s">
        <v>229</v>
      </c>
    </row>
    <row r="193" spans="3:5" hidden="1" x14ac:dyDescent="0.15">
      <c r="C193" s="13" t="s">
        <v>240</v>
      </c>
      <c r="D193" s="113">
        <f>D191+D188</f>
        <v>3.2024999999999997</v>
      </c>
      <c r="E193" t="s">
        <v>229</v>
      </c>
    </row>
    <row r="194" spans="3:5" hidden="1" x14ac:dyDescent="0.15">
      <c r="C194" s="13" t="s">
        <v>236</v>
      </c>
      <c r="D194" s="113">
        <f>16384000/(40000000/2)</f>
        <v>0.81920000000000004</v>
      </c>
      <c r="E194" t="s">
        <v>229</v>
      </c>
    </row>
    <row r="195" spans="3:5" hidden="1" x14ac:dyDescent="0.15">
      <c r="C195" s="13" t="s">
        <v>237</v>
      </c>
      <c r="D195" s="618">
        <f>0.000625+0.005/D181</f>
        <v>7.5000000000000002E-4</v>
      </c>
      <c r="E195" t="s">
        <v>229</v>
      </c>
    </row>
    <row r="196" spans="3:5" hidden="1" x14ac:dyDescent="0.15">
      <c r="C196" s="13" t="s">
        <v>241</v>
      </c>
      <c r="D196" s="495">
        <f>0.001*(D186+D182*16)/D181</f>
        <v>2.0095999999999998</v>
      </c>
      <c r="E196" t="s">
        <v>229</v>
      </c>
    </row>
    <row r="197" spans="3:5" hidden="1" x14ac:dyDescent="0.15">
      <c r="C197" s="13" t="s">
        <v>251</v>
      </c>
      <c r="D197" s="113">
        <f>D184*D196+(D184-1)*D195+D194+D192</f>
        <v>5.3016500000000004</v>
      </c>
      <c r="E197" t="s">
        <v>229</v>
      </c>
    </row>
    <row r="198" spans="3:5" hidden="1" x14ac:dyDescent="0.15">
      <c r="C198" s="13" t="s">
        <v>238</v>
      </c>
      <c r="D198" s="498">
        <f>D197*D183</f>
        <v>10.603300000000001</v>
      </c>
      <c r="E198" t="s">
        <v>229</v>
      </c>
    </row>
    <row r="199" spans="3:5" hidden="1" x14ac:dyDescent="0.15">
      <c r="C199" s="13" t="s">
        <v>250</v>
      </c>
      <c r="D199" s="498">
        <f>(D193)*D183</f>
        <v>6.4049999999999994</v>
      </c>
      <c r="E199" t="s">
        <v>229</v>
      </c>
    </row>
    <row r="200" spans="3:5" hidden="1" x14ac:dyDescent="0.15">
      <c r="C200" s="13" t="s">
        <v>245</v>
      </c>
      <c r="D200" s="113">
        <f>D89</f>
        <v>0.30650685971129699</v>
      </c>
      <c r="E200" t="s">
        <v>244</v>
      </c>
    </row>
    <row r="201" spans="3:5" hidden="1" x14ac:dyDescent="0.15">
      <c r="C201" s="13" t="s">
        <v>385</v>
      </c>
      <c r="D201" s="496">
        <f>2.02+D181*0.0365</f>
        <v>3.48</v>
      </c>
      <c r="E201" t="s">
        <v>244</v>
      </c>
    </row>
    <row r="202" spans="3:5" hidden="1" x14ac:dyDescent="0.15">
      <c r="C202" s="13" t="s">
        <v>386</v>
      </c>
      <c r="D202" s="496">
        <f>D201+D200</f>
        <v>3.786506859711297</v>
      </c>
      <c r="E202" t="s">
        <v>244</v>
      </c>
    </row>
    <row r="203" spans="3:5" hidden="1" x14ac:dyDescent="0.15">
      <c r="C203" s="13" t="s">
        <v>247</v>
      </c>
      <c r="D203" s="118">
        <v>3.5000000000000003E-2</v>
      </c>
      <c r="E203" t="s">
        <v>244</v>
      </c>
    </row>
    <row r="204" spans="3:5" hidden="1" x14ac:dyDescent="0.15">
      <c r="C204" s="13" t="s">
        <v>246</v>
      </c>
      <c r="D204" s="118">
        <v>2.0000000000000001E-4</v>
      </c>
      <c r="E204" t="s">
        <v>244</v>
      </c>
    </row>
    <row r="205" spans="3:5" hidden="1" x14ac:dyDescent="0.15">
      <c r="C205" s="13" t="s">
        <v>248</v>
      </c>
      <c r="D205" s="113">
        <f>1000-D198-D199</f>
        <v>982.99170000000004</v>
      </c>
      <c r="E205" t="s">
        <v>229</v>
      </c>
    </row>
    <row r="206" spans="3:5" hidden="1" x14ac:dyDescent="0.15">
      <c r="C206" s="464" t="s">
        <v>211</v>
      </c>
      <c r="D206" s="495">
        <f>D204*D205/1000</f>
        <v>1.9659834E-4</v>
      </c>
    </row>
    <row r="207" spans="3:5" hidden="1" x14ac:dyDescent="0.15">
      <c r="C207" s="464" t="s">
        <v>212</v>
      </c>
      <c r="D207" s="495">
        <f>D203*D199/1000</f>
        <v>2.2417499999999999E-4</v>
      </c>
    </row>
    <row r="208" spans="3:5" hidden="1" x14ac:dyDescent="0.15">
      <c r="C208" s="464" t="s">
        <v>213</v>
      </c>
      <c r="D208" s="495">
        <f>D202*D198/1000</f>
        <v>4.0149468185576798E-2</v>
      </c>
    </row>
    <row r="209" spans="3:7" x14ac:dyDescent="0.15">
      <c r="C209" s="464" t="s">
        <v>980</v>
      </c>
      <c r="D209" s="577">
        <f>D202</f>
        <v>3.786506859711297</v>
      </c>
      <c r="E209" t="s">
        <v>244</v>
      </c>
    </row>
    <row r="210" spans="3:7" x14ac:dyDescent="0.15">
      <c r="C210" s="464" t="s">
        <v>1098</v>
      </c>
      <c r="D210" s="577">
        <f>(D199+D198)/D183</f>
        <v>8.5041499999999992</v>
      </c>
      <c r="E210" t="s">
        <v>229</v>
      </c>
    </row>
    <row r="211" spans="3:7" ht="18" customHeight="1" x14ac:dyDescent="0.2">
      <c r="C211" s="570" t="s">
        <v>965</v>
      </c>
      <c r="D211" s="144">
        <f>1000*SUM(D206:D208)</f>
        <v>40.570241525576797</v>
      </c>
      <c r="E211" s="6" t="s">
        <v>253</v>
      </c>
      <c r="F211" s="85"/>
    </row>
    <row r="212" spans="3:7" ht="17.45" customHeight="1" x14ac:dyDescent="0.2">
      <c r="C212" s="571" t="s">
        <v>966</v>
      </c>
      <c r="D212" s="568">
        <f>1000*(D203*D205/1000+D207+D208)</f>
        <v>74.778352685576806</v>
      </c>
      <c r="E212" s="6" t="s">
        <v>253</v>
      </c>
    </row>
    <row r="215" spans="3:7" ht="14.25" x14ac:dyDescent="0.15">
      <c r="C215" s="22" t="s">
        <v>825</v>
      </c>
    </row>
    <row r="216" spans="3:7" x14ac:dyDescent="0.15">
      <c r="C216" s="72" t="s">
        <v>268</v>
      </c>
      <c r="D216" s="45" t="s">
        <v>371</v>
      </c>
      <c r="E216" s="8"/>
    </row>
    <row r="217" spans="3:7" hidden="1" x14ac:dyDescent="0.15">
      <c r="C217" s="72" t="s">
        <v>1061</v>
      </c>
      <c r="D217" s="160">
        <f>IF(D216="LDC131x",0,1)</f>
        <v>1</v>
      </c>
      <c r="E217" s="8"/>
    </row>
    <row r="218" spans="3:7" x14ac:dyDescent="0.15">
      <c r="C218" s="72" t="s">
        <v>264</v>
      </c>
      <c r="D218" s="45">
        <v>600</v>
      </c>
      <c r="E218" s="8" t="s">
        <v>99</v>
      </c>
      <c r="F218" t="s">
        <v>372</v>
      </c>
    </row>
    <row r="219" spans="3:7" x14ac:dyDescent="0.15">
      <c r="C219" s="72" t="s">
        <v>261</v>
      </c>
      <c r="D219" s="28">
        <f>IF(D216="LDC131x",2^12-1,IF(D216="LDC161x",2^28-1,2^24-1))</f>
        <v>268435455</v>
      </c>
      <c r="E219" s="8"/>
    </row>
    <row r="220" spans="3:7" x14ac:dyDescent="0.15">
      <c r="C220" s="72" t="s">
        <v>262</v>
      </c>
      <c r="D220" s="45">
        <v>0</v>
      </c>
      <c r="E220" s="8"/>
      <c r="F220" t="str">
        <f>IF(D216="LDC131x","Value programmed into OUTPUT_GAIN Field","")</f>
        <v/>
      </c>
    </row>
    <row r="221" spans="3:7" ht="18.75" x14ac:dyDescent="0.2">
      <c r="C221" s="72" t="s">
        <v>961</v>
      </c>
      <c r="D221" s="45" t="s">
        <v>935</v>
      </c>
      <c r="E221" s="266" t="s">
        <v>347</v>
      </c>
      <c r="F221" t="str">
        <f>IF(D216="LDC131x","LDC output from Registers [0x00-0x07]",IF(D216="LDC161x","LDC output from Registers [0x00-0x08]","LDC output from Registers [0x38-0x3A]"))</f>
        <v>LDC output from Registers [0x00-0x08]</v>
      </c>
      <c r="G221" s="139"/>
    </row>
    <row r="222" spans="3:7" ht="18.75" hidden="1" x14ac:dyDescent="0.2">
      <c r="C222" s="72"/>
      <c r="D222" s="151">
        <f>IF(E221="Hex",HEX2DEC(D221),D221)</f>
        <v>8171811</v>
      </c>
      <c r="E222" s="267" t="s">
        <v>360</v>
      </c>
      <c r="G222" s="139"/>
    </row>
    <row r="223" spans="3:7" x14ac:dyDescent="0.15">
      <c r="C223" s="72" t="s">
        <v>962</v>
      </c>
      <c r="D223" s="45">
        <v>0</v>
      </c>
      <c r="E223" s="266" t="s">
        <v>347</v>
      </c>
      <c r="F223" t="s">
        <v>263</v>
      </c>
    </row>
    <row r="224" spans="3:7" x14ac:dyDescent="0.15">
      <c r="C224" s="72"/>
      <c r="D224" s="151">
        <f>IF(E223="Hex",HEX2DEC(D223),D223)</f>
        <v>0</v>
      </c>
      <c r="E224" s="8" t="s">
        <v>360</v>
      </c>
    </row>
    <row r="225" spans="3:9" hidden="1" x14ac:dyDescent="0.15">
      <c r="C225" s="72" t="s">
        <v>345</v>
      </c>
      <c r="D225" s="151">
        <f>IF(D216="LDC1101",16,42)</f>
        <v>42</v>
      </c>
      <c r="E225" s="8" t="s">
        <v>0</v>
      </c>
    </row>
    <row r="226" spans="3:9" x14ac:dyDescent="0.15">
      <c r="C226" s="72" t="s">
        <v>269</v>
      </c>
      <c r="D226" s="264">
        <v>40</v>
      </c>
      <c r="E226" s="8" t="s">
        <v>0</v>
      </c>
      <c r="F226" s="71" t="str">
        <f>IF(D226&gt;D225,"Reference frequency is above maximum spec","")</f>
        <v/>
      </c>
    </row>
    <row r="227" spans="3:9" x14ac:dyDescent="0.15">
      <c r="C227" s="72" t="s">
        <v>266</v>
      </c>
      <c r="D227" s="265">
        <v>1</v>
      </c>
      <c r="E227" s="8"/>
    </row>
    <row r="228" spans="3:9" x14ac:dyDescent="0.15">
      <c r="C228" s="72" t="s">
        <v>267</v>
      </c>
      <c r="D228" s="265">
        <v>1</v>
      </c>
      <c r="E228" s="8"/>
    </row>
    <row r="229" spans="3:9" x14ac:dyDescent="0.15">
      <c r="C229" s="72" t="s">
        <v>2</v>
      </c>
      <c r="D229" s="27">
        <f>IF(D216="LDC131x",D228*(D226/D227)*(D222/(2^(12+D220))+D224/65536),D228*(D226/D227)*(D222/D219+D224/65536))</f>
        <v>1.2176947341028406</v>
      </c>
      <c r="E229" s="74" t="s">
        <v>0</v>
      </c>
      <c r="F229" s="71" t="str">
        <f>IF(D229&gt;10,"Note: This sensor frequency is higher than specified max"," ")</f>
        <v xml:space="preserve"> </v>
      </c>
    </row>
    <row r="230" spans="3:9" hidden="1" x14ac:dyDescent="0.15">
      <c r="C230" s="73"/>
      <c r="D230" s="78">
        <f>D218*0.000000000001</f>
        <v>6E-10</v>
      </c>
      <c r="E230" s="24" t="s">
        <v>97</v>
      </c>
      <c r="F230" s="18"/>
    </row>
    <row r="231" spans="3:9" hidden="1" x14ac:dyDescent="0.15">
      <c r="C231" s="73"/>
      <c r="D231" s="79">
        <f>1/(D230*(D229*1000000*2*PI())^2)</f>
        <v>2.8471618580317776E-5</v>
      </c>
      <c r="E231" s="24" t="s">
        <v>1</v>
      </c>
      <c r="F231" s="18"/>
    </row>
    <row r="232" spans="3:9" ht="14.25" x14ac:dyDescent="0.2">
      <c r="C232" s="72" t="s">
        <v>100</v>
      </c>
      <c r="D232" s="27">
        <f>D231*1000000</f>
        <v>28.471618580317777</v>
      </c>
      <c r="E232" s="23" t="s">
        <v>96</v>
      </c>
    </row>
    <row r="235" spans="3:9" ht="14.25" hidden="1" x14ac:dyDescent="0.2">
      <c r="C235" s="75" t="s">
        <v>1051</v>
      </c>
      <c r="D235" s="576">
        <f>D45</f>
        <v>7.400373448711707</v>
      </c>
      <c r="E235" s="616" t="s">
        <v>96</v>
      </c>
      <c r="F235" s="75"/>
    </row>
    <row r="236" spans="3:9" hidden="1" x14ac:dyDescent="0.15">
      <c r="C236" s="75" t="s">
        <v>1052</v>
      </c>
      <c r="D236" s="576">
        <f>D57</f>
        <v>13.9</v>
      </c>
      <c r="E236" s="75" t="s">
        <v>34</v>
      </c>
      <c r="F236" s="75"/>
    </row>
    <row r="237" spans="3:9" hidden="1" x14ac:dyDescent="0.15">
      <c r="C237" s="75"/>
      <c r="D237" s="75"/>
      <c r="E237" s="75"/>
      <c r="F237" s="75"/>
    </row>
    <row r="238" spans="3:9" ht="15" hidden="1" x14ac:dyDescent="0.25">
      <c r="C238" s="575" t="s">
        <v>971</v>
      </c>
      <c r="D238" s="575" t="s">
        <v>972</v>
      </c>
      <c r="E238" s="575" t="s">
        <v>970</v>
      </c>
      <c r="F238" s="575" t="s">
        <v>973</v>
      </c>
      <c r="H238" s="575" t="s">
        <v>975</v>
      </c>
      <c r="I238" s="575" t="s">
        <v>974</v>
      </c>
    </row>
    <row r="239" spans="3:9" hidden="1" x14ac:dyDescent="0.15">
      <c r="C239" s="574">
        <v>3.0000000000000001E-3</v>
      </c>
      <c r="D239" s="574">
        <f>C239*D$236</f>
        <v>4.1700000000000001E-2</v>
      </c>
      <c r="E239" s="574">
        <f>(0.00406832344757895+15.5588911/(1+(D$236/0.0358077078721068)^0.865185989584669))+(0.973523646945684-1.1322846019223/(1+(D$236/1.1356393338887)^1.06847511981245))*(1-EXP(-(10.3324121181807-56.0213701830392/(1+(D$236/0.0139455036722347)^0.572123422421793))*C239))</f>
        <v>0.1178006168329266</v>
      </c>
      <c r="F239" s="80">
        <f>E239*D$235</f>
        <v>0.87176855705225142</v>
      </c>
      <c r="H239" s="576">
        <f>D60</f>
        <v>1.5</v>
      </c>
      <c r="I239" s="574">
        <v>0</v>
      </c>
    </row>
    <row r="240" spans="3:9" hidden="1" x14ac:dyDescent="0.15">
      <c r="C240" s="574">
        <f>C239*1.223</f>
        <v>3.6690000000000004E-3</v>
      </c>
      <c r="D240" s="574">
        <f t="shared" ref="D240:D269" si="0">C240*D$236</f>
        <v>5.0999100000000006E-2</v>
      </c>
      <c r="E240" s="574">
        <f t="shared" ref="E240:E269" si="1">(0.00406832344757895+15.5588911/(1+(D$236/0.0358077078721068)^0.865185989584669))+(0.973523646945684-1.1322846019223/(1+(D$236/1.1356393338887)^1.06847511981245))*(1-EXP(-(10.3324121181807-56.0213701830392/(1+(D$236/0.0139455036722347)^0.572123422421793))*C240))</f>
        <v>0.12321834918475454</v>
      </c>
      <c r="F240" s="80">
        <f t="shared" ref="F240:F269" si="2">E240*D$235</f>
        <v>0.91186179970094527</v>
      </c>
      <c r="H240" s="576">
        <f>H239</f>
        <v>1.5</v>
      </c>
      <c r="I240" s="574">
        <f>D63*D235</f>
        <v>4.9039214839668892</v>
      </c>
    </row>
    <row r="241" spans="3:9" hidden="1" x14ac:dyDescent="0.15">
      <c r="C241" s="574">
        <f t="shared" ref="C241:C269" si="3">C240*1.223</f>
        <v>4.487187000000001E-3</v>
      </c>
      <c r="D241" s="574">
        <f t="shared" si="0"/>
        <v>6.2371899300000012E-2</v>
      </c>
      <c r="E241" s="574">
        <f t="shared" si="1"/>
        <v>0.12979870391558374</v>
      </c>
      <c r="F241" s="80">
        <f t="shared" si="2"/>
        <v>0.96055888213407814</v>
      </c>
      <c r="H241" s="75">
        <v>0</v>
      </c>
      <c r="I241" s="574">
        <f>I240</f>
        <v>4.9039214839668892</v>
      </c>
    </row>
    <row r="242" spans="3:9" hidden="1" x14ac:dyDescent="0.15">
      <c r="C242" s="574">
        <f t="shared" si="3"/>
        <v>5.4878297010000016E-3</v>
      </c>
      <c r="D242" s="574">
        <f t="shared" si="0"/>
        <v>7.6280832843900026E-2</v>
      </c>
      <c r="E242" s="574">
        <f t="shared" si="1"/>
        <v>0.13777889595597531</v>
      </c>
      <c r="F242" s="80">
        <f t="shared" si="2"/>
        <v>1.0196152834254124</v>
      </c>
    </row>
    <row r="243" spans="3:9" hidden="1" x14ac:dyDescent="0.15">
      <c r="C243" s="574">
        <f t="shared" si="3"/>
        <v>6.7116157243230024E-3</v>
      </c>
      <c r="D243" s="574">
        <f t="shared" si="0"/>
        <v>9.3291458568089736E-2</v>
      </c>
      <c r="E243" s="574">
        <f t="shared" si="1"/>
        <v>0.14743853282247577</v>
      </c>
      <c r="F243" s="80">
        <f t="shared" si="2"/>
        <v>1.0911002036164592</v>
      </c>
      <c r="H243" s="575" t="s">
        <v>976</v>
      </c>
      <c r="I243" s="575" t="s">
        <v>977</v>
      </c>
    </row>
    <row r="244" spans="3:9" hidden="1" x14ac:dyDescent="0.15">
      <c r="C244" s="574">
        <f t="shared" si="3"/>
        <v>8.2083060308470318E-3</v>
      </c>
      <c r="D244" s="574">
        <f t="shared" si="0"/>
        <v>0.11409545382877374</v>
      </c>
      <c r="E244" s="574">
        <f t="shared" si="1"/>
        <v>0.15910420188356131</v>
      </c>
      <c r="F244" s="80">
        <f t="shared" si="2"/>
        <v>1.1774305111975742</v>
      </c>
      <c r="H244" s="576">
        <f>D61</f>
        <v>1.4</v>
      </c>
      <c r="I244" s="574">
        <v>0</v>
      </c>
    </row>
    <row r="245" spans="3:9" hidden="1" x14ac:dyDescent="0.15">
      <c r="C245" s="574">
        <f t="shared" si="3"/>
        <v>1.0038758275725921E-2</v>
      </c>
      <c r="D245" s="574">
        <f t="shared" si="0"/>
        <v>0.13953874003259031</v>
      </c>
      <c r="E245" s="574">
        <f t="shared" si="1"/>
        <v>0.17315293986413627</v>
      </c>
      <c r="F245" s="80">
        <f t="shared" si="2"/>
        <v>1.2813964187369289</v>
      </c>
      <c r="H245" s="576">
        <f>H244</f>
        <v>1.4</v>
      </c>
      <c r="I245" s="574">
        <f>D68*D235</f>
        <v>4.734887082338382</v>
      </c>
    </row>
    <row r="246" spans="3:9" hidden="1" x14ac:dyDescent="0.15">
      <c r="C246" s="574">
        <f t="shared" si="3"/>
        <v>1.2277401371212802E-2</v>
      </c>
      <c r="D246" s="574">
        <f t="shared" si="0"/>
        <v>0.17065587905985796</v>
      </c>
      <c r="E246" s="574">
        <f t="shared" si="1"/>
        <v>0.19001348504077337</v>
      </c>
      <c r="F246" s="80">
        <f t="shared" si="2"/>
        <v>1.4061707495929183</v>
      </c>
      <c r="H246" s="75">
        <v>0</v>
      </c>
      <c r="I246" s="574">
        <f>I245</f>
        <v>4.734887082338382</v>
      </c>
    </row>
    <row r="247" spans="3:9" hidden="1" x14ac:dyDescent="0.15">
      <c r="C247" s="574">
        <f t="shared" si="3"/>
        <v>1.5015261876993258E-2</v>
      </c>
      <c r="D247" s="574">
        <f t="shared" si="0"/>
        <v>0.20871214009020628</v>
      </c>
      <c r="E247" s="574">
        <f t="shared" si="1"/>
        <v>0.2101637039156552</v>
      </c>
      <c r="F247" s="80">
        <f t="shared" si="2"/>
        <v>1.5552898943403233</v>
      </c>
    </row>
    <row r="248" spans="3:9" hidden="1" x14ac:dyDescent="0.15">
      <c r="C248" s="574">
        <f t="shared" si="3"/>
        <v>1.8363665275562754E-2</v>
      </c>
      <c r="D248" s="574">
        <f t="shared" si="0"/>
        <v>0.25525494733032228</v>
      </c>
      <c r="E248" s="574">
        <f t="shared" si="1"/>
        <v>0.23412194306508588</v>
      </c>
      <c r="F248" s="80">
        <f t="shared" si="2"/>
        <v>1.7325898112196556</v>
      </c>
    </row>
    <row r="249" spans="3:9" hidden="1" x14ac:dyDescent="0.15">
      <c r="C249" s="574">
        <f t="shared" si="3"/>
        <v>2.2458762632013251E-2</v>
      </c>
      <c r="D249" s="574">
        <f t="shared" si="0"/>
        <v>0.3121768005849842</v>
      </c>
      <c r="E249" s="574">
        <f t="shared" si="1"/>
        <v>0.26242931520856322</v>
      </c>
      <c r="F249" s="80">
        <f t="shared" si="2"/>
        <v>1.9420749364330465</v>
      </c>
    </row>
    <row r="250" spans="3:9" hidden="1" x14ac:dyDescent="0.15">
      <c r="C250" s="574">
        <f t="shared" si="3"/>
        <v>2.7467066698952207E-2</v>
      </c>
      <c r="D250" s="574">
        <f t="shared" si="0"/>
        <v>0.3817922271154357</v>
      </c>
      <c r="E250" s="574">
        <f t="shared" si="1"/>
        <v>0.29561919131512099</v>
      </c>
      <c r="F250" s="80">
        <f t="shared" si="2"/>
        <v>2.1876924143380476</v>
      </c>
    </row>
    <row r="251" spans="3:9" hidden="1" x14ac:dyDescent="0.15">
      <c r="C251" s="574">
        <f t="shared" si="3"/>
        <v>3.3592222572818554E-2</v>
      </c>
      <c r="D251" s="574">
        <f t="shared" si="0"/>
        <v>0.46693189376217792</v>
      </c>
      <c r="E251" s="574">
        <f t="shared" si="1"/>
        <v>0.33416967148698512</v>
      </c>
      <c r="F251" s="80">
        <f t="shared" si="2"/>
        <v>2.4729803642369981</v>
      </c>
    </row>
    <row r="252" spans="3:9" hidden="1" x14ac:dyDescent="0.15">
      <c r="C252" s="574">
        <f t="shared" si="3"/>
        <v>4.1083288206557093E-2</v>
      </c>
      <c r="D252" s="574">
        <f t="shared" si="0"/>
        <v>0.57105770607114359</v>
      </c>
      <c r="E252" s="574">
        <f t="shared" si="1"/>
        <v>0.37843498227779226</v>
      </c>
      <c r="F252" s="80">
        <f t="shared" si="2"/>
        <v>2.8005601949122592</v>
      </c>
    </row>
    <row r="253" spans="3:9" hidden="1" x14ac:dyDescent="0.15">
      <c r="C253" s="574">
        <f t="shared" si="3"/>
        <v>5.0244861476619329E-2</v>
      </c>
      <c r="D253" s="574">
        <f t="shared" si="0"/>
        <v>0.69840357452500867</v>
      </c>
      <c r="E253" s="574">
        <f t="shared" si="1"/>
        <v>0.42855330838820299</v>
      </c>
      <c r="F253" s="80">
        <f t="shared" si="2"/>
        <v>3.1714545247536177</v>
      </c>
    </row>
    <row r="254" spans="3:9" hidden="1" x14ac:dyDescent="0.15">
      <c r="C254" s="574">
        <f t="shared" si="3"/>
        <v>6.1449465585905444E-2</v>
      </c>
      <c r="D254" s="574">
        <f t="shared" si="0"/>
        <v>0.85414757164408572</v>
      </c>
      <c r="E254" s="574">
        <f t="shared" si="1"/>
        <v>0.48433251976922009</v>
      </c>
      <c r="F254" s="80">
        <f t="shared" si="2"/>
        <v>3.5842415196477742</v>
      </c>
    </row>
    <row r="255" spans="3:9" hidden="1" x14ac:dyDescent="0.15">
      <c r="C255" s="574">
        <f t="shared" si="3"/>
        <v>7.5152696411562359E-2</v>
      </c>
      <c r="D255" s="574">
        <f t="shared" si="0"/>
        <v>1.0446224801207169</v>
      </c>
      <c r="E255" s="574">
        <f t="shared" si="1"/>
        <v>0.54512275738071125</v>
      </c>
      <c r="F255" s="80">
        <f t="shared" si="2"/>
        <v>4.0341119800087295</v>
      </c>
    </row>
    <row r="256" spans="3:9" hidden="1" x14ac:dyDescent="0.15">
      <c r="C256" s="574">
        <f t="shared" si="3"/>
        <v>9.1911747711340766E-2</v>
      </c>
      <c r="D256" s="574">
        <f t="shared" si="0"/>
        <v>1.2775732931876367</v>
      </c>
      <c r="E256" s="574">
        <f t="shared" si="1"/>
        <v>0.6096966870853141</v>
      </c>
      <c r="F256" s="80">
        <f t="shared" si="2"/>
        <v>4.5119831748736487</v>
      </c>
    </row>
    <row r="257" spans="3:6" hidden="1" x14ac:dyDescent="0.15">
      <c r="C257" s="574">
        <f t="shared" si="3"/>
        <v>0.11240806745096976</v>
      </c>
      <c r="D257" s="574">
        <f t="shared" si="0"/>
        <v>1.5624721375684798</v>
      </c>
      <c r="E257" s="574">
        <f t="shared" si="1"/>
        <v>0.67617374196009294</v>
      </c>
      <c r="F257" s="80">
        <f t="shared" si="2"/>
        <v>5.0039382067175131</v>
      </c>
    </row>
    <row r="258" spans="3:6" hidden="1" x14ac:dyDescent="0.15">
      <c r="C258" s="574">
        <f t="shared" si="3"/>
        <v>0.13747506649253602</v>
      </c>
      <c r="D258" s="574">
        <f t="shared" si="0"/>
        <v>1.9109034242462508</v>
      </c>
      <c r="E258" s="574">
        <f t="shared" si="1"/>
        <v>0.74203988967326728</v>
      </c>
      <c r="F258" s="80">
        <f t="shared" si="2"/>
        <v>5.4913722974230117</v>
      </c>
    </row>
    <row r="259" spans="3:6" hidden="1" x14ac:dyDescent="0.15">
      <c r="C259" s="574">
        <f t="shared" si="3"/>
        <v>0.16813200632037156</v>
      </c>
      <c r="D259" s="574">
        <f t="shared" si="0"/>
        <v>2.3370348878531648</v>
      </c>
      <c r="E259" s="574">
        <f t="shared" si="1"/>
        <v>0.80432018930858151</v>
      </c>
      <c r="F259" s="80">
        <f t="shared" si="2"/>
        <v>5.9522697732220005</v>
      </c>
    </row>
    <row r="260" spans="3:6" hidden="1" x14ac:dyDescent="0.15">
      <c r="C260" s="574">
        <f t="shared" si="3"/>
        <v>0.20562544372981445</v>
      </c>
      <c r="D260" s="574">
        <f t="shared" si="0"/>
        <v>2.8581936678444211</v>
      </c>
      <c r="E260" s="574">
        <f t="shared" si="1"/>
        <v>0.85994303691129159</v>
      </c>
      <c r="F260" s="80">
        <f t="shared" si="2"/>
        <v>6.3638996177628337</v>
      </c>
    </row>
    <row r="261" spans="3:6" hidden="1" x14ac:dyDescent="0.15">
      <c r="C261" s="574">
        <f t="shared" si="3"/>
        <v>0.25147991768156308</v>
      </c>
      <c r="D261" s="574">
        <f t="shared" si="0"/>
        <v>3.4955708557737268</v>
      </c>
      <c r="E261" s="574">
        <f t="shared" si="1"/>
        <v>0.90627785396633942</v>
      </c>
      <c r="F261" s="80">
        <f t="shared" si="2"/>
        <v>6.7067945676479237</v>
      </c>
    </row>
    <row r="262" spans="3:6" hidden="1" x14ac:dyDescent="0.15">
      <c r="C262" s="574">
        <f t="shared" si="3"/>
        <v>0.30755993932455167</v>
      </c>
      <c r="D262" s="574">
        <f t="shared" si="0"/>
        <v>4.2750831566112684</v>
      </c>
      <c r="E262" s="574">
        <f t="shared" si="1"/>
        <v>0.9417317979229084</v>
      </c>
      <c r="F262" s="80">
        <f t="shared" si="2"/>
        <v>6.9691669931562297</v>
      </c>
    </row>
    <row r="263" spans="3:6" hidden="1" x14ac:dyDescent="0.15">
      <c r="C263" s="574">
        <f t="shared" si="3"/>
        <v>0.3761458057939267</v>
      </c>
      <c r="D263" s="574">
        <f t="shared" si="0"/>
        <v>5.2284267005355813</v>
      </c>
      <c r="E263" s="574">
        <f t="shared" si="1"/>
        <v>0.96619085632214952</v>
      </c>
      <c r="F263" s="80">
        <f t="shared" si="2"/>
        <v>7.1501731595144626</v>
      </c>
    </row>
    <row r="264" spans="3:6" hidden="1" x14ac:dyDescent="0.15">
      <c r="C264" s="574">
        <f t="shared" si="3"/>
        <v>0.46002632048597236</v>
      </c>
      <c r="D264" s="574">
        <f t="shared" si="0"/>
        <v>6.3943658547550157</v>
      </c>
      <c r="E264" s="574">
        <f t="shared" si="1"/>
        <v>0.98106438011815267</v>
      </c>
      <c r="F264" s="80">
        <f t="shared" si="2"/>
        <v>7.2602427901031863</v>
      </c>
    </row>
    <row r="265" spans="3:6" hidden="1" x14ac:dyDescent="0.15">
      <c r="C265" s="574">
        <f t="shared" si="3"/>
        <v>0.56261218995434426</v>
      </c>
      <c r="D265" s="574">
        <f t="shared" si="0"/>
        <v>7.820309440365385</v>
      </c>
      <c r="E265" s="574">
        <f t="shared" si="1"/>
        <v>0.98882109491836478</v>
      </c>
      <c r="F265" s="80">
        <f t="shared" si="2"/>
        <v>7.3176453763599056</v>
      </c>
    </row>
    <row r="266" spans="3:6" hidden="1" x14ac:dyDescent="0.15">
      <c r="C266" s="574">
        <f t="shared" si="3"/>
        <v>0.68807470831416306</v>
      </c>
      <c r="D266" s="574">
        <f t="shared" si="0"/>
        <v>9.5642384455668665</v>
      </c>
      <c r="E266" s="574">
        <f t="shared" si="1"/>
        <v>0.99217699782690305</v>
      </c>
      <c r="F266" s="80">
        <f t="shared" si="2"/>
        <v>7.3424803111407062</v>
      </c>
    </row>
    <row r="267" spans="3:6" hidden="1" x14ac:dyDescent="0.15">
      <c r="C267" s="574">
        <f t="shared" si="3"/>
        <v>0.84151536826822149</v>
      </c>
      <c r="D267" s="574">
        <f t="shared" si="0"/>
        <v>11.697063618928279</v>
      </c>
      <c r="E267" s="574">
        <f t="shared" si="1"/>
        <v>0.99333409580020104</v>
      </c>
      <c r="F267" s="80">
        <f t="shared" si="2"/>
        <v>7.3510432682598585</v>
      </c>
    </row>
    <row r="268" spans="3:6" hidden="1" x14ac:dyDescent="0.15">
      <c r="C268" s="574">
        <f t="shared" si="3"/>
        <v>1.0291732953920349</v>
      </c>
      <c r="D268" s="574">
        <f t="shared" si="0"/>
        <v>14.305508805949286</v>
      </c>
      <c r="E268" s="574">
        <f t="shared" si="1"/>
        <v>0.99363699898320335</v>
      </c>
      <c r="F268" s="80">
        <f t="shared" si="2"/>
        <v>7.3532848649328795</v>
      </c>
    </row>
    <row r="269" spans="3:6" hidden="1" x14ac:dyDescent="0.15">
      <c r="C269" s="574">
        <f t="shared" si="3"/>
        <v>1.2586789402644589</v>
      </c>
      <c r="D269" s="574">
        <f t="shared" si="0"/>
        <v>17.495637269675978</v>
      </c>
      <c r="E269" s="574">
        <f t="shared" si="1"/>
        <v>0.99369378061327429</v>
      </c>
      <c r="F269" s="80">
        <f t="shared" si="2"/>
        <v>7.353705070200431</v>
      </c>
    </row>
  </sheetData>
  <sheetProtection sheet="1" objects="1" scenarios="1"/>
  <mergeCells count="1">
    <mergeCell ref="F60:H61"/>
  </mergeCells>
  <phoneticPr fontId="121"/>
  <conditionalFormatting sqref="E144">
    <cfRule type="expression" dxfId="38" priority="24">
      <formula>#REF!&lt;0</formula>
    </cfRule>
  </conditionalFormatting>
  <conditionalFormatting sqref="D220">
    <cfRule type="expression" dxfId="37" priority="23">
      <formula>$D$217</formula>
    </cfRule>
  </conditionalFormatting>
  <conditionalFormatting sqref="D226">
    <cfRule type="cellIs" dxfId="36" priority="21" operator="greaterThan">
      <formula>42</formula>
    </cfRule>
    <cfRule type="cellIs" dxfId="35" priority="22" operator="greaterThan">
      <formula>40</formula>
    </cfRule>
  </conditionalFormatting>
  <conditionalFormatting sqref="E183">
    <cfRule type="expression" dxfId="34" priority="20">
      <formula>$D$184&lt;0</formula>
    </cfRule>
  </conditionalFormatting>
  <conditionalFormatting sqref="E141:E143">
    <cfRule type="expression" dxfId="33" priority="18">
      <formula>#REF!&lt;0</formula>
    </cfRule>
  </conditionalFormatting>
  <conditionalFormatting sqref="E145">
    <cfRule type="expression" dxfId="32" priority="17">
      <formula>#REF!&lt;0</formula>
    </cfRule>
  </conditionalFormatting>
  <conditionalFormatting sqref="D50">
    <cfRule type="cellIs" dxfId="31" priority="14" operator="lessThan">
      <formula>0.8</formula>
    </cfRule>
  </conditionalFormatting>
  <conditionalFormatting sqref="C116:E116">
    <cfRule type="expression" dxfId="30" priority="13">
      <formula>($D$11)</formula>
    </cfRule>
  </conditionalFormatting>
  <conditionalFormatting sqref="C108:F109">
    <cfRule type="expression" dxfId="29" priority="12">
      <formula>OR(NOT($D$107),$D$11)</formula>
    </cfRule>
  </conditionalFormatting>
  <conditionalFormatting sqref="C106:F106">
    <cfRule type="expression" dxfId="28" priority="11">
      <formula>($D$11)</formula>
    </cfRule>
  </conditionalFormatting>
  <conditionalFormatting sqref="C128:E128">
    <cfRule type="expression" dxfId="27" priority="10">
      <formula>$D$11</formula>
    </cfRule>
  </conditionalFormatting>
  <conditionalFormatting sqref="C33:F35 C37:F37">
    <cfRule type="expression" dxfId="26" priority="6" stopIfTrue="1">
      <formula>($D$32="Internal")</formula>
    </cfRule>
  </conditionalFormatting>
  <conditionalFormatting sqref="D34">
    <cfRule type="expression" dxfId="25" priority="7">
      <formula>$D$34&gt;$D$33</formula>
    </cfRule>
  </conditionalFormatting>
  <conditionalFormatting sqref="C43:E44">
    <cfRule type="expression" dxfId="24" priority="5">
      <formula>$D$42</formula>
    </cfRule>
  </conditionalFormatting>
  <conditionalFormatting sqref="C50:F51">
    <cfRule type="expression" dxfId="23" priority="4" stopIfTrue="1">
      <formula>$D$42</formula>
    </cfRule>
  </conditionalFormatting>
  <conditionalFormatting sqref="C56:E56 E57">
    <cfRule type="expression" dxfId="22" priority="3">
      <formula>$D$42</formula>
    </cfRule>
  </conditionalFormatting>
  <conditionalFormatting sqref="F116:H116">
    <cfRule type="expression" dxfId="21" priority="2">
      <formula>$D$11</formula>
    </cfRule>
  </conditionalFormatting>
  <conditionalFormatting sqref="C223:F223">
    <cfRule type="expression" dxfId="20" priority="1">
      <formula>$D$217</formula>
    </cfRule>
  </conditionalFormatting>
  <dataValidations count="36">
    <dataValidation type="list" allowBlank="1" showInputMessage="1" showErrorMessage="1" sqref="C50">
      <formula1>"Sensor Q,Sensor RP"</formula1>
    </dataValidation>
    <dataValidation type="decimal" errorStyle="warning" allowBlank="1" showInputMessage="1" showErrorMessage="1" errorTitle="Extreme value" error="This value is extreme and corresponds either to a very poor sensor or an unachievable sensor. Please verify this value." sqref="D50">
      <formula1>0.5</formula1>
      <formula2>500</formula2>
    </dataValidation>
    <dataValidation errorStyle="warning" allowBlank="1" showInputMessage="1" showErrorMessage="1" errorTitle="Invalid Sensor Frequency" error="The LDC is limited to sensor frequencies of 10kHz to 10MHz." sqref="D51 D83"/>
    <dataValidation type="decimal" allowBlank="1" showInputMessage="1" showErrorMessage="1" sqref="D182">
      <formula1>48</formula1>
      <formula2>1048560</formula2>
    </dataValidation>
    <dataValidation errorStyle="information" allowBlank="1" showInputMessage="1" showErrorMessage="1" errorTitle="Sensor Amplitude" error="The sensor amplitude should be between 0.1V and 1.8V." sqref="D84:D85"/>
    <dataValidation type="decimal" errorStyle="information" allowBlank="1" showInputMessage="1" showErrorMessage="1" errorTitle="Sample Rate out of bounds" error="The sample rate is either extremely low - use the shutdown mode, or the sample rate needed cannot use the low power modes." sqref="D183">
      <formula1>0.1</formula1>
      <formula2>800</formula2>
    </dataValidation>
    <dataValidation errorStyle="warning" allowBlank="1" showInputMessage="1" showErrorMessage="1" errorTitle="Sample Rate out of bounds" error="The sample rate is either extremely low - use the shutdown mode, or the sample rate needed cannot use the low power modes." sqref="D100"/>
    <dataValidation errorStyle="warning" allowBlank="1" showInputMessage="1" showErrorMessage="1" errorTitle="Invalid I2C datarate" error="The LDC can support a datarate of up to 400kbit/s." sqref="D174 D94:D96 D52:D55 D82 D62:D73 D98:D99 D101:D104 D111:D116 D118:D137 D186:D187"/>
    <dataValidation type="decimal" allowBlank="1" showInputMessage="1" showErrorMessage="1" sqref="D222">
      <formula1>0</formula1>
      <formula2>D219</formula2>
    </dataValidation>
    <dataValidation type="list" allowBlank="1" showInputMessage="1" showErrorMessage="1" sqref="E221 E223">
      <formula1>"Hex,decimal"</formula1>
    </dataValidation>
    <dataValidation type="whole" allowBlank="1" showInputMessage="1" showErrorMessage="1" sqref="D224">
      <formula1>0</formula1>
      <formula2>20000000</formula2>
    </dataValidation>
    <dataValidation allowBlank="1" showInputMessage="1" showErrorMessage="1" errorTitle="Invalid Output Code" error="The output code must be between 0 and the full-scale output code." sqref="D221"/>
    <dataValidation type="list" allowBlank="1" showInputMessage="1" showErrorMessage="1" errorTitle="Incorrect Gain Setting" sqref="D220">
      <formula1>"0,2,3,4"</formula1>
    </dataValidation>
    <dataValidation type="list" errorStyle="warning" operator="lessThanOrEqual" allowBlank="1" showInputMessage="1" showErrorMessage="1" errorTitle="Frequency too High" error="The Multichannel LDC devices have a FIN divider between 1 and 15." sqref="D228">
      <formula1>"1,2,3,4,5,6,7,8,9,10,11,12,13,14,15"</formula1>
    </dataValidation>
    <dataValidation type="decimal" errorStyle="warning" allowBlank="1" showInputMessage="1" showErrorMessage="1" errorTitle="Frequency too High" error="The Multichannel LDC devices have a maximum CLKIN divider 1023." sqref="D227">
      <formula1>1</formula1>
      <formula2>1023</formula2>
    </dataValidation>
    <dataValidation type="decimal" allowBlank="1" showInputMessage="1" showErrorMessage="1" errorTitle="Invalid setting" error="The Offset register programmed value can only be between 0 and 65535." sqref="D223 D225">
      <formula1>0</formula1>
      <formula2>65535</formula2>
    </dataValidation>
    <dataValidation type="list" allowBlank="1" showInputMessage="1" showErrorMessage="1" sqref="D216">
      <formula1>"LDC131x,LDC161x"</formula1>
    </dataValidation>
    <dataValidation type="decimal" errorStyle="warning" operator="lessThanOrEqual" allowBlank="1" showInputMessage="1" showErrorMessage="1" errorTitle="Frequency too High" error="This exceeds the maximum CLKIN frequency." sqref="D226">
      <formula1>D225</formula1>
    </dataValidation>
    <dataValidation type="decimal" errorStyle="information" operator="greaterThan" allowBlank="1" showInputMessage="1" showErrorMessage="1" errorTitle="Low Sensor Capacitance" error="Sensor capacitances which are too low are not recommended, as parasitic effects may influence the measurement." sqref="D218">
      <formula1>80</formula1>
    </dataValidation>
    <dataValidation type="list" errorStyle="warning" allowBlank="1" showInputMessage="1" showErrorMessage="1" errorTitle="Incorrect number of channels" error="The LDC does not have this number of channels." sqref="D184">
      <formula1>"1,2,3,4"</formula1>
    </dataValidation>
    <dataValidation type="decimal" errorStyle="warning" allowBlank="1" showInputMessage="1" showErrorMessage="1" errorTitle="Invalid I2C datarate" error="The LDC can support a datarate of up to 400kbit/s." sqref="D185">
      <formula1>1</formula1>
      <formula2>400</formula2>
    </dataValidation>
    <dataValidation type="list" allowBlank="1" showInputMessage="1" showErrorMessage="1" sqref="D7">
      <formula1>"LDC1312,LDC1314,LDC1612,LDC1614"</formula1>
    </dataValidation>
    <dataValidation type="list" allowBlank="1" showInputMessage="1" showErrorMessage="1" sqref="D9">
      <formula1>$D$13:$D$19</formula1>
    </dataValidation>
    <dataValidation type="list" allowBlank="1" showInputMessage="1" showErrorMessage="1" sqref="D32">
      <formula1>"Internal, External"</formula1>
    </dataValidation>
    <dataValidation errorStyle="information" allowBlank="1" showInputMessage="1" showErrorMessage="1" errorTitle="Sample Rate out of bounds" error="The sample rate is either extremely low - use the shutdown mode, or the sample rate needed cannot use the low power modes." sqref="D144:D145"/>
    <dataValidation type="whole" errorStyle="warning" allowBlank="1" showInputMessage="1" showErrorMessage="1" errorTitle="Invalid Reference Frequency" error="The Reference frequency must be greater than the sensor frequency and not greater than 40MHz." sqref="D181">
      <formula1>#REF!</formula1>
      <formula2>40</formula2>
    </dataValidation>
    <dataValidation type="decimal" allowBlank="1" showInputMessage="1" showErrorMessage="1" sqref="D74">
      <formula1>0.000001</formula1>
      <formula2>1</formula2>
    </dataValidation>
    <dataValidation errorStyle="warning" allowBlank="1" showInputMessage="1" showErrorMessage="1" errorTitle="Sensor Frequency too high" error="The Sensor frequency cannot exceed the IC Max Frequency" sqref="D76"/>
    <dataValidation type="decimal" errorStyle="warning" allowBlank="1" showInputMessage="1" showErrorMessage="1" errorTitle="Distance Out of range" error="This distance is not recommended. " sqref="D60:D61">
      <formula1>0.01</formula1>
      <formula2>100</formula2>
    </dataValidation>
    <dataValidation type="decimal" errorStyle="warning" allowBlank="1" showInputMessage="1" showErrorMessage="1" errorTitle="Extreme size for sensor" error="This sensor size may be too small to support or is extremely large." sqref="D56:D59">
      <formula1>2</formula1>
      <formula2>200</formula2>
    </dataValidation>
    <dataValidation type="list" showInputMessage="1" showErrorMessage="1" sqref="E96">
      <formula1>"steps,bits,µm,RCOUNT"</formula1>
    </dataValidation>
    <dataValidation type="whole" errorStyle="warning" allowBlank="1" showInputMessage="1" showErrorMessage="1" errorTitle="Invalid output code" error="Please enter tle LDC131x output code in Decimal." sqref="D108:D109">
      <formula1>0</formula1>
      <formula2>4095</formula2>
    </dataValidation>
    <dataValidation type="list" allowBlank="1" showInputMessage="1" showErrorMessage="1" sqref="D106">
      <formula1>"Estimated,Actual"</formula1>
    </dataValidation>
    <dataValidation errorStyle="warning" allowBlank="1" showInputMessage="1" showErrorMessage="1" errorTitle="Invalid output code" error="Please enter tle LDC131x output code in Decimal." sqref="D110"/>
    <dataValidation type="decimal" errorStyle="warning" allowBlank="1" showInputMessage="1" showErrorMessage="1" errorTitle="Possible Invalid Reference Freq" error="The Reference Frequency must be greater than the Sensor frequency and also must not exceed the LDC maximum reference frequency." sqref="D38">
      <formula1>1</formula1>
      <formula2>D34</formula2>
    </dataValidation>
    <dataValidation type="decimal" errorStyle="warning" allowBlank="1" showInputMessage="1" showErrorMessage="1" errorTitle="Possible Invalid Reference Freq" error="The Reference Frequency must not exceed the LDC maximum reference frequency." sqref="D34">
      <formula1>1</formula1>
      <formula2>D33</formula2>
    </dataValidation>
  </dataValidations>
  <hyperlinks>
    <hyperlink ref="E4" location="Contents!A1" display="Return to Main Page"/>
    <hyperlink ref="D179" r:id="rId1"/>
    <hyperlink ref="G43" location="Spiral_Inductor_Designer!A1" display="Spiral Inductor Designer"/>
  </hyperlinks>
  <pageMargins left="0.7" right="0.7" top="0.75" bottom="0.75" header="0.3" footer="0.3"/>
  <pageSetup orientation="portrait" r:id="rId2"/>
  <drawing r:id="rId3"/>
  <legacyDrawing r:id="rId4"/>
  <oleObjects>
    <mc:AlternateContent xmlns:mc="http://schemas.openxmlformats.org/markup-compatibility/2006">
      <mc:Choice Requires="x14">
        <oleObject progId="Acrobat Document" dvAspect="DVASPECT_ICON" shapeId="96626" r:id="rId5">
          <objectPr locked="0" defaultSize="0" r:id="rId6">
            <anchor moveWithCells="1">
              <from>
                <xdr:col>6</xdr:col>
                <xdr:colOff>0</xdr:colOff>
                <xdr:row>4</xdr:row>
                <xdr:rowOff>0</xdr:rowOff>
              </from>
              <to>
                <xdr:col>7</xdr:col>
                <xdr:colOff>47625</xdr:colOff>
                <xdr:row>8</xdr:row>
                <xdr:rowOff>19050</xdr:rowOff>
              </to>
            </anchor>
          </objectPr>
        </oleObject>
      </mc:Choice>
      <mc:Fallback>
        <oleObject progId="Acrobat Document" dvAspect="DVASPECT_ICON" shapeId="96626" r:id="rId5"/>
      </mc:Fallback>
    </mc:AlternateContent>
  </oleObjects>
  <mc:AlternateContent xmlns:mc="http://schemas.openxmlformats.org/markup-compatibility/2006">
    <mc:Choice Requires="x14">
      <controls>
        <mc:AlternateContent xmlns:mc="http://schemas.openxmlformats.org/markup-compatibility/2006">
          <mc:Choice Requires="x14">
            <control shapeId="96373" r:id="rId7" name="Check Box 117">
              <controlPr locked="0" defaultSize="0" autoFill="0" autoLine="0" autoPict="0" altText="Enable Ch0">
                <anchor moveWithCells="1">
                  <from>
                    <xdr:col>4</xdr:col>
                    <xdr:colOff>438150</xdr:colOff>
                    <xdr:row>42</xdr:row>
                    <xdr:rowOff>9525</xdr:rowOff>
                  </from>
                  <to>
                    <xdr:col>6</xdr:col>
                    <xdr:colOff>19050</xdr:colOff>
                    <xdr:row>43</xdr:row>
                    <xdr:rowOff>0</xdr:rowOff>
                  </to>
                </anchor>
              </controlPr>
            </control>
          </mc:Choice>
        </mc:AlternateContent>
        <mc:AlternateContent xmlns:mc="http://schemas.openxmlformats.org/markup-compatibility/2006">
          <mc:Choice Requires="x14">
            <control shapeId="96625" r:id="rId8" name="Check Box 369">
              <controlPr locked="0" defaultSize="0" print="0" autoFill="0" autoLine="0" autoPict="0" altText="Lock Gain at 1x">
                <anchor moveWithCells="1">
                  <from>
                    <xdr:col>4</xdr:col>
                    <xdr:colOff>533400</xdr:colOff>
                    <xdr:row>112</xdr:row>
                    <xdr:rowOff>9525</xdr:rowOff>
                  </from>
                  <to>
                    <xdr:col>6</xdr:col>
                    <xdr:colOff>857250</xdr:colOff>
                    <xdr:row>127</xdr:row>
                    <xdr:rowOff>47625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4" tint="0.59999389629810485"/>
  </sheetPr>
  <dimension ref="B2:S450"/>
  <sheetViews>
    <sheetView showGridLines="0" showRowColHeaders="0" zoomScaleNormal="100" workbookViewId="0">
      <selection activeCell="D8" sqref="D8"/>
    </sheetView>
  </sheetViews>
  <sheetFormatPr defaultRowHeight="13.5" x14ac:dyDescent="0.15"/>
  <cols>
    <col min="1" max="1" width="4.25" customWidth="1"/>
    <col min="2" max="2" width="4.5" customWidth="1"/>
    <col min="3" max="3" width="32" customWidth="1"/>
    <col min="4" max="4" width="15.125" customWidth="1"/>
    <col min="5" max="5" width="7.5" customWidth="1"/>
    <col min="6" max="6" width="2.5" customWidth="1"/>
    <col min="7" max="13" width="8.875" customWidth="1"/>
    <col min="14" max="14" width="25.5" customWidth="1"/>
    <col min="19" max="19" width="10.875" bestFit="1" customWidth="1"/>
  </cols>
  <sheetData>
    <row r="2" spans="2:19" ht="17.25" x14ac:dyDescent="0.2">
      <c r="B2" s="4" t="s">
        <v>1103</v>
      </c>
      <c r="D2" s="20" t="s">
        <v>198</v>
      </c>
    </row>
    <row r="3" spans="2:19" x14ac:dyDescent="0.15">
      <c r="B3" s="655"/>
    </row>
    <row r="4" spans="2:19" ht="9.6" customHeight="1" x14ac:dyDescent="0.15">
      <c r="B4" s="655"/>
      <c r="P4" s="817"/>
      <c r="Q4" s="817"/>
      <c r="R4" s="817"/>
      <c r="S4" s="817"/>
    </row>
    <row r="5" spans="2:19" x14ac:dyDescent="0.15">
      <c r="B5" s="36" t="s">
        <v>1111</v>
      </c>
    </row>
    <row r="6" spans="2:19" x14ac:dyDescent="0.15">
      <c r="B6" s="36"/>
      <c r="C6" s="13" t="s">
        <v>1104</v>
      </c>
      <c r="D6" s="642">
        <v>1.2</v>
      </c>
      <c r="E6" s="818" t="s">
        <v>1506</v>
      </c>
      <c r="G6" s="85" t="str">
        <f>IF((D22-D23)&lt;1,"Inner Diameter is too large","")</f>
        <v/>
      </c>
      <c r="P6" s="366"/>
      <c r="Q6" s="364"/>
    </row>
    <row r="7" spans="2:19" x14ac:dyDescent="0.15">
      <c r="B7" s="36"/>
      <c r="C7" s="13" t="s">
        <v>1105</v>
      </c>
      <c r="D7" s="642">
        <v>0.5</v>
      </c>
      <c r="E7" s="819"/>
      <c r="P7" s="366"/>
      <c r="Q7" s="364"/>
    </row>
    <row r="8" spans="2:19" x14ac:dyDescent="0.15">
      <c r="B8" s="36"/>
      <c r="C8" s="13" t="s">
        <v>1133</v>
      </c>
      <c r="D8" s="643">
        <v>16</v>
      </c>
      <c r="E8" s="343"/>
      <c r="G8" s="85" t="str">
        <f>IF(MOD(D8,4)&gt;0,"Must be a multiple of 4","")</f>
        <v/>
      </c>
      <c r="P8" s="366"/>
      <c r="Q8" s="364"/>
    </row>
    <row r="9" spans="2:19" x14ac:dyDescent="0.15">
      <c r="B9" s="36"/>
      <c r="C9" s="25" t="s">
        <v>1166</v>
      </c>
      <c r="D9" s="642">
        <v>0.5</v>
      </c>
      <c r="E9" s="45" t="s">
        <v>34</v>
      </c>
      <c r="G9" s="85"/>
      <c r="P9" s="366"/>
      <c r="Q9" s="364"/>
    </row>
    <row r="10" spans="2:19" x14ac:dyDescent="0.15">
      <c r="B10" s="36"/>
      <c r="C10" s="25" t="s">
        <v>1149</v>
      </c>
      <c r="D10" s="645">
        <v>50</v>
      </c>
      <c r="E10" s="706" t="s">
        <v>535</v>
      </c>
      <c r="G10" s="85"/>
      <c r="P10" s="366"/>
      <c r="Q10" s="364"/>
    </row>
    <row r="11" spans="2:19" x14ac:dyDescent="0.15">
      <c r="B11" s="36" t="s">
        <v>1112</v>
      </c>
      <c r="C11" s="13"/>
      <c r="D11" s="647"/>
      <c r="E11" s="646"/>
      <c r="G11" s="85"/>
      <c r="P11" s="366"/>
      <c r="Q11" s="364"/>
    </row>
    <row r="12" spans="2:19" x14ac:dyDescent="0.15">
      <c r="B12" s="36"/>
      <c r="C12" s="25" t="s">
        <v>1132</v>
      </c>
      <c r="D12" s="642">
        <v>24</v>
      </c>
      <c r="E12" s="45" t="s">
        <v>616</v>
      </c>
      <c r="G12" s="85"/>
      <c r="P12" s="366"/>
      <c r="Q12" s="364"/>
    </row>
    <row r="13" spans="2:19" x14ac:dyDescent="0.15">
      <c r="B13" s="36"/>
      <c r="C13" s="25" t="s">
        <v>1106</v>
      </c>
      <c r="D13" s="642">
        <v>0</v>
      </c>
      <c r="E13" s="45" t="s">
        <v>616</v>
      </c>
      <c r="G13" s="85"/>
      <c r="P13" s="366"/>
      <c r="Q13" s="364"/>
    </row>
    <row r="14" spans="2:19" ht="15" x14ac:dyDescent="0.25">
      <c r="B14" s="648"/>
      <c r="C14" s="13" t="s">
        <v>1109</v>
      </c>
      <c r="D14" s="661">
        <v>4</v>
      </c>
      <c r="E14" s="818" t="s">
        <v>616</v>
      </c>
      <c r="P14" s="366"/>
      <c r="Q14" s="364"/>
    </row>
    <row r="15" spans="2:19" ht="15" x14ac:dyDescent="0.25">
      <c r="B15" s="648"/>
      <c r="C15" s="13" t="s">
        <v>1110</v>
      </c>
      <c r="D15" s="661">
        <v>4</v>
      </c>
      <c r="E15" s="819"/>
      <c r="P15" s="366"/>
      <c r="Q15" s="364"/>
    </row>
    <row r="16" spans="2:19" ht="15" x14ac:dyDescent="0.25">
      <c r="B16" s="648"/>
      <c r="C16" s="93" t="s">
        <v>1130</v>
      </c>
      <c r="D16" s="661">
        <v>8</v>
      </c>
      <c r="E16" s="705" t="s">
        <v>616</v>
      </c>
      <c r="P16" s="366"/>
      <c r="Q16" s="364"/>
    </row>
    <row r="17" spans="2:17" ht="15" x14ac:dyDescent="0.25">
      <c r="B17" s="648"/>
      <c r="C17" s="93" t="s">
        <v>1177</v>
      </c>
      <c r="D17" s="704">
        <v>40</v>
      </c>
      <c r="E17" s="707" t="str">
        <f>IF(D19=4,E16,"N/A")</f>
        <v>mil</v>
      </c>
      <c r="P17" s="366"/>
      <c r="Q17" s="364"/>
    </row>
    <row r="18" spans="2:17" ht="15" x14ac:dyDescent="0.25">
      <c r="B18" s="648"/>
      <c r="C18" s="93" t="s">
        <v>1178</v>
      </c>
      <c r="D18" s="704">
        <v>8</v>
      </c>
      <c r="E18" s="707" t="str">
        <f>IF(D19=4,E17,"N/A")</f>
        <v>mil</v>
      </c>
      <c r="P18" s="366"/>
      <c r="Q18" s="364"/>
    </row>
    <row r="19" spans="2:17" ht="15" x14ac:dyDescent="0.25">
      <c r="B19" s="648"/>
      <c r="C19" s="93" t="s">
        <v>1145</v>
      </c>
      <c r="D19" s="665">
        <v>4</v>
      </c>
      <c r="E19" s="662"/>
      <c r="P19" s="366"/>
      <c r="Q19" s="364"/>
    </row>
    <row r="20" spans="2:17" ht="15" x14ac:dyDescent="0.25">
      <c r="B20" s="648"/>
      <c r="C20" s="93" t="s">
        <v>1142</v>
      </c>
      <c r="D20" s="642">
        <v>1</v>
      </c>
      <c r="E20" s="705" t="s">
        <v>53</v>
      </c>
      <c r="P20" s="366"/>
      <c r="Q20" s="364"/>
    </row>
    <row r="21" spans="2:17" ht="14.25" hidden="1" x14ac:dyDescent="0.2">
      <c r="B21" s="651" t="s">
        <v>1150</v>
      </c>
      <c r="C21" s="445"/>
      <c r="D21" s="644"/>
      <c r="E21" s="373"/>
      <c r="P21" s="366"/>
      <c r="Q21" s="364"/>
    </row>
    <row r="22" spans="2:17" ht="15" hidden="1" x14ac:dyDescent="0.25">
      <c r="B22" s="648"/>
      <c r="C22" s="93" t="s">
        <v>1104</v>
      </c>
      <c r="D22" s="652">
        <f>IF(E6="inch",D6*25.4,D6)</f>
        <v>30.479999999999997</v>
      </c>
      <c r="E22" s="649" t="s">
        <v>34</v>
      </c>
      <c r="P22" s="366"/>
      <c r="Q22" s="364"/>
    </row>
    <row r="23" spans="2:17" ht="15" hidden="1" x14ac:dyDescent="0.25">
      <c r="B23" s="648"/>
      <c r="C23" s="650" t="s">
        <v>1105</v>
      </c>
      <c r="D23" s="652">
        <f>IF(E6="inch",D7*25.4,D7)</f>
        <v>12.7</v>
      </c>
      <c r="E23" s="649" t="s">
        <v>34</v>
      </c>
      <c r="P23" s="366"/>
      <c r="Q23" s="364"/>
    </row>
    <row r="24" spans="2:17" ht="15" hidden="1" x14ac:dyDescent="0.25">
      <c r="B24" s="648"/>
      <c r="C24" s="93" t="s">
        <v>1106</v>
      </c>
      <c r="D24" s="653">
        <f>IF(E13="mil",D13*0.0254,IF(E13="µm",D13*0.001,D13))</f>
        <v>0</v>
      </c>
      <c r="E24" s="649" t="s">
        <v>34</v>
      </c>
      <c r="I24" s="737"/>
      <c r="P24" s="366"/>
      <c r="Q24" s="364"/>
    </row>
    <row r="25" spans="2:17" ht="15" hidden="1" x14ac:dyDescent="0.25">
      <c r="B25" s="648"/>
      <c r="C25" s="650" t="s">
        <v>1107</v>
      </c>
      <c r="D25" s="653">
        <f>IF(E14="mil",D14*0.0254,IF(E14="µm",D14*0.001,D14))</f>
        <v>0.1016</v>
      </c>
      <c r="E25" s="649" t="s">
        <v>34</v>
      </c>
      <c r="P25" s="366"/>
      <c r="Q25" s="364"/>
    </row>
    <row r="26" spans="2:17" ht="15" hidden="1" x14ac:dyDescent="0.25">
      <c r="B26" s="648"/>
      <c r="C26" s="650" t="s">
        <v>1108</v>
      </c>
      <c r="D26" s="653">
        <f>IF(E14="mil",D15*0.0254,IF(E14="µm",D15*0.001,D15))</f>
        <v>0.1016</v>
      </c>
      <c r="E26" s="649" t="s">
        <v>34</v>
      </c>
      <c r="P26" s="366"/>
      <c r="Q26" s="364"/>
    </row>
    <row r="27" spans="2:17" ht="15" hidden="1" x14ac:dyDescent="0.25">
      <c r="B27" s="648"/>
      <c r="C27" s="650" t="s">
        <v>1126</v>
      </c>
      <c r="D27" s="663">
        <f>D19</f>
        <v>4</v>
      </c>
      <c r="E27" s="649"/>
      <c r="H27" s="736"/>
      <c r="P27" s="366"/>
      <c r="Q27" s="364"/>
    </row>
    <row r="28" spans="2:17" ht="15" hidden="1" x14ac:dyDescent="0.25">
      <c r="B28" s="648"/>
      <c r="C28" s="650" t="str">
        <f>C16</f>
        <v>PCB thickness between Layer1 &amp; Layer2</v>
      </c>
      <c r="D28" s="653">
        <f>IF(E16="mil",D16*0.0254,IF(E16="µm",D16*0.001,D16))</f>
        <v>0.20319999999999999</v>
      </c>
      <c r="E28" s="649" t="s">
        <v>34</v>
      </c>
      <c r="P28" s="366"/>
      <c r="Q28" s="364"/>
    </row>
    <row r="29" spans="2:17" ht="15" hidden="1" x14ac:dyDescent="0.25">
      <c r="B29" s="648"/>
      <c r="C29" s="650" t="s">
        <v>1177</v>
      </c>
      <c r="D29" s="653">
        <f t="shared" ref="D29:D30" si="0">IF(E17="mil",D17*0.0254,IF(E17="µm",D17*0.001,D17))</f>
        <v>1.016</v>
      </c>
      <c r="E29" s="649" t="s">
        <v>34</v>
      </c>
      <c r="P29" s="366"/>
      <c r="Q29" s="364"/>
    </row>
    <row r="30" spans="2:17" ht="15" hidden="1" x14ac:dyDescent="0.25">
      <c r="B30" s="648"/>
      <c r="C30" s="650" t="s">
        <v>1178</v>
      </c>
      <c r="D30" s="653">
        <f t="shared" si="0"/>
        <v>0.20319999999999999</v>
      </c>
      <c r="E30" s="649" t="s">
        <v>34</v>
      </c>
      <c r="K30" s="422"/>
      <c r="P30" s="366"/>
      <c r="Q30" s="364"/>
    </row>
    <row r="31" spans="2:17" ht="15" hidden="1" x14ac:dyDescent="0.25">
      <c r="B31" s="648"/>
      <c r="C31" s="650" t="s">
        <v>1127</v>
      </c>
      <c r="D31" s="653">
        <f>IF(E9="mil",D9*0.0254,IF(E9="µm",D9*0.001,D9))</f>
        <v>0.5</v>
      </c>
      <c r="E31" s="649" t="s">
        <v>34</v>
      </c>
      <c r="P31" s="366"/>
      <c r="Q31" s="364"/>
    </row>
    <row r="32" spans="2:17" ht="15" hidden="1" x14ac:dyDescent="0.25">
      <c r="B32" s="648"/>
      <c r="C32" s="650" t="s">
        <v>1134</v>
      </c>
      <c r="D32" s="653">
        <f>IF(E12="mil",D12*0.0254,IF(E12="µm",D12*0.001,D12))</f>
        <v>0.60959999999999992</v>
      </c>
      <c r="E32" s="649" t="s">
        <v>34</v>
      </c>
      <c r="P32" s="366"/>
      <c r="Q32" s="364"/>
    </row>
    <row r="33" spans="2:17" ht="15" hidden="1" x14ac:dyDescent="0.25">
      <c r="B33" s="648"/>
      <c r="C33" s="93" t="s">
        <v>1141</v>
      </c>
      <c r="D33" s="666">
        <f>IF(E20="µm",0.001*D20, IF(E20="mil",D20*0.0254,D20*0.0347))</f>
        <v>3.4700000000000002E-2</v>
      </c>
      <c r="E33" s="649" t="s">
        <v>34</v>
      </c>
      <c r="P33" s="366"/>
      <c r="Q33" s="364"/>
    </row>
    <row r="34" spans="2:17" ht="15" hidden="1" x14ac:dyDescent="0.25">
      <c r="B34" s="648"/>
      <c r="C34" s="93" t="s">
        <v>1113</v>
      </c>
      <c r="D34" s="652">
        <f>360/D8</f>
        <v>22.5</v>
      </c>
      <c r="E34" s="667" t="s">
        <v>539</v>
      </c>
      <c r="P34" s="366"/>
      <c r="Q34" s="364"/>
    </row>
    <row r="35" spans="2:17" ht="15" hidden="1" x14ac:dyDescent="0.25">
      <c r="B35" s="648"/>
      <c r="C35" s="93" t="s">
        <v>1511</v>
      </c>
      <c r="D35" s="653">
        <f>((D22-D24)*PI()/D8)-(D26*0.5)</f>
        <v>5.9339340050885552</v>
      </c>
      <c r="E35" s="649" t="s">
        <v>34</v>
      </c>
      <c r="P35" s="366"/>
      <c r="Q35" s="364"/>
    </row>
    <row r="36" spans="2:17" ht="15" hidden="1" x14ac:dyDescent="0.25">
      <c r="B36" s="648"/>
      <c r="C36" s="93" t="s">
        <v>1512</v>
      </c>
      <c r="D36" s="653">
        <f>((D23-D24)*PI()/D8)-(D26*0.5)</f>
        <v>2.442839168786898</v>
      </c>
      <c r="E36" s="649" t="s">
        <v>34</v>
      </c>
      <c r="P36" s="366"/>
      <c r="Q36" s="364"/>
    </row>
    <row r="37" spans="2:17" ht="15" hidden="1" x14ac:dyDescent="0.25">
      <c r="B37" s="648"/>
      <c r="C37" s="93" t="s">
        <v>1114</v>
      </c>
      <c r="D37" s="653">
        <f>(D22-D23)/2-2*D24</f>
        <v>8.8899999999999988</v>
      </c>
      <c r="E37" s="649" t="s">
        <v>34</v>
      </c>
      <c r="P37" s="366"/>
      <c r="Q37" s="364"/>
    </row>
    <row r="38" spans="2:17" ht="15" hidden="1" x14ac:dyDescent="0.25">
      <c r="B38" s="648"/>
      <c r="C38" s="93" t="s">
        <v>1115</v>
      </c>
      <c r="D38" s="653">
        <f>D35/D37</f>
        <v>0.66748414005495571</v>
      </c>
      <c r="E38" s="649"/>
      <c r="P38" s="366"/>
      <c r="Q38" s="364"/>
    </row>
    <row r="39" spans="2:17" ht="15" hidden="1" x14ac:dyDescent="0.25">
      <c r="B39" s="648"/>
      <c r="C39" s="93" t="s">
        <v>1116</v>
      </c>
      <c r="D39" s="653">
        <f>IF(D38&lt;0.4,0.4,D38)</f>
        <v>0.66748414005495571</v>
      </c>
      <c r="E39" s="649"/>
      <c r="P39" s="366"/>
      <c r="Q39" s="364"/>
    </row>
    <row r="40" spans="2:17" ht="15" hidden="1" x14ac:dyDescent="0.25">
      <c r="B40" s="648"/>
      <c r="C40" s="93" t="s">
        <v>1514</v>
      </c>
      <c r="D40" s="653">
        <f>ATAN(0.5*(D35-D36)/D37)</f>
        <v>0.19388305158888441</v>
      </c>
      <c r="E40" s="649" t="s">
        <v>1513</v>
      </c>
      <c r="P40" s="366"/>
      <c r="Q40" s="364"/>
    </row>
    <row r="41" spans="2:17" ht="15" hidden="1" x14ac:dyDescent="0.25">
      <c r="B41" s="648"/>
      <c r="C41" s="93" t="s">
        <v>1378</v>
      </c>
      <c r="D41" s="652">
        <f>IF(E10="SPS",D10,3*D10*D8/60)</f>
        <v>40</v>
      </c>
      <c r="E41" s="649" t="s">
        <v>630</v>
      </c>
      <c r="P41" s="366"/>
      <c r="Q41" s="364"/>
    </row>
    <row r="42" spans="2:17" ht="15" hidden="1" x14ac:dyDescent="0.25">
      <c r="B42" s="656" t="s">
        <v>1125</v>
      </c>
      <c r="C42" s="445"/>
      <c r="D42" s="653">
        <f>IF(E54="mm",D33, IF(E54="mil",D54*0.0254,D54*0.0347))</f>
        <v>0.2429</v>
      </c>
      <c r="E42" s="649"/>
      <c r="P42" s="366"/>
      <c r="Q42" s="364"/>
    </row>
    <row r="43" spans="2:17" ht="15" hidden="1" x14ac:dyDescent="0.25">
      <c r="B43" s="648"/>
      <c r="C43" s="93" t="s">
        <v>1214</v>
      </c>
      <c r="D43" s="653">
        <f>MIN(D35,D37)</f>
        <v>5.9339340050885552</v>
      </c>
      <c r="E43" s="649" t="s">
        <v>34</v>
      </c>
      <c r="P43" s="366"/>
      <c r="Q43" s="364"/>
    </row>
    <row r="44" spans="2:17" ht="15" hidden="1" x14ac:dyDescent="0.25">
      <c r="B44" s="648"/>
      <c r="C44" s="93" t="s">
        <v>1117</v>
      </c>
      <c r="D44" s="653">
        <f>D32</f>
        <v>0.60959999999999992</v>
      </c>
      <c r="E44" s="649" t="s">
        <v>34</v>
      </c>
      <c r="P44" s="366"/>
      <c r="Q44" s="364"/>
    </row>
    <row r="45" spans="2:17" ht="15" hidden="1" x14ac:dyDescent="0.25">
      <c r="B45" s="648"/>
      <c r="C45" s="93" t="s">
        <v>1508</v>
      </c>
      <c r="D45" s="653">
        <f>D44+2*D26</f>
        <v>0.81279999999999997</v>
      </c>
      <c r="E45" s="649"/>
      <c r="P45" s="366"/>
      <c r="Q45" s="364"/>
    </row>
    <row r="46" spans="2:17" ht="15" hidden="1" x14ac:dyDescent="0.25">
      <c r="B46" s="648"/>
      <c r="C46" s="93" t="s">
        <v>1118</v>
      </c>
      <c r="D46" s="653">
        <f>(D43-D44-2*D26)/2</f>
        <v>2.5605670025442779</v>
      </c>
      <c r="E46" s="649" t="s">
        <v>34</v>
      </c>
      <c r="P46" s="366"/>
      <c r="Q46" s="364"/>
    </row>
    <row r="47" spans="2:17" ht="15" hidden="1" x14ac:dyDescent="0.25">
      <c r="B47" s="648"/>
      <c r="C47" s="93" t="s">
        <v>1509</v>
      </c>
      <c r="D47" s="663">
        <f>FLOOR((D37-D45/2)/2/(D25+D26),1)</f>
        <v>20</v>
      </c>
      <c r="E47" s="649"/>
      <c r="P47" s="366"/>
      <c r="Q47" s="364"/>
    </row>
    <row r="48" spans="2:17" ht="15" hidden="1" x14ac:dyDescent="0.25">
      <c r="B48" s="648"/>
      <c r="C48" s="93" t="s">
        <v>1515</v>
      </c>
      <c r="D48" s="666">
        <f>D25*(1/COS(D40)-TAN(D40))</f>
        <v>8.3590865032274156E-2</v>
      </c>
      <c r="E48" s="649" t="s">
        <v>34</v>
      </c>
      <c r="P48" s="366"/>
      <c r="Q48" s="364"/>
    </row>
    <row r="49" spans="2:17" ht="15" hidden="1" x14ac:dyDescent="0.25">
      <c r="B49" s="648"/>
      <c r="C49" s="93" t="s">
        <v>1516</v>
      </c>
      <c r="D49" s="666">
        <f>D26*(1/COS(D40)-TAN(D40))</f>
        <v>8.3590865032274156E-2</v>
      </c>
      <c r="E49" s="649" t="s">
        <v>34</v>
      </c>
      <c r="P49" s="366"/>
      <c r="Q49" s="364"/>
    </row>
    <row r="50" spans="2:17" ht="15" hidden="1" x14ac:dyDescent="0.25">
      <c r="B50" s="648"/>
      <c r="C50" s="93" t="s">
        <v>1510</v>
      </c>
      <c r="D50" s="668">
        <f>FLOOR((D36-D49)/2/(D48+D49)+1,1)</f>
        <v>8</v>
      </c>
      <c r="E50" s="649"/>
      <c r="P50" s="366"/>
      <c r="Q50" s="364"/>
    </row>
    <row r="51" spans="2:17" ht="15" hidden="1" x14ac:dyDescent="0.25">
      <c r="B51" s="648"/>
      <c r="C51" s="93" t="s">
        <v>1518</v>
      </c>
      <c r="D51" s="668">
        <f>D25*(1+1/SIN(PI()/2-D40))</f>
        <v>0.20513997838256937</v>
      </c>
      <c r="E51" s="649"/>
      <c r="P51" s="366"/>
      <c r="Q51" s="364"/>
    </row>
    <row r="52" spans="2:17" ht="15" hidden="1" x14ac:dyDescent="0.25">
      <c r="B52" s="648"/>
      <c r="C52" s="93" t="s">
        <v>1519</v>
      </c>
      <c r="D52" s="668">
        <f>D26*(1+1/SIN(PI()/2-D40))</f>
        <v>0.20513997838256937</v>
      </c>
      <c r="E52" s="649"/>
      <c r="P52" s="366"/>
      <c r="Q52" s="364"/>
    </row>
    <row r="53" spans="2:17" ht="15" hidden="1" x14ac:dyDescent="0.25">
      <c r="B53" s="648"/>
      <c r="C53" s="93" t="s">
        <v>1517</v>
      </c>
      <c r="D53" s="668">
        <f>FLOOR((D35-D44)/2/(D51+D52)+1,1)</f>
        <v>7</v>
      </c>
      <c r="E53" s="649"/>
      <c r="P53" s="366"/>
      <c r="Q53" s="364"/>
    </row>
    <row r="54" spans="2:17" ht="15" hidden="1" x14ac:dyDescent="0.25">
      <c r="B54" s="648"/>
      <c r="C54" s="93" t="s">
        <v>1131</v>
      </c>
      <c r="D54" s="668">
        <f>MIN(D53,D50,D47)</f>
        <v>7</v>
      </c>
      <c r="E54" s="649"/>
      <c r="G54" s="85" t="s">
        <v>1192</v>
      </c>
      <c r="P54" s="366"/>
      <c r="Q54" s="364"/>
    </row>
    <row r="55" spans="2:17" ht="15" hidden="1" x14ac:dyDescent="0.25">
      <c r="B55" s="648"/>
      <c r="C55" s="93" t="s">
        <v>1119</v>
      </c>
      <c r="D55" s="653">
        <f>D43-2*D54*D25-2*(D54)*D26</f>
        <v>3.0891340050885558</v>
      </c>
      <c r="E55" s="649" t="s">
        <v>34</v>
      </c>
      <c r="P55" s="366"/>
      <c r="Q55" s="364"/>
    </row>
    <row r="56" spans="2:17" ht="15" hidden="1" x14ac:dyDescent="0.25">
      <c r="B56" s="648"/>
      <c r="C56" s="93" t="s">
        <v>1120</v>
      </c>
      <c r="D56" s="653">
        <f>IF(D39&gt;1,D39,1/D39)</f>
        <v>1.498162937500908</v>
      </c>
      <c r="E56" s="649"/>
      <c r="P56" s="366"/>
      <c r="Q56" s="364"/>
    </row>
    <row r="57" spans="2:17" ht="15" hidden="1" x14ac:dyDescent="0.25">
      <c r="B57" s="648"/>
      <c r="C57" s="93" t="s">
        <v>1121</v>
      </c>
      <c r="D57" s="653">
        <f>1+(4*(D56-1)/PI())</f>
        <v>1.6342807517475875</v>
      </c>
      <c r="E57" s="649"/>
      <c r="P57" s="366"/>
      <c r="Q57" s="364"/>
    </row>
    <row r="58" spans="2:17" ht="15" hidden="1" x14ac:dyDescent="0.25">
      <c r="B58" s="648"/>
      <c r="C58" s="93" t="s">
        <v>1124</v>
      </c>
      <c r="D58" s="652">
        <f>MAX(0,D57*(D43+D55)/2)</f>
        <v>7.3731131853709284</v>
      </c>
      <c r="E58" s="649" t="s">
        <v>34</v>
      </c>
      <c r="P58" s="366"/>
      <c r="Q58" s="364"/>
    </row>
    <row r="59" spans="2:17" ht="15" hidden="1" x14ac:dyDescent="0.25">
      <c r="B59" s="648"/>
      <c r="C59" s="93" t="s">
        <v>1393</v>
      </c>
      <c r="D59" s="652">
        <f>(D55+D43)/2</f>
        <v>4.5115340050885555</v>
      </c>
      <c r="E59" s="649" t="s">
        <v>34</v>
      </c>
      <c r="P59" s="366"/>
      <c r="Q59" s="364"/>
    </row>
    <row r="60" spans="2:17" ht="15" hidden="1" x14ac:dyDescent="0.25">
      <c r="B60" s="648"/>
      <c r="C60" s="93" t="s">
        <v>1122</v>
      </c>
      <c r="D60" s="653">
        <f>(D43-D55)/(D43+D55)</f>
        <v>0.31528078883937832</v>
      </c>
      <c r="E60" s="649" t="s">
        <v>34</v>
      </c>
      <c r="P60" s="366"/>
      <c r="Q60" s="364"/>
    </row>
    <row r="61" spans="2:17" ht="15" hidden="1" x14ac:dyDescent="0.25">
      <c r="B61" s="648"/>
      <c r="C61" s="93" t="s">
        <v>1123</v>
      </c>
      <c r="D61" s="653">
        <f>0.5*4*PI()*0.0001*D54*D54*D58*(LN(2.46/D60)+0.2*D60*D60)</f>
        <v>0.47087475494525965</v>
      </c>
      <c r="E61" s="660" t="s">
        <v>1179</v>
      </c>
      <c r="P61" s="366"/>
      <c r="Q61" s="364"/>
    </row>
    <row r="62" spans="2:17" ht="15" hidden="1" x14ac:dyDescent="0.25">
      <c r="B62" s="648"/>
      <c r="C62" s="93" t="s">
        <v>1135</v>
      </c>
      <c r="D62" s="669">
        <f>D54*(D56-1)*2*D43+PI()*D54*(D43+D55)/2</f>
        <v>140.59873853640738</v>
      </c>
      <c r="E62" s="660" t="s">
        <v>34</v>
      </c>
      <c r="G62" s="85"/>
      <c r="M62" s="422"/>
      <c r="N62" s="19"/>
      <c r="P62" s="366"/>
      <c r="Q62" s="364"/>
    </row>
    <row r="63" spans="2:17" ht="15" hidden="1" x14ac:dyDescent="0.25">
      <c r="B63" s="648"/>
      <c r="C63" s="93" t="s">
        <v>1136</v>
      </c>
      <c r="D63" s="670">
        <v>20</v>
      </c>
      <c r="E63" s="664" t="s">
        <v>121</v>
      </c>
      <c r="G63" s="85" t="s">
        <v>1144</v>
      </c>
      <c r="P63" s="366"/>
      <c r="Q63" s="364"/>
    </row>
    <row r="64" spans="2:17" ht="15" hidden="1" x14ac:dyDescent="0.25">
      <c r="B64" s="648"/>
      <c r="C64" s="93" t="s">
        <v>1140</v>
      </c>
      <c r="D64" s="671">
        <v>1.6800000000000002E-8</v>
      </c>
      <c r="E64" s="664" t="s">
        <v>108</v>
      </c>
      <c r="G64" s="85"/>
      <c r="N64" s="19"/>
      <c r="P64" s="366"/>
      <c r="Q64" s="364"/>
    </row>
    <row r="65" spans="2:17" ht="15" hidden="1" x14ac:dyDescent="0.25">
      <c r="B65" s="648"/>
      <c r="C65" s="93" t="s">
        <v>1138</v>
      </c>
      <c r="D65" s="669">
        <v>0.39300000000000002</v>
      </c>
      <c r="E65" s="664" t="s">
        <v>1139</v>
      </c>
      <c r="G65" s="85"/>
      <c r="P65" s="366"/>
      <c r="Q65" s="364"/>
    </row>
    <row r="66" spans="2:17" ht="15" hidden="1" x14ac:dyDescent="0.25">
      <c r="B66" s="648"/>
      <c r="C66" s="93" t="s">
        <v>1137</v>
      </c>
      <c r="D66" s="671">
        <f>D64*(1+(D65/100)*(D63-20))</f>
        <v>1.6800000000000002E-8</v>
      </c>
      <c r="E66" s="664" t="s">
        <v>108</v>
      </c>
      <c r="G66" s="85"/>
      <c r="M66" s="422"/>
      <c r="N66" s="19"/>
      <c r="P66" s="366"/>
      <c r="Q66" s="364"/>
    </row>
    <row r="67" spans="2:17" ht="15" hidden="1" x14ac:dyDescent="0.25">
      <c r="B67" s="648"/>
      <c r="C67" s="93" t="s">
        <v>1143</v>
      </c>
      <c r="D67" s="653">
        <f>D66*D62*0.001*D27/(D25*0.001*D33*0.001)</f>
        <v>2.6799550788668278</v>
      </c>
      <c r="E67" s="664" t="s">
        <v>77</v>
      </c>
      <c r="G67" s="85"/>
      <c r="P67" s="366"/>
      <c r="Q67" s="364"/>
    </row>
    <row r="68" spans="2:17" ht="15" hidden="1" x14ac:dyDescent="0.25">
      <c r="B68" s="648"/>
      <c r="C68" s="8" t="s">
        <v>1226</v>
      </c>
      <c r="D68" s="683">
        <f>D54</f>
        <v>7</v>
      </c>
      <c r="E68" s="8"/>
      <c r="G68" s="85"/>
      <c r="P68" s="366"/>
      <c r="Q68" s="364"/>
    </row>
    <row r="69" spans="2:17" ht="15" hidden="1" x14ac:dyDescent="0.25">
      <c r="B69" s="648"/>
      <c r="C69" s="8" t="s">
        <v>1227</v>
      </c>
      <c r="D69" s="684">
        <f>D61</f>
        <v>0.47087475494525965</v>
      </c>
      <c r="E69" s="23" t="s">
        <v>96</v>
      </c>
      <c r="G69" s="85"/>
      <c r="P69" s="366"/>
      <c r="Q69" s="364"/>
    </row>
    <row r="70" spans="2:17" ht="15" hidden="1" x14ac:dyDescent="0.25">
      <c r="B70" s="648"/>
      <c r="C70" s="8" t="s">
        <v>1126</v>
      </c>
      <c r="D70" s="685">
        <f>D27</f>
        <v>4</v>
      </c>
      <c r="E70" s="8"/>
      <c r="G70" s="85"/>
      <c r="P70" s="366"/>
      <c r="Q70" s="364"/>
    </row>
    <row r="71" spans="2:17" ht="15" hidden="1" x14ac:dyDescent="0.25">
      <c r="B71" s="648"/>
      <c r="C71" s="8" t="s">
        <v>1228</v>
      </c>
      <c r="D71" s="701">
        <f>D9</f>
        <v>0.5</v>
      </c>
      <c r="E71" s="8" t="s">
        <v>34</v>
      </c>
      <c r="G71" s="85"/>
      <c r="P71" s="366"/>
      <c r="Q71" s="364"/>
    </row>
    <row r="72" spans="2:17" ht="15" hidden="1" x14ac:dyDescent="0.25">
      <c r="B72" s="648"/>
      <c r="C72" s="8" t="s">
        <v>1229</v>
      </c>
      <c r="D72" s="702">
        <f>D86</f>
        <v>0.1</v>
      </c>
      <c r="E72" s="8" t="s">
        <v>34</v>
      </c>
      <c r="G72" s="85"/>
      <c r="P72" s="366"/>
      <c r="Q72" s="364"/>
    </row>
    <row r="73" spans="2:17" ht="15" hidden="1" x14ac:dyDescent="0.25">
      <c r="B73" s="648"/>
      <c r="C73" s="8" t="s">
        <v>1230</v>
      </c>
      <c r="D73" s="702">
        <f>D85</f>
        <v>0.1</v>
      </c>
      <c r="E73" s="8" t="s">
        <v>34</v>
      </c>
      <c r="G73" s="85"/>
      <c r="P73" s="366"/>
      <c r="Q73" s="364"/>
    </row>
    <row r="74" spans="2:17" ht="15" hidden="1" x14ac:dyDescent="0.25">
      <c r="B74" s="648"/>
      <c r="C74" s="8" t="s">
        <v>1231</v>
      </c>
      <c r="D74" s="702">
        <f>D84</f>
        <v>0.1</v>
      </c>
      <c r="E74" s="8" t="s">
        <v>34</v>
      </c>
      <c r="G74" s="85"/>
      <c r="P74" s="366"/>
      <c r="Q74" s="364"/>
    </row>
    <row r="75" spans="2:17" ht="15" hidden="1" x14ac:dyDescent="0.25">
      <c r="B75" s="648"/>
      <c r="C75" s="8" t="s">
        <v>1232</v>
      </c>
      <c r="D75" s="702">
        <f>D83</f>
        <v>0.1</v>
      </c>
      <c r="E75" s="8" t="s">
        <v>34</v>
      </c>
      <c r="G75" s="85"/>
      <c r="P75" s="366"/>
      <c r="Q75" s="364"/>
    </row>
    <row r="76" spans="2:17" ht="15" hidden="1" x14ac:dyDescent="0.25">
      <c r="B76" s="648"/>
      <c r="C76" s="8" t="s">
        <v>1233</v>
      </c>
      <c r="D76" s="702">
        <f>D82</f>
        <v>0.20319999999999999</v>
      </c>
      <c r="E76" s="8" t="s">
        <v>34</v>
      </c>
      <c r="G76" s="85"/>
      <c r="P76" s="366"/>
      <c r="Q76" s="364"/>
    </row>
    <row r="77" spans="2:17" ht="15" hidden="1" x14ac:dyDescent="0.25">
      <c r="B77" s="648"/>
      <c r="C77" s="8" t="s">
        <v>1234</v>
      </c>
      <c r="D77" s="702">
        <f>D81</f>
        <v>1.016</v>
      </c>
      <c r="E77" s="8" t="s">
        <v>34</v>
      </c>
      <c r="G77" s="85"/>
      <c r="P77" s="366"/>
      <c r="Q77" s="364"/>
    </row>
    <row r="78" spans="2:17" ht="15" hidden="1" x14ac:dyDescent="0.25">
      <c r="B78" s="648"/>
      <c r="C78" s="8" t="s">
        <v>1235</v>
      </c>
      <c r="D78" s="702">
        <f>D80</f>
        <v>0.20319999999999999</v>
      </c>
      <c r="E78" s="8" t="s">
        <v>34</v>
      </c>
      <c r="G78" s="85"/>
      <c r="P78" s="366"/>
      <c r="Q78" s="364"/>
    </row>
    <row r="79" spans="2:17" ht="15" hidden="1" x14ac:dyDescent="0.25">
      <c r="B79" s="648"/>
      <c r="C79" s="8" t="s">
        <v>1236</v>
      </c>
      <c r="D79" s="703">
        <f>2*D71</f>
        <v>1</v>
      </c>
      <c r="E79" s="8" t="s">
        <v>34</v>
      </c>
      <c r="G79" s="85"/>
      <c r="P79" s="366"/>
      <c r="Q79" s="364"/>
    </row>
    <row r="80" spans="2:17" ht="15" hidden="1" x14ac:dyDescent="0.25">
      <c r="B80" s="648"/>
      <c r="C80" s="8" t="s">
        <v>1237</v>
      </c>
      <c r="D80" s="684">
        <f>D28</f>
        <v>0.20319999999999999</v>
      </c>
      <c r="E80" s="8" t="s">
        <v>34</v>
      </c>
      <c r="G80" s="85"/>
      <c r="P80" s="366"/>
      <c r="Q80" s="364"/>
    </row>
    <row r="81" spans="2:17" ht="15" hidden="1" x14ac:dyDescent="0.25">
      <c r="B81" s="648"/>
      <c r="C81" s="8" t="s">
        <v>1238</v>
      </c>
      <c r="D81" s="684">
        <f>D29</f>
        <v>1.016</v>
      </c>
      <c r="E81" s="8" t="s">
        <v>34</v>
      </c>
      <c r="G81" s="85"/>
      <c r="P81" s="366"/>
      <c r="Q81" s="364"/>
    </row>
    <row r="82" spans="2:17" ht="15" hidden="1" x14ac:dyDescent="0.25">
      <c r="B82" s="648"/>
      <c r="C82" s="8" t="s">
        <v>1239</v>
      </c>
      <c r="D82" s="684">
        <f>D30</f>
        <v>0.20319999999999999</v>
      </c>
      <c r="E82" s="8" t="s">
        <v>34</v>
      </c>
      <c r="G82" s="85"/>
      <c r="P82" s="366"/>
      <c r="Q82" s="364"/>
    </row>
    <row r="83" spans="2:17" ht="15" hidden="1" x14ac:dyDescent="0.25">
      <c r="B83" s="648"/>
      <c r="C83" s="8" t="s">
        <v>1240</v>
      </c>
      <c r="D83" s="684">
        <v>0.1</v>
      </c>
      <c r="E83" s="8" t="s">
        <v>34</v>
      </c>
      <c r="F83" t="s">
        <v>1401</v>
      </c>
      <c r="G83" s="85"/>
      <c r="P83" s="366"/>
      <c r="Q83" s="364"/>
    </row>
    <row r="84" spans="2:17" ht="15" hidden="1" x14ac:dyDescent="0.25">
      <c r="B84" s="648"/>
      <c r="C84" s="8" t="s">
        <v>1241</v>
      </c>
      <c r="D84" s="684">
        <v>0.1</v>
      </c>
      <c r="E84" s="8" t="s">
        <v>34</v>
      </c>
      <c r="F84" t="s">
        <v>1401</v>
      </c>
      <c r="G84" s="85"/>
      <c r="P84" s="366"/>
      <c r="Q84" s="364"/>
    </row>
    <row r="85" spans="2:17" ht="15" hidden="1" x14ac:dyDescent="0.25">
      <c r="B85" s="648"/>
      <c r="C85" s="8" t="s">
        <v>1242</v>
      </c>
      <c r="D85" s="684">
        <v>0.1</v>
      </c>
      <c r="E85" s="8" t="s">
        <v>34</v>
      </c>
      <c r="F85" t="s">
        <v>1401</v>
      </c>
      <c r="G85" s="85"/>
      <c r="P85" s="366"/>
      <c r="Q85" s="364"/>
    </row>
    <row r="86" spans="2:17" ht="15" hidden="1" x14ac:dyDescent="0.25">
      <c r="B86" s="648"/>
      <c r="C86" s="8" t="s">
        <v>1243</v>
      </c>
      <c r="D86" s="684">
        <v>0.1</v>
      </c>
      <c r="E86" s="8" t="s">
        <v>34</v>
      </c>
      <c r="F86" t="s">
        <v>1401</v>
      </c>
      <c r="G86" s="85"/>
      <c r="P86" s="366"/>
      <c r="Q86" s="364"/>
    </row>
    <row r="87" spans="2:17" ht="15" hidden="1" x14ac:dyDescent="0.25">
      <c r="B87" s="648"/>
      <c r="C87" s="8" t="s">
        <v>1244</v>
      </c>
      <c r="D87" s="684">
        <f>1.5625*D68^2/(1.67*D68^2-5.84*D68+65)</f>
        <v>0.72262859839546956</v>
      </c>
      <c r="E87" s="8"/>
      <c r="G87" s="85"/>
      <c r="P87" s="366"/>
      <c r="Q87" s="364"/>
    </row>
    <row r="88" spans="2:17" ht="15" hidden="1" x14ac:dyDescent="0.25">
      <c r="B88" s="648"/>
      <c r="C88" s="8" t="s">
        <v>1245</v>
      </c>
      <c r="D88" s="687">
        <f>(2*SUM(D95:D122))</f>
        <v>7.7548646698262669</v>
      </c>
      <c r="E88" s="8"/>
      <c r="G88" s="85"/>
      <c r="P88" s="366"/>
      <c r="Q88" s="364"/>
    </row>
    <row r="89" spans="2:17" ht="15" hidden="1" x14ac:dyDescent="0.25">
      <c r="B89" s="648"/>
      <c r="C89" s="8" t="s">
        <v>1246</v>
      </c>
      <c r="D89" s="687">
        <f>D88*D87+D70</f>
        <v>9.6038869871031007</v>
      </c>
      <c r="E89" s="8"/>
      <c r="G89" s="85"/>
      <c r="P89" s="366"/>
      <c r="Q89" s="364"/>
    </row>
    <row r="90" spans="2:17" ht="15" hidden="1" x14ac:dyDescent="0.25">
      <c r="B90" s="648"/>
      <c r="C90" s="688" t="s">
        <v>1247</v>
      </c>
      <c r="D90" s="689">
        <f>D89*D69</f>
        <v>4.5222279315741405</v>
      </c>
      <c r="E90" s="8"/>
      <c r="G90" s="85"/>
      <c r="P90" s="366"/>
      <c r="Q90" s="364"/>
    </row>
    <row r="91" spans="2:17" ht="15" hidden="1" x14ac:dyDescent="0.25">
      <c r="B91" s="648"/>
      <c r="C91" s="8" t="s">
        <v>1248</v>
      </c>
      <c r="D91" s="687">
        <f>SUM(D124:D186)</f>
        <v>-5.4359484643440474</v>
      </c>
      <c r="E91" s="8"/>
      <c r="G91" s="85"/>
      <c r="P91" s="366"/>
      <c r="Q91" s="364"/>
    </row>
    <row r="92" spans="2:17" ht="15" hidden="1" x14ac:dyDescent="0.25">
      <c r="B92" s="648"/>
      <c r="C92" s="8" t="s">
        <v>1249</v>
      </c>
      <c r="D92" s="687">
        <f>(D88+D91)*D87+D70</f>
        <v>5.6757151673641566</v>
      </c>
      <c r="E92" s="8"/>
      <c r="G92" s="85"/>
      <c r="P92" s="366"/>
      <c r="Q92" s="364"/>
    </row>
    <row r="93" spans="2:17" ht="15" hidden="1" x14ac:dyDescent="0.25">
      <c r="B93" s="648"/>
      <c r="C93" s="688" t="s">
        <v>1250</v>
      </c>
      <c r="D93" s="689">
        <f>D92*D69</f>
        <v>2.6725509885716905</v>
      </c>
      <c r="E93" s="8"/>
      <c r="G93" s="85"/>
      <c r="P93" s="366"/>
      <c r="Q93" s="364"/>
    </row>
    <row r="94" spans="2:17" ht="15" hidden="1" x14ac:dyDescent="0.25">
      <c r="B94" s="648"/>
      <c r="C94" s="8"/>
      <c r="D94" s="687"/>
      <c r="E94" s="8"/>
      <c r="G94" s="85"/>
      <c r="P94" s="366"/>
      <c r="Q94" s="364"/>
    </row>
    <row r="95" spans="2:17" ht="15" hidden="1" x14ac:dyDescent="0.25">
      <c r="B95" s="648"/>
      <c r="C95" s="8" t="s">
        <v>1251</v>
      </c>
      <c r="D95" s="687">
        <f>IF(2&gt;D70,0,1/((0.184*ABS(SUM(D80:D80))^3-0.525*(SUM(D80:D80))^2+1.038*ABS(SUM(D80:D80))+1.001)))</f>
        <v>0.83907539439398404</v>
      </c>
      <c r="E95" s="8"/>
      <c r="G95" s="85"/>
      <c r="P95" s="366"/>
      <c r="Q95" s="364"/>
    </row>
    <row r="96" spans="2:17" ht="15" hidden="1" x14ac:dyDescent="0.25">
      <c r="B96" s="648"/>
      <c r="C96" s="8" t="s">
        <v>1252</v>
      </c>
      <c r="D96" s="687">
        <f>IF(3&gt;D70,0,1/((0.184*ABS(SUM(D80:D81))^3-0.525*(SUM(D80:D81))^2+1.038*ABS(SUM(D80:D81))+1.001)))</f>
        <v>0.54957035292869783</v>
      </c>
      <c r="E96" s="8"/>
      <c r="G96" s="85"/>
      <c r="P96" s="366"/>
      <c r="Q96" s="364"/>
    </row>
    <row r="97" spans="2:17" ht="15" hidden="1" x14ac:dyDescent="0.25">
      <c r="B97" s="648"/>
      <c r="C97" s="8" t="s">
        <v>1253</v>
      </c>
      <c r="D97" s="687">
        <f>IF(4&gt;D70,0,1/((0.184*ABS(SUM(D80:D82))^3-0.525*(SUM(D80:D82))^2+1.038*ABS(SUM(D80:D82))+1.001)))</f>
        <v>0.51419681671857798</v>
      </c>
      <c r="E97" s="8"/>
      <c r="G97" s="85"/>
      <c r="P97" s="366"/>
      <c r="Q97" s="364"/>
    </row>
    <row r="98" spans="2:17" ht="15" hidden="1" x14ac:dyDescent="0.25">
      <c r="B98" s="648"/>
      <c r="C98" s="8" t="s">
        <v>1254</v>
      </c>
      <c r="D98" s="687">
        <f>IF(5&gt;D70,0,1/((0.184*ABS(SUM(D80:D83))^3-0.525*(SUM(D80:D83))^2+1.038*ABS(SUM(D80:D83))+1.001)))</f>
        <v>0</v>
      </c>
      <c r="E98" s="8"/>
      <c r="G98" s="85"/>
      <c r="P98" s="366"/>
      <c r="Q98" s="364"/>
    </row>
    <row r="99" spans="2:17" ht="15" hidden="1" x14ac:dyDescent="0.25">
      <c r="B99" s="648"/>
      <c r="C99" s="8" t="s">
        <v>1255</v>
      </c>
      <c r="D99" s="687">
        <f>IF(6&gt;D70,0,1/((0.184*ABS(SUM(D80:D84))^3-0.525*(SUM(D80:D84))^2+1.038*ABS(SUM(D80:D84))+1.001)))</f>
        <v>0</v>
      </c>
      <c r="E99" s="8"/>
      <c r="G99" s="85"/>
      <c r="P99" s="366"/>
      <c r="Q99" s="364"/>
    </row>
    <row r="100" spans="2:17" ht="15" hidden="1" x14ac:dyDescent="0.25">
      <c r="B100" s="648"/>
      <c r="C100" s="8" t="s">
        <v>1256</v>
      </c>
      <c r="D100" s="687">
        <f>IF(7&gt;D70,0,1/((0.184*ABS(SUM(D80:D85))^3-0.525*(SUM(D80:D85))^2+1.038*ABS(SUM(D80:D85))+1.001)))</f>
        <v>0</v>
      </c>
      <c r="E100" s="8"/>
      <c r="G100" s="85"/>
      <c r="P100" s="366"/>
      <c r="Q100" s="364"/>
    </row>
    <row r="101" spans="2:17" ht="15" hidden="1" x14ac:dyDescent="0.25">
      <c r="B101" s="648"/>
      <c r="C101" s="8" t="s">
        <v>1257</v>
      </c>
      <c r="D101" s="687">
        <f>IF(8&gt;D70,0,1/((0.184*ABS(SUM(D80:D86))^3-0.525*(SUM(D80:D86))^2+1.038*ABS(SUM(D80:D86))+1.001)))</f>
        <v>0</v>
      </c>
      <c r="E101" s="8"/>
      <c r="G101" s="85"/>
      <c r="P101" s="366"/>
      <c r="Q101" s="364"/>
    </row>
    <row r="102" spans="2:17" ht="15" hidden="1" x14ac:dyDescent="0.25">
      <c r="B102" s="648"/>
      <c r="C102" s="8" t="s">
        <v>1258</v>
      </c>
      <c r="D102" s="687">
        <f>IF(3&gt;D70,0,1/((0.184*ABS(SUM(D81:D81))^3-0.525*(SUM(D81:D81))^2+1.038*ABS(SUM(D81:D81))+1.001)))</f>
        <v>0.58594402354919184</v>
      </c>
      <c r="E102" s="8"/>
      <c r="G102" s="85"/>
      <c r="P102" s="366"/>
      <c r="Q102" s="364"/>
    </row>
    <row r="103" spans="2:17" ht="15" hidden="1" x14ac:dyDescent="0.25">
      <c r="B103" s="648"/>
      <c r="C103" s="8" t="s">
        <v>1259</v>
      </c>
      <c r="D103" s="687">
        <f>IF(4&gt;D70,0,1/((0.184*ABS(SUM(D81:D82))^3-0.525*(SUM(D81:D82))^2+1.038*ABS(SUM(D81:D82))+1.001)))</f>
        <v>0.54957035292869783</v>
      </c>
      <c r="E103" s="8"/>
      <c r="G103" s="85"/>
      <c r="P103" s="366"/>
      <c r="Q103" s="364"/>
    </row>
    <row r="104" spans="2:17" ht="15" hidden="1" x14ac:dyDescent="0.25">
      <c r="B104" s="648"/>
      <c r="C104" s="8" t="s">
        <v>1260</v>
      </c>
      <c r="D104" s="687">
        <f>IF(5&gt;D70,0,1/((0.184*ABS(SUM(D81:D83))^3-0.525*(SUM(D81:D83))^2+1.038*ABS(SUM(D81:D83))+1.001)))</f>
        <v>0</v>
      </c>
      <c r="E104" s="8"/>
      <c r="G104" s="85"/>
      <c r="P104" s="366"/>
      <c r="Q104" s="364"/>
    </row>
    <row r="105" spans="2:17" ht="15" hidden="1" x14ac:dyDescent="0.25">
      <c r="B105" s="648"/>
      <c r="C105" s="8" t="s">
        <v>1261</v>
      </c>
      <c r="D105" s="687">
        <f>IF(6&gt;D70,0,1/((0.184*ABS(SUM(D81:D84))^3-0.525*(SUM(D81:D84))^2+1.038*ABS(SUM(D81:D84))+1.001)))</f>
        <v>0</v>
      </c>
      <c r="E105" s="8"/>
      <c r="G105" s="85"/>
      <c r="P105" s="366"/>
      <c r="Q105" s="364"/>
    </row>
    <row r="106" spans="2:17" ht="15" hidden="1" x14ac:dyDescent="0.25">
      <c r="B106" s="648"/>
      <c r="C106" s="8" t="s">
        <v>1262</v>
      </c>
      <c r="D106" s="687">
        <f>IF(7&gt;D70,0,1/((0.184*ABS(SUM(D81:D85))^3-0.525*(SUM(D81:D85))^2+1.038*ABS(SUM(D81:D85))+1.001)))</f>
        <v>0</v>
      </c>
      <c r="E106" s="8"/>
      <c r="G106" s="85"/>
      <c r="P106" s="366"/>
      <c r="Q106" s="364"/>
    </row>
    <row r="107" spans="2:17" ht="15" hidden="1" x14ac:dyDescent="0.25">
      <c r="B107" s="648"/>
      <c r="C107" s="8" t="s">
        <v>1263</v>
      </c>
      <c r="D107" s="687">
        <f>IF(8&gt;D70,0,1/((0.184*ABS(SUM(D81:D86))^3-0.525*(SUM(D81:D86))^2+1.038*ABS(SUM(D81:D86))+1.001)))</f>
        <v>0</v>
      </c>
      <c r="E107" s="8"/>
      <c r="G107" s="85"/>
      <c r="P107" s="366"/>
      <c r="Q107" s="364"/>
    </row>
    <row r="108" spans="2:17" ht="15" hidden="1" x14ac:dyDescent="0.25">
      <c r="B108" s="648"/>
      <c r="C108" s="8" t="s">
        <v>1264</v>
      </c>
      <c r="D108" s="687">
        <f>IF(4&gt;D70,0,1/((0.184*ABS(SUM(D82:D82))^3-0.525*(SUM(D82:D82))^2+1.038*ABS(SUM(D82:D82))+1.001)))</f>
        <v>0.83907539439398404</v>
      </c>
      <c r="E108" s="8"/>
      <c r="G108" s="85"/>
      <c r="P108" s="366"/>
      <c r="Q108" s="364"/>
    </row>
    <row r="109" spans="2:17" ht="15" hidden="1" x14ac:dyDescent="0.25">
      <c r="B109" s="648"/>
      <c r="C109" s="8" t="s">
        <v>1265</v>
      </c>
      <c r="D109" s="687">
        <f>IF(5&gt;D70,0,1/((0.184*ABS(SUM(D82:D83))^3-0.525*(SUM(D82:D83))^2+1.038*ABS(SUM(D82:D83))+1.001)))</f>
        <v>0</v>
      </c>
      <c r="E109" s="8"/>
      <c r="G109" s="85"/>
      <c r="P109" s="366"/>
      <c r="Q109" s="364"/>
    </row>
    <row r="110" spans="2:17" ht="15" hidden="1" x14ac:dyDescent="0.25">
      <c r="B110" s="648"/>
      <c r="C110" s="8" t="s">
        <v>1266</v>
      </c>
      <c r="D110" s="687">
        <f>IF(6&gt;D70,0,1/((0.184*ABS(SUM(D82:D84))^3-0.525*(SUM(D82:D84))^2+1.038*ABS(SUM(D82:D84))+1.001)))</f>
        <v>0</v>
      </c>
      <c r="E110" s="8"/>
      <c r="G110" s="85"/>
      <c r="P110" s="366"/>
      <c r="Q110" s="364"/>
    </row>
    <row r="111" spans="2:17" ht="15" hidden="1" x14ac:dyDescent="0.25">
      <c r="B111" s="648"/>
      <c r="C111" s="8" t="s">
        <v>1267</v>
      </c>
      <c r="D111" s="687">
        <f>IF(7&gt;D70,0,1/((0.184*ABS(SUM(D82:D85))^3-0.525*(SUM(D82:D85))^2+1.038*ABS(SUM(D82:D85))+1.001)))</f>
        <v>0</v>
      </c>
      <c r="E111" s="8"/>
      <c r="G111" s="85"/>
      <c r="P111" s="366"/>
      <c r="Q111" s="364"/>
    </row>
    <row r="112" spans="2:17" ht="15" hidden="1" x14ac:dyDescent="0.25">
      <c r="B112" s="648"/>
      <c r="C112" s="8" t="s">
        <v>1268</v>
      </c>
      <c r="D112" s="687">
        <f>IF(8&gt;D70,0,1/((0.184*ABS(SUM(D82:D86))^3-0.525*(SUM(D82:D86))^2+1.038*ABS(SUM(D82:D86))+1.001)))</f>
        <v>0</v>
      </c>
      <c r="E112" s="8"/>
      <c r="G112" s="85"/>
      <c r="P112" s="366"/>
      <c r="Q112" s="364"/>
    </row>
    <row r="113" spans="2:17" ht="15" hidden="1" x14ac:dyDescent="0.25">
      <c r="B113" s="648"/>
      <c r="C113" s="8" t="s">
        <v>1269</v>
      </c>
      <c r="D113" s="687">
        <f>IF(5&gt;D70,0,1/((0.184*ABS(SUM(D83:D83))^3-0.525*(SUM(D83:D83))^2+1.038*ABS(SUM(D83:D83))+1.001)))</f>
        <v>0</v>
      </c>
      <c r="E113" s="8"/>
      <c r="G113" s="85"/>
      <c r="P113" s="366"/>
      <c r="Q113" s="364"/>
    </row>
    <row r="114" spans="2:17" ht="15" hidden="1" x14ac:dyDescent="0.25">
      <c r="B114" s="648"/>
      <c r="C114" s="8" t="s">
        <v>1270</v>
      </c>
      <c r="D114" s="687">
        <f>IF(6&gt;D70,0,1/((0.184*ABS(SUM(D83:D84))^3-0.525*(SUM(D83:D84))^2+1.038*ABS(SUM(D83:D84))+1.001)))</f>
        <v>0</v>
      </c>
      <c r="E114" s="8"/>
      <c r="G114" s="85"/>
      <c r="P114" s="366"/>
      <c r="Q114" s="364"/>
    </row>
    <row r="115" spans="2:17" ht="15" hidden="1" x14ac:dyDescent="0.25">
      <c r="B115" s="648"/>
      <c r="C115" s="8" t="s">
        <v>1271</v>
      </c>
      <c r="D115" s="687">
        <f>IF(7&gt;D70,0,1/((0.184*ABS(SUM(D83:D85))^3-0.525*(SUM(D83:D85))^2+1.038*ABS(SUM(D83:D85))+1.001)))</f>
        <v>0</v>
      </c>
      <c r="E115" s="8"/>
      <c r="G115" s="85"/>
      <c r="P115" s="366"/>
      <c r="Q115" s="364"/>
    </row>
    <row r="116" spans="2:17" ht="15" hidden="1" x14ac:dyDescent="0.25">
      <c r="B116" s="648"/>
      <c r="C116" s="8" t="s">
        <v>1272</v>
      </c>
      <c r="D116" s="687">
        <f>IF(8&gt;D70,0,1/((0.184*ABS(SUM(D83:D86))^3-0.525*(SUM(D83:D86))^2+1.038*ABS(SUM(D83:D86))+1.001)))</f>
        <v>0</v>
      </c>
      <c r="E116" s="8"/>
      <c r="G116" s="85"/>
      <c r="P116" s="366"/>
      <c r="Q116" s="364"/>
    </row>
    <row r="117" spans="2:17" ht="15" hidden="1" x14ac:dyDescent="0.25">
      <c r="B117" s="648"/>
      <c r="C117" s="8" t="s">
        <v>1273</v>
      </c>
      <c r="D117" s="687">
        <f>IF(6&gt;D70,0,1/((0.184*ABS(SUM(D84:D84))^3-0.525*(SUM(D84:D84))^2+1.038*ABS(SUM(D84:D84))+1.001)))</f>
        <v>0</v>
      </c>
      <c r="E117" s="8"/>
      <c r="G117" s="85"/>
      <c r="P117" s="366"/>
      <c r="Q117" s="364"/>
    </row>
    <row r="118" spans="2:17" ht="15" hidden="1" x14ac:dyDescent="0.25">
      <c r="B118" s="648"/>
      <c r="C118" s="8" t="s">
        <v>1274</v>
      </c>
      <c r="D118" s="687">
        <f>IF(7&gt;D70,0,1/((0.184*ABS(SUM(D84:D85))^3-0.525*(SUM(D84:D85))^2+1.038*ABS(SUM(D84:D85))+1.001)))</f>
        <v>0</v>
      </c>
      <c r="E118" s="8"/>
      <c r="G118" s="85"/>
      <c r="P118" s="366"/>
      <c r="Q118" s="364"/>
    </row>
    <row r="119" spans="2:17" ht="15" hidden="1" x14ac:dyDescent="0.25">
      <c r="B119" s="648"/>
      <c r="C119" s="8" t="s">
        <v>1275</v>
      </c>
      <c r="D119" s="687">
        <f>IF(8&gt;D70,0,1/((0.184*ABS(SUM(D84:D86))^3-0.525*(SUM(D84:D86))^2+1.038*ABS(SUM(D84:D86))+1.001)))</f>
        <v>0</v>
      </c>
      <c r="E119" s="8"/>
      <c r="G119" s="85"/>
      <c r="P119" s="366"/>
      <c r="Q119" s="364"/>
    </row>
    <row r="120" spans="2:17" ht="15" hidden="1" x14ac:dyDescent="0.25">
      <c r="B120" s="648"/>
      <c r="C120" s="8" t="s">
        <v>1276</v>
      </c>
      <c r="D120" s="687">
        <f>IF(7&gt;D70,0,1/((0.184*ABS(SUM(D85:D85))^3-0.525*(SUM(D85:D85))^2+1.038*ABS(SUM(D85:D85))+1.001)))</f>
        <v>0</v>
      </c>
      <c r="E120" s="8"/>
      <c r="G120" s="85"/>
      <c r="P120" s="366"/>
      <c r="Q120" s="364"/>
    </row>
    <row r="121" spans="2:17" ht="15" hidden="1" x14ac:dyDescent="0.25">
      <c r="B121" s="648"/>
      <c r="C121" s="8" t="s">
        <v>1277</v>
      </c>
      <c r="D121" s="687">
        <f>IF(8&gt;D70,0,1/((0.184*ABS(SUM(D85:D86))^3-0.525*(SUM(D85:D86))^2+1.038*ABS(SUM(D85:D86))+1.001)))</f>
        <v>0</v>
      </c>
      <c r="E121" s="8"/>
      <c r="G121" s="85"/>
      <c r="P121" s="366"/>
      <c r="Q121" s="364"/>
    </row>
    <row r="122" spans="2:17" ht="15" hidden="1" x14ac:dyDescent="0.25">
      <c r="B122" s="648"/>
      <c r="C122" s="8" t="s">
        <v>1278</v>
      </c>
      <c r="D122" s="687">
        <f>IF(8&gt;D70,0,1/((0.184*ABS(SUM(D86:D86))^3-0.525*(SUM(D86:D86))^2+1.038*ABS(SUM(D86:D86))+1.001)))</f>
        <v>0</v>
      </c>
      <c r="E122" s="8"/>
      <c r="G122" s="85"/>
      <c r="P122" s="366"/>
      <c r="Q122" s="364"/>
    </row>
    <row r="123" spans="2:17" ht="15" hidden="1" x14ac:dyDescent="0.25">
      <c r="B123" s="648"/>
      <c r="C123" s="8"/>
      <c r="D123" s="687"/>
      <c r="E123" s="8"/>
      <c r="G123" s="85"/>
      <c r="P123" s="366"/>
      <c r="Q123" s="364"/>
    </row>
    <row r="124" spans="2:17" ht="15" hidden="1" x14ac:dyDescent="0.25">
      <c r="B124" s="648"/>
      <c r="C124" s="8" t="s">
        <v>1279</v>
      </c>
      <c r="D124" s="687">
        <f>IF(1&gt;D70,0,-1/((0.184*ABS(SUM(D79:D79))^3-0.525*(SUM(D79:D79))^2+1.038*ABS(SUM(D79:D79))+1.001)))</f>
        <v>-0.58892815076560656</v>
      </c>
      <c r="E124" s="8"/>
      <c r="G124" s="85"/>
      <c r="P124" s="366"/>
      <c r="Q124" s="364"/>
    </row>
    <row r="125" spans="2:17" ht="15" hidden="1" x14ac:dyDescent="0.25">
      <c r="B125" s="648"/>
      <c r="C125" s="8" t="s">
        <v>1280</v>
      </c>
      <c r="D125" s="687">
        <f>IF(2&gt;D70,0,-1/((0.184*ABS(SUM(D79:D80))^3-0.525*(SUM(D79:D80))^2+1.038*ABS(SUM(D79:D80))+1.001)))</f>
        <v>-0.55236819802929826</v>
      </c>
      <c r="E125" s="8"/>
      <c r="G125" s="85"/>
      <c r="P125" s="366"/>
      <c r="Q125" s="364"/>
    </row>
    <row r="126" spans="2:17" ht="15" hidden="1" x14ac:dyDescent="0.25">
      <c r="B126" s="648"/>
      <c r="C126" s="8" t="s">
        <v>1281</v>
      </c>
      <c r="D126" s="687">
        <f>IF(3&gt;D70,0,-1/((0.184*ABS(SUM(D79:D81))^3-0.525*(SUM(D79:D81))^2+1.038*ABS(SUM(D79:D81))+1.001)))</f>
        <v>-0.3663055591516397</v>
      </c>
      <c r="E126" s="8"/>
      <c r="G126" s="85"/>
      <c r="P126" s="366"/>
      <c r="Q126" s="364"/>
    </row>
    <row r="127" spans="2:17" ht="15" hidden="1" x14ac:dyDescent="0.25">
      <c r="B127" s="648"/>
      <c r="C127" s="8" t="s">
        <v>1282</v>
      </c>
      <c r="D127" s="687">
        <f>IF(4&gt;D70,0,-1/((0.184*ABS(SUM(D79:D82))^3-0.525*(SUM(D79:D82))^2+1.038*ABS(SUM(D79:D82))+1.001)))</f>
        <v>-0.32784264399765972</v>
      </c>
      <c r="E127" s="8"/>
      <c r="G127" s="85"/>
      <c r="P127" s="366"/>
      <c r="Q127" s="364"/>
    </row>
    <row r="128" spans="2:17" ht="15" hidden="1" x14ac:dyDescent="0.25">
      <c r="B128" s="648"/>
      <c r="C128" s="8" t="s">
        <v>1283</v>
      </c>
      <c r="D128" s="687">
        <f>IF(5&gt;D70,0,-1/((0.184*ABS(SUM(D79:D83))^3-0.525*(SUM(D79:D83))^2+1.038*ABS(SUM(D79:D83))+1.001)))</f>
        <v>0</v>
      </c>
      <c r="E128" s="8"/>
      <c r="G128" s="85"/>
      <c r="P128" s="366"/>
      <c r="Q128" s="364"/>
    </row>
    <row r="129" spans="2:17" ht="15" hidden="1" x14ac:dyDescent="0.25">
      <c r="B129" s="648"/>
      <c r="C129" s="8" t="s">
        <v>1284</v>
      </c>
      <c r="D129" s="687">
        <f>IF(6&gt;D70,0,-1/((0.184*ABS(SUM(D79:D84))^3-0.525*(SUM(D79:D84))^2+1.038*ABS(SUM(D79:D84))+1.001)))</f>
        <v>0</v>
      </c>
      <c r="E129" s="8"/>
      <c r="G129" s="85"/>
      <c r="P129" s="366"/>
      <c r="Q129" s="364"/>
    </row>
    <row r="130" spans="2:17" ht="15" hidden="1" x14ac:dyDescent="0.25">
      <c r="B130" s="648"/>
      <c r="C130" s="8" t="s">
        <v>1285</v>
      </c>
      <c r="D130" s="687">
        <f>IF(7&gt;D70,0,-1/((0.184*ABS(SUM(D79:D85))^3-0.525*(SUM(D79:D85))^2+1.038*ABS(SUM(D79:D85))+1.001)))</f>
        <v>0</v>
      </c>
      <c r="E130" s="8"/>
      <c r="G130" s="85"/>
      <c r="P130" s="366"/>
      <c r="Q130" s="364"/>
    </row>
    <row r="131" spans="2:17" ht="15" hidden="1" x14ac:dyDescent="0.25">
      <c r="B131" s="648"/>
      <c r="C131" s="8" t="s">
        <v>1286</v>
      </c>
      <c r="D131" s="687">
        <f>IF(8&gt;D70,0,-1/((0.184*ABS(SUM(D79:D86))^3-0.525*(SUM(D79:D86))^2+1.038*ABS(SUM(D79:D86))+1.001)))</f>
        <v>0</v>
      </c>
      <c r="E131" s="8"/>
      <c r="G131" s="85"/>
      <c r="P131" s="366"/>
      <c r="Q131" s="364"/>
    </row>
    <row r="132" spans="2:17" ht="15" hidden="1" x14ac:dyDescent="0.25">
      <c r="B132" s="648"/>
      <c r="C132" s="8" t="s">
        <v>1287</v>
      </c>
      <c r="D132" s="687">
        <f>IF(2&gt;D70,0,-1/((0.184*ABS(SUM(D78:D79))^3-0.525*(SUM(D78:D79))^2+1.038*ABS(SUM(D78:D79))+1.001)))</f>
        <v>-0.55236819802929826</v>
      </c>
      <c r="E132" s="8"/>
      <c r="G132" s="85"/>
      <c r="P132" s="366"/>
      <c r="Q132" s="364"/>
    </row>
    <row r="133" spans="2:17" ht="15" hidden="1" x14ac:dyDescent="0.25">
      <c r="B133" s="648"/>
      <c r="C133" s="8" t="s">
        <v>1288</v>
      </c>
      <c r="D133" s="687">
        <f>IF(2&gt;D70,0,-1/((0.184*ABS(SUM(D78:D80))^3-0.525*(SUM(D78:D80))^2+1.038*ABS(SUM(D78:D80))+1.001)))</f>
        <v>-0.51699205914397361</v>
      </c>
      <c r="E133" s="8"/>
      <c r="G133" s="85"/>
      <c r="P133" s="366"/>
      <c r="Q133" s="364"/>
    </row>
    <row r="134" spans="2:17" ht="15" hidden="1" x14ac:dyDescent="0.25">
      <c r="B134" s="648"/>
      <c r="C134" s="8" t="s">
        <v>1289</v>
      </c>
      <c r="D134" s="687">
        <f>IF(3&gt;D70,0,-1/((0.184*ABS(SUM(D78:D81))^3-0.525*(SUM(D78:D81))^2+1.038*ABS(SUM(D78:D81))+1.001)))</f>
        <v>-0.32784264399765961</v>
      </c>
      <c r="E134" s="8"/>
      <c r="G134" s="85"/>
      <c r="P134" s="366"/>
      <c r="Q134" s="364"/>
    </row>
    <row r="135" spans="2:17" ht="15" hidden="1" x14ac:dyDescent="0.25">
      <c r="B135" s="648"/>
      <c r="C135" s="8" t="s">
        <v>1290</v>
      </c>
      <c r="D135" s="687">
        <f>IF(4&gt;D70,0,-1/((0.184*ABS(SUM(D78:D82))^3-0.525*(SUM(D78:D82))^2+1.038*ABS(SUM(D78:D82))+1.001)))</f>
        <v>-0.29090102542494017</v>
      </c>
      <c r="E135" s="8"/>
      <c r="G135" s="85"/>
      <c r="P135" s="366"/>
      <c r="Q135" s="364"/>
    </row>
    <row r="136" spans="2:17" ht="15" hidden="1" x14ac:dyDescent="0.25">
      <c r="B136" s="648"/>
      <c r="C136" s="8" t="s">
        <v>1291</v>
      </c>
      <c r="D136" s="687">
        <f>IF(5&gt;D70,0,-1/((0.184*ABS(SUM(D78:D83))^3-0.525*(SUM(D78:D83))^2+1.038*ABS(SUM(D78:D83))+1.001)))</f>
        <v>0</v>
      </c>
      <c r="E136" s="8"/>
      <c r="G136" s="85"/>
      <c r="P136" s="366"/>
      <c r="Q136" s="364"/>
    </row>
    <row r="137" spans="2:17" ht="15" hidden="1" x14ac:dyDescent="0.25">
      <c r="B137" s="648"/>
      <c r="C137" s="8" t="s">
        <v>1292</v>
      </c>
      <c r="D137" s="687">
        <f>IF(6&gt;D70,0,-1/((0.184*ABS(SUM(D78:D84))^3-0.525*(SUM(D78:D84))^2+1.038*ABS(SUM(D78:D84))+1.001)))</f>
        <v>0</v>
      </c>
      <c r="E137" s="8"/>
      <c r="G137" s="85"/>
      <c r="P137" s="366"/>
      <c r="Q137" s="364"/>
    </row>
    <row r="138" spans="2:17" ht="15" hidden="1" x14ac:dyDescent="0.25">
      <c r="B138" s="648"/>
      <c r="C138" s="8" t="s">
        <v>1293</v>
      </c>
      <c r="D138" s="687">
        <f>IF(7&gt;D70,0,-1/((0.184*ABS(SUM(D78:D85))^3-0.525*(SUM(D78:D85))^2+1.038*ABS(SUM(D78:D85))+1.001)))</f>
        <v>0</v>
      </c>
      <c r="E138" s="8"/>
      <c r="G138" s="85"/>
      <c r="P138" s="366"/>
      <c r="Q138" s="364"/>
    </row>
    <row r="139" spans="2:17" ht="15" hidden="1" x14ac:dyDescent="0.25">
      <c r="B139" s="648"/>
      <c r="C139" s="8" t="s">
        <v>1294</v>
      </c>
      <c r="D139" s="687">
        <f>IF(8&gt;D70,0,-1/((0.184*ABS(SUM(D78:D86))^3-0.525*(SUM(D78:D86))^2+1.038*ABS(SUM(D78:D86))+1.001)))</f>
        <v>0</v>
      </c>
      <c r="E139" s="8"/>
      <c r="G139" s="85"/>
      <c r="P139" s="366"/>
      <c r="Q139" s="364"/>
    </row>
    <row r="140" spans="2:17" ht="15" hidden="1" x14ac:dyDescent="0.25">
      <c r="B140" s="648"/>
      <c r="C140" s="8" t="s">
        <v>1295</v>
      </c>
      <c r="D140" s="687">
        <f>IF(3&gt;D70,0,-1/((0.184*ABS(SUM(D77:D79))^3-0.525*(SUM(D77:D79))^2+1.038*ABS(SUM(D77:D79))+1.001)))</f>
        <v>-0.3663055591516397</v>
      </c>
      <c r="E140" s="8"/>
      <c r="G140" s="85"/>
      <c r="P140" s="366"/>
      <c r="Q140" s="364"/>
    </row>
    <row r="141" spans="2:17" ht="15" hidden="1" x14ac:dyDescent="0.25">
      <c r="B141" s="648"/>
      <c r="C141" s="8" t="s">
        <v>1296</v>
      </c>
      <c r="D141" s="687">
        <f>IF(3&gt;D70,0,-1/((0.184*ABS(SUM(D77:D80))^3-0.525*(SUM(D77:D80))^2+1.038*ABS(SUM(D77:D80))+1.001)))</f>
        <v>-0.32784264399765972</v>
      </c>
      <c r="E141" s="8"/>
      <c r="G141" s="85"/>
      <c r="P141" s="366"/>
      <c r="Q141" s="364"/>
    </row>
    <row r="142" spans="2:17" ht="15" hidden="1" x14ac:dyDescent="0.25">
      <c r="B142" s="648"/>
      <c r="C142" s="8" t="s">
        <v>1297</v>
      </c>
      <c r="D142" s="687">
        <f>IF(3&gt;D70,0,-1/((0.184*ABS(SUM(D77:D81))^3-0.525*(SUM(D77:D81))^2+1.038*ABS(SUM(D77:D81))+1.001)))</f>
        <v>-0.17114654333727214</v>
      </c>
      <c r="E142" s="8"/>
      <c r="G142" s="85"/>
      <c r="P142" s="366"/>
      <c r="Q142" s="364"/>
    </row>
    <row r="143" spans="2:17" ht="15" hidden="1" x14ac:dyDescent="0.25">
      <c r="B143" s="648"/>
      <c r="C143" s="8" t="s">
        <v>1298</v>
      </c>
      <c r="D143" s="687">
        <f>IF(4&gt;D70,0,-1/((0.184*ABS(SUM(D77:D82))^3-0.525*(SUM(D77:D82))^2+1.038*ABS(SUM(D77:D82))+1.001)))</f>
        <v>-0.14915169503849171</v>
      </c>
      <c r="E143" s="8"/>
      <c r="G143" s="85"/>
      <c r="P143" s="366"/>
      <c r="Q143" s="364"/>
    </row>
    <row r="144" spans="2:17" ht="15" hidden="1" x14ac:dyDescent="0.25">
      <c r="B144" s="648"/>
      <c r="C144" s="8" t="s">
        <v>1299</v>
      </c>
      <c r="D144" s="687">
        <f>IF(5&gt;D70,0,-1/((0.184*ABS(SUM(D77:D83))^3-0.525*(SUM(D77:D83))^2+1.038*ABS(SUM(D77:D83))+1.001)))</f>
        <v>0</v>
      </c>
      <c r="E144" s="8"/>
      <c r="G144" s="85"/>
      <c r="P144" s="366"/>
      <c r="Q144" s="364"/>
    </row>
    <row r="145" spans="2:17" ht="15" hidden="1" x14ac:dyDescent="0.25">
      <c r="B145" s="648"/>
      <c r="C145" s="8" t="s">
        <v>1300</v>
      </c>
      <c r="D145" s="687">
        <f>IF(6&gt;D70,0,-1/((0.184*ABS(SUM(D77:D84))^3-0.525*(SUM(D77:D84))^2+1.038*ABS(SUM(D77:D84))+1.001)))</f>
        <v>0</v>
      </c>
      <c r="E145" s="8"/>
      <c r="G145" s="85"/>
      <c r="P145" s="366"/>
      <c r="Q145" s="364"/>
    </row>
    <row r="146" spans="2:17" ht="15" hidden="1" x14ac:dyDescent="0.25">
      <c r="B146" s="648"/>
      <c r="C146" s="8" t="s">
        <v>1301</v>
      </c>
      <c r="D146" s="687">
        <f>IF(7&gt;D70,0,-1/((0.184*ABS(SUM(D77:D85))^3-0.525*(SUM(D77:D85))^2+1.038*ABS(SUM(D77:D85))+1.001)))</f>
        <v>0</v>
      </c>
      <c r="E146" s="8"/>
      <c r="G146" s="85"/>
      <c r="P146" s="366"/>
      <c r="Q146" s="364"/>
    </row>
    <row r="147" spans="2:17" ht="15" hidden="1" x14ac:dyDescent="0.25">
      <c r="B147" s="648"/>
      <c r="C147" s="8" t="s">
        <v>1302</v>
      </c>
      <c r="D147" s="687">
        <f>IF(8&gt;D70,0,-1/((0.184*ABS(SUM(D77:D86))^3-0.525*(SUM(D77:D86))^2+1.038*ABS(SUM(D77:D86))+1.001)))</f>
        <v>0</v>
      </c>
      <c r="E147" s="8"/>
      <c r="G147" s="85"/>
      <c r="P147" s="366"/>
      <c r="Q147" s="364"/>
    </row>
    <row r="148" spans="2:17" ht="15" hidden="1" x14ac:dyDescent="0.25">
      <c r="B148" s="648"/>
      <c r="C148" s="8" t="s">
        <v>1303</v>
      </c>
      <c r="D148" s="687">
        <f>IF(4&gt;D70,0,-1/((0.184*ABS(SUM(D76:D79))^3-0.525*(SUM(D76:D79))^2+1.038*ABS(SUM(D76:D79))+1.001)))</f>
        <v>-0.32784264399765961</v>
      </c>
      <c r="E148" s="8"/>
      <c r="G148" s="85"/>
      <c r="P148" s="366"/>
      <c r="Q148" s="364"/>
    </row>
    <row r="149" spans="2:17" ht="15" hidden="1" x14ac:dyDescent="0.25">
      <c r="B149" s="648"/>
      <c r="C149" s="8" t="s">
        <v>1304</v>
      </c>
      <c r="D149" s="687">
        <f>IF(4&gt;D70,0,-1/((0.184*ABS(SUM(D76:D80))^3-0.525*(SUM(D76:D80))^2+1.038*ABS(SUM(D76:D80))+1.001)))</f>
        <v>-0.29090102542494017</v>
      </c>
      <c r="E149" s="8"/>
      <c r="G149" s="85"/>
      <c r="P149" s="366"/>
      <c r="Q149" s="364"/>
    </row>
    <row r="150" spans="2:17" ht="15" hidden="1" x14ac:dyDescent="0.25">
      <c r="B150" s="648"/>
      <c r="C150" s="8" t="s">
        <v>1305</v>
      </c>
      <c r="D150" s="687">
        <f>IF(4&gt;D70,0,-1/((0.184*ABS(SUM(D76:D81))^3-0.525*(SUM(D76:D81))^2+1.038*ABS(SUM(D76:D81))+1.001)))</f>
        <v>-0.14915169503849168</v>
      </c>
      <c r="E150" s="8"/>
      <c r="G150" s="85"/>
      <c r="P150" s="366"/>
      <c r="Q150" s="364"/>
    </row>
    <row r="151" spans="2:17" ht="15" hidden="1" x14ac:dyDescent="0.25">
      <c r="B151" s="648"/>
      <c r="C151" s="8" t="s">
        <v>1306</v>
      </c>
      <c r="D151" s="687">
        <f>IF(4&gt;D70,0,-1/((0.184*ABS(SUM(D76:D82))^3-0.525*(SUM(D76:D82))^2+1.038*ABS(SUM(D76:D82))+1.001)))</f>
        <v>-0.1300581798178165</v>
      </c>
      <c r="E151" s="8"/>
      <c r="G151" s="85"/>
      <c r="P151" s="366"/>
      <c r="Q151" s="364"/>
    </row>
    <row r="152" spans="2:17" ht="15" hidden="1" x14ac:dyDescent="0.25">
      <c r="B152" s="648"/>
      <c r="C152" s="8" t="s">
        <v>1307</v>
      </c>
      <c r="D152" s="687">
        <f>IF(5&gt;D70,0,-1/((0.184*ABS(SUM(D76:D83))^3-0.525*(SUM(D76:D83))^2+1.038*ABS(SUM(D76:D83))+1.001)))</f>
        <v>0</v>
      </c>
      <c r="E152" s="8"/>
      <c r="G152" s="85"/>
      <c r="P152" s="366"/>
      <c r="Q152" s="364"/>
    </row>
    <row r="153" spans="2:17" ht="15" hidden="1" x14ac:dyDescent="0.25">
      <c r="B153" s="648"/>
      <c r="C153" s="8" t="s">
        <v>1308</v>
      </c>
      <c r="D153" s="687">
        <f>IF(6&gt;D70,0,-1/((0.184*ABS(SUM(D76:D84))^3-0.525*(SUM(D76:D84))^2+1.038*ABS(SUM(D76:D84))+1.001)))</f>
        <v>0</v>
      </c>
      <c r="E153" s="8"/>
      <c r="G153" s="85"/>
      <c r="P153" s="366"/>
      <c r="Q153" s="364"/>
    </row>
    <row r="154" spans="2:17" ht="15" hidden="1" x14ac:dyDescent="0.25">
      <c r="B154" s="648"/>
      <c r="C154" s="8" t="s">
        <v>1309</v>
      </c>
      <c r="D154" s="687">
        <f>IF(7&gt;D70,0,-1/((0.184*ABS(SUM(D76:D85))^3-0.525*(SUM(D76:D85))^2+1.038*ABS(SUM(D76:D85))+1.001)))</f>
        <v>0</v>
      </c>
      <c r="E154" s="8"/>
      <c r="G154" s="85"/>
      <c r="P154" s="366"/>
      <c r="Q154" s="364"/>
    </row>
    <row r="155" spans="2:17" ht="15" hidden="1" x14ac:dyDescent="0.25">
      <c r="B155" s="648"/>
      <c r="C155" s="8" t="s">
        <v>1310</v>
      </c>
      <c r="D155" s="687">
        <f>IF(8&gt;D70,0,-1/((0.184*ABS(SUM(D76:D86))^3-0.525*(SUM(D76:D86))^2+1.038*ABS(SUM(D76:D86))+1.001)))</f>
        <v>0</v>
      </c>
      <c r="E155" s="8"/>
      <c r="G155" s="85"/>
      <c r="P155" s="366"/>
      <c r="Q155" s="364"/>
    </row>
    <row r="156" spans="2:17" ht="15" hidden="1" x14ac:dyDescent="0.25">
      <c r="B156" s="648"/>
      <c r="C156" s="8" t="s">
        <v>1311</v>
      </c>
      <c r="D156" s="687">
        <f>IF(5&gt;D70,0,-1/((0.184*ABS(SUM(D75:D79))^3-0.525*(SUM(D75:D79))^2+1.038*ABS(SUM(D75:D79))+1.001)))</f>
        <v>0</v>
      </c>
      <c r="E156" s="8"/>
      <c r="G156" s="85"/>
      <c r="P156" s="366"/>
      <c r="Q156" s="364"/>
    </row>
    <row r="157" spans="2:17" ht="15" hidden="1" x14ac:dyDescent="0.25">
      <c r="B157" s="648"/>
      <c r="C157" s="8" t="s">
        <v>1312</v>
      </c>
      <c r="D157" s="687">
        <f>IF(5&gt;D70,0,-1/((0.184*ABS(SUM(D75:D80))^3-0.525*(SUM(D75:D80))^2+1.038*ABS(SUM(D75:D80))+1.001)))</f>
        <v>0</v>
      </c>
      <c r="E157" s="8"/>
      <c r="G157" s="85"/>
      <c r="P157" s="366"/>
      <c r="Q157" s="364"/>
    </row>
    <row r="158" spans="2:17" ht="15" hidden="1" x14ac:dyDescent="0.25">
      <c r="B158" s="648"/>
      <c r="C158" s="8" t="s">
        <v>1313</v>
      </c>
      <c r="D158" s="687">
        <f>IF(5&gt;D70,0,-1/((0.184*ABS(SUM(D75:D81))^3-0.525*(SUM(D75:D81))^2+1.038*ABS(SUM(D75:D81))+1.001)))</f>
        <v>0</v>
      </c>
      <c r="E158" s="8"/>
      <c r="G158" s="85"/>
      <c r="P158" s="366"/>
      <c r="Q158" s="364"/>
    </row>
    <row r="159" spans="2:17" ht="15" hidden="1" x14ac:dyDescent="0.25">
      <c r="B159" s="648"/>
      <c r="C159" s="8" t="s">
        <v>1314</v>
      </c>
      <c r="D159" s="686">
        <f>IF(5&gt;D70,0,-1/((0.184*ABS(SUM(D75:D82))^3-0.525*(SUM(D75:D82))^2+1.038*ABS(SUM(D75:D82))+1.001)))</f>
        <v>0</v>
      </c>
      <c r="E159" s="8"/>
      <c r="G159" s="85"/>
      <c r="P159" s="366"/>
      <c r="Q159" s="364"/>
    </row>
    <row r="160" spans="2:17" ht="15" hidden="1" x14ac:dyDescent="0.25">
      <c r="B160" s="648"/>
      <c r="C160" s="8" t="s">
        <v>1315</v>
      </c>
      <c r="D160" s="686">
        <f>IF(5&gt;D70,0,-1/((0.184*ABS(SUM(D75:D83))^3-0.525*(SUM(D75:D83))^2+1.038*ABS(SUM(D75:D83))+1.001)))</f>
        <v>0</v>
      </c>
      <c r="E160" s="8"/>
      <c r="G160" s="85"/>
      <c r="P160" s="366"/>
      <c r="Q160" s="364"/>
    </row>
    <row r="161" spans="2:17" ht="15" hidden="1" x14ac:dyDescent="0.25">
      <c r="B161" s="648"/>
      <c r="C161" s="8" t="s">
        <v>1316</v>
      </c>
      <c r="D161" s="686">
        <f>IF(6&gt;D70,0,-1/((0.184*ABS(SUM(D75:D84))^3-0.525*(SUM(D75:D84))^2+1.038*ABS(SUM(D75:D84))+1.001)))</f>
        <v>0</v>
      </c>
      <c r="E161" s="8"/>
      <c r="G161" s="85"/>
      <c r="P161" s="366"/>
      <c r="Q161" s="364"/>
    </row>
    <row r="162" spans="2:17" ht="15" hidden="1" x14ac:dyDescent="0.25">
      <c r="B162" s="648"/>
      <c r="C162" s="8" t="s">
        <v>1317</v>
      </c>
      <c r="D162" s="686">
        <f>IF(7&gt;D70,0,-1/((0.184*ABS(SUM(D75:D85))^3-0.525*(SUM(D75:D85))^2+1.038*ABS(SUM(D75:D85))+1.001)))</f>
        <v>0</v>
      </c>
      <c r="E162" s="8"/>
      <c r="G162" s="85"/>
      <c r="P162" s="366"/>
      <c r="Q162" s="364"/>
    </row>
    <row r="163" spans="2:17" ht="15" hidden="1" x14ac:dyDescent="0.25">
      <c r="B163" s="648"/>
      <c r="C163" s="8" t="s">
        <v>1318</v>
      </c>
      <c r="D163" s="686">
        <f>IF(8&gt;D70,0,-1/((0.184*ABS(SUM(D75:D86))^3-0.525*(SUM(D75:D86))^2+1.038*ABS(SUM(D75:D86))+1.001)))</f>
        <v>0</v>
      </c>
      <c r="E163" s="8"/>
      <c r="G163" s="85"/>
      <c r="P163" s="366"/>
      <c r="Q163" s="364"/>
    </row>
    <row r="164" spans="2:17" ht="15" hidden="1" x14ac:dyDescent="0.25">
      <c r="B164" s="648"/>
      <c r="C164" s="8" t="s">
        <v>1319</v>
      </c>
      <c r="D164" s="686">
        <f>IF(6&gt;D70,0,-1/((0.184*ABS(SUM(D74:D79))^3-0.525*(SUM(D74:D79))^2+1.038*ABS(SUM(D74:D79))+1.001)))</f>
        <v>0</v>
      </c>
      <c r="E164" s="8"/>
      <c r="G164" s="85"/>
      <c r="P164" s="366"/>
      <c r="Q164" s="364"/>
    </row>
    <row r="165" spans="2:17" ht="15" hidden="1" x14ac:dyDescent="0.25">
      <c r="B165" s="648"/>
      <c r="C165" s="8" t="s">
        <v>1320</v>
      </c>
      <c r="D165" s="686">
        <f>IF(6&gt;D70,0,-1/((0.184*ABS(SUM(D74:D80))^3-0.525*(SUM(D74:D80))^2+1.038*ABS(SUM(D74:D80))+1.001)))</f>
        <v>0</v>
      </c>
      <c r="E165" s="8"/>
      <c r="G165" s="85"/>
      <c r="P165" s="366"/>
      <c r="Q165" s="364"/>
    </row>
    <row r="166" spans="2:17" ht="15" hidden="1" x14ac:dyDescent="0.25">
      <c r="B166" s="648"/>
      <c r="C166" s="8" t="s">
        <v>1321</v>
      </c>
      <c r="D166" s="686">
        <f>IF(6&gt;D70,0,-1/((0.184*ABS(SUM(D74:D81))^3-0.525*(SUM(D74:D81))^2+1.038*ABS(SUM(D74:D81))+1.001)))</f>
        <v>0</v>
      </c>
      <c r="E166" s="8"/>
      <c r="G166" s="85"/>
      <c r="P166" s="366"/>
      <c r="Q166" s="364"/>
    </row>
    <row r="167" spans="2:17" ht="15" hidden="1" x14ac:dyDescent="0.25">
      <c r="B167" s="648"/>
      <c r="C167" s="8" t="s">
        <v>1322</v>
      </c>
      <c r="D167" s="686">
        <f>IF(6&gt;D70,0,-1/((0.184*ABS(SUM(D74:D82))^3-0.525*(SUM(D74:D82))^2+1.038*ABS(SUM(D74:D82))+1.001)))</f>
        <v>0</v>
      </c>
      <c r="E167" s="8"/>
      <c r="G167" s="85"/>
      <c r="P167" s="366"/>
      <c r="Q167" s="364"/>
    </row>
    <row r="168" spans="2:17" ht="15" hidden="1" x14ac:dyDescent="0.25">
      <c r="B168" s="648"/>
      <c r="C168" s="8" t="s">
        <v>1323</v>
      </c>
      <c r="D168" s="686">
        <f>IF(6&gt;D70,0,-1/((0.184*ABS(SUM(D74:D83))^3-0.525*(SUM(D74:D83))^2+1.038*ABS(SUM(D74:D83))+1.001)))</f>
        <v>0</v>
      </c>
      <c r="E168" s="8"/>
      <c r="G168" s="85"/>
      <c r="P168" s="366"/>
      <c r="Q168" s="364"/>
    </row>
    <row r="169" spans="2:17" ht="15" hidden="1" x14ac:dyDescent="0.25">
      <c r="B169" s="648"/>
      <c r="C169" s="8" t="s">
        <v>1324</v>
      </c>
      <c r="D169" s="686">
        <f>IF(6&gt;D70,0,-1/((0.184*ABS(SUM(D74:D84))^3-0.525*(SUM(D74:D84))^2+1.038*ABS(SUM(D74:D84))+1.001)))</f>
        <v>0</v>
      </c>
      <c r="E169" s="8"/>
      <c r="G169" s="85"/>
      <c r="P169" s="366"/>
      <c r="Q169" s="364"/>
    </row>
    <row r="170" spans="2:17" ht="15" hidden="1" x14ac:dyDescent="0.25">
      <c r="B170" s="648"/>
      <c r="C170" s="8" t="s">
        <v>1325</v>
      </c>
      <c r="D170" s="686">
        <f>IF(7&gt;D70,0,-1/((0.184*ABS(SUM(D74:D85))^3-0.525*(SUM(D74:D85))^2+1.038*ABS(SUM(D74:D85))+1.001)))</f>
        <v>0</v>
      </c>
      <c r="E170" s="8"/>
      <c r="G170" s="85"/>
      <c r="P170" s="366"/>
      <c r="Q170" s="364"/>
    </row>
    <row r="171" spans="2:17" ht="15" hidden="1" x14ac:dyDescent="0.25">
      <c r="B171" s="648"/>
      <c r="C171" s="8" t="s">
        <v>1326</v>
      </c>
      <c r="D171" s="686">
        <f>IF(8&gt;D70,0,-1/((0.184*ABS(SUM(D74:D86))^3-0.525*(SUM(D74:D86))^2+1.038*ABS(SUM(D74:D86))+1.001)))</f>
        <v>0</v>
      </c>
      <c r="E171" s="8"/>
      <c r="G171" s="85"/>
      <c r="P171" s="366"/>
      <c r="Q171" s="364"/>
    </row>
    <row r="172" spans="2:17" ht="15" hidden="1" x14ac:dyDescent="0.25">
      <c r="B172" s="648"/>
      <c r="C172" s="8" t="s">
        <v>1327</v>
      </c>
      <c r="D172" s="686">
        <f>IF(7&gt;D70,0,-1/((0.184*ABS(SUM(D73:D79))^3-0.525*(SUM(D73:D79))^2+1.038*ABS(SUM(D73:D79))+1.001)))</f>
        <v>0</v>
      </c>
      <c r="E172" s="8"/>
      <c r="G172" s="85"/>
      <c r="P172" s="366"/>
      <c r="Q172" s="364"/>
    </row>
    <row r="173" spans="2:17" ht="15" hidden="1" x14ac:dyDescent="0.25">
      <c r="B173" s="648"/>
      <c r="C173" s="8" t="s">
        <v>1328</v>
      </c>
      <c r="D173" s="686">
        <f>IF(7&gt;D70,0,-1/((0.184*ABS(SUM(D73:D80))^3-0.525*(SUM(D73:D80))^2+1.038*ABS(SUM(D73:D80))+1.001)))</f>
        <v>0</v>
      </c>
      <c r="E173" s="8"/>
      <c r="G173" s="85"/>
      <c r="P173" s="366"/>
      <c r="Q173" s="364"/>
    </row>
    <row r="174" spans="2:17" ht="15" hidden="1" x14ac:dyDescent="0.25">
      <c r="B174" s="648"/>
      <c r="C174" s="8" t="s">
        <v>1329</v>
      </c>
      <c r="D174" s="686">
        <f>IF(7&gt;D70,0,-1/((0.184*ABS(SUM(D73:D81))^3-0.525*(SUM(D73:D81))^2+1.038*ABS(SUM(D73:D81))+1.001)))</f>
        <v>0</v>
      </c>
      <c r="E174" s="8"/>
      <c r="G174" s="85"/>
      <c r="P174" s="366"/>
      <c r="Q174" s="364"/>
    </row>
    <row r="175" spans="2:17" ht="15" hidden="1" x14ac:dyDescent="0.25">
      <c r="B175" s="648"/>
      <c r="C175" s="8" t="s">
        <v>1330</v>
      </c>
      <c r="D175" s="686">
        <f>IF(7&gt;D70,0,-1/((0.184*ABS(SUM(D73:D82))^3-0.525*(SUM(D73:D82))^2+1.038*ABS(SUM(D73:D82))+1.001)))</f>
        <v>0</v>
      </c>
      <c r="E175" s="8"/>
      <c r="G175" s="85"/>
      <c r="P175" s="366"/>
      <c r="Q175" s="364"/>
    </row>
    <row r="176" spans="2:17" ht="15" hidden="1" x14ac:dyDescent="0.25">
      <c r="B176" s="648"/>
      <c r="C176" s="8" t="s">
        <v>1331</v>
      </c>
      <c r="D176" s="686">
        <f>IF(7&gt;D70,0,-1/((0.184*ABS(SUM(D73:D83))^3-0.525*(SUM(D73:D83))^2+1.038*ABS(SUM(D73:D83))+1.001)))</f>
        <v>0</v>
      </c>
      <c r="E176" s="8"/>
      <c r="G176" s="85"/>
      <c r="P176" s="366"/>
      <c r="Q176" s="364"/>
    </row>
    <row r="177" spans="2:17" ht="15" hidden="1" x14ac:dyDescent="0.25">
      <c r="B177" s="648"/>
      <c r="C177" s="8" t="s">
        <v>1332</v>
      </c>
      <c r="D177" s="686">
        <f>IF(7&gt;D70,0,-1/((0.184*ABS(SUM(D73:D84))^3-0.525*(SUM(D73:D84))^2+1.038*ABS(SUM(D73:D84))+1.001)))</f>
        <v>0</v>
      </c>
      <c r="E177" s="8"/>
      <c r="G177" s="85"/>
      <c r="P177" s="366"/>
      <c r="Q177" s="364"/>
    </row>
    <row r="178" spans="2:17" ht="15" hidden="1" x14ac:dyDescent="0.25">
      <c r="B178" s="648"/>
      <c r="C178" s="8" t="s">
        <v>1333</v>
      </c>
      <c r="D178" s="686">
        <f>IF(7&gt;D70,0,-1/((0.184*ABS(SUM(D73:D85))^3-0.525*(SUM(D73:D85))^2+1.038*ABS(SUM(D73:D85))+1.001)))</f>
        <v>0</v>
      </c>
      <c r="E178" s="8"/>
      <c r="G178" s="85"/>
      <c r="P178" s="366"/>
      <c r="Q178" s="364"/>
    </row>
    <row r="179" spans="2:17" ht="15" hidden="1" x14ac:dyDescent="0.25">
      <c r="B179" s="648"/>
      <c r="C179" s="8" t="s">
        <v>1334</v>
      </c>
      <c r="D179" s="686">
        <f>IF(8&gt;D70,0,-1/((0.184*ABS(SUM(D73:D86))^3-0.525*(SUM(D73:D86))^2+1.038*ABS(SUM(D73:D86))+1.001)))</f>
        <v>0</v>
      </c>
      <c r="E179" s="8"/>
      <c r="G179" s="85"/>
      <c r="P179" s="366"/>
      <c r="Q179" s="364"/>
    </row>
    <row r="180" spans="2:17" ht="15" hidden="1" x14ac:dyDescent="0.25">
      <c r="B180" s="648"/>
      <c r="C180" s="8" t="s">
        <v>1335</v>
      </c>
      <c r="D180" s="686">
        <f>IF(8&gt;D70,0,-1/((0.184*ABS(SUM(D72:D80))^3-0.525*(SUM(D72:D80))^2+1.038*ABS(SUM(D72:D80))+1.001)))</f>
        <v>0</v>
      </c>
      <c r="E180" s="8"/>
      <c r="G180" s="85"/>
      <c r="P180" s="366"/>
      <c r="Q180" s="364"/>
    </row>
    <row r="181" spans="2:17" ht="15" hidden="1" x14ac:dyDescent="0.25">
      <c r="B181" s="648"/>
      <c r="C181" s="8" t="s">
        <v>1336</v>
      </c>
      <c r="D181" s="686">
        <f>IF(8&gt;D70,0,-1/((0.184*ABS(SUM(D72:D81))^3-0.525*(SUM(D72:D81))^2+1.038*ABS(SUM(D72:D81))+1.001)))</f>
        <v>0</v>
      </c>
      <c r="E181" s="8"/>
      <c r="G181" s="85"/>
      <c r="P181" s="366"/>
      <c r="Q181" s="364"/>
    </row>
    <row r="182" spans="2:17" ht="15" hidden="1" x14ac:dyDescent="0.25">
      <c r="B182" s="648"/>
      <c r="C182" s="8" t="s">
        <v>1337</v>
      </c>
      <c r="D182" s="686">
        <f>IF(8&gt;D70,0,-1/((0.184*ABS(SUM(D72:D82))^3-0.525*(SUM(D72:D82))^2+1.038*ABS(SUM(D72:D82))+1.001)))</f>
        <v>0</v>
      </c>
      <c r="E182" s="8"/>
      <c r="G182" s="85"/>
      <c r="P182" s="366"/>
      <c r="Q182" s="364"/>
    </row>
    <row r="183" spans="2:17" ht="15" hidden="1" x14ac:dyDescent="0.25">
      <c r="B183" s="648"/>
      <c r="C183" s="8" t="s">
        <v>1338</v>
      </c>
      <c r="D183" s="686">
        <f>IF(8&gt;D70,0,-1/((0.184*ABS(SUM(D72:D83))^3-0.525*(SUM(D72:D83))^2+1.038*ABS(SUM(D72:D83))+1.001)))</f>
        <v>0</v>
      </c>
      <c r="E183" s="8"/>
      <c r="G183" s="85"/>
      <c r="P183" s="366"/>
      <c r="Q183" s="364"/>
    </row>
    <row r="184" spans="2:17" ht="15" hidden="1" x14ac:dyDescent="0.25">
      <c r="B184" s="648"/>
      <c r="C184" s="8" t="s">
        <v>1339</v>
      </c>
      <c r="D184" s="686">
        <f>IF(8&gt;D70,0,-1/((0.184*ABS(SUM(D72:D84))^3-0.525*(SUM(D72:D84))^2+1.038*ABS(SUM(D72:D84))+1.001)))</f>
        <v>0</v>
      </c>
      <c r="E184" s="8"/>
      <c r="G184" s="85"/>
      <c r="P184" s="366"/>
      <c r="Q184" s="364"/>
    </row>
    <row r="185" spans="2:17" ht="15" hidden="1" x14ac:dyDescent="0.25">
      <c r="B185" s="648"/>
      <c r="C185" s="8" t="s">
        <v>1340</v>
      </c>
      <c r="D185" s="686">
        <f>IF(8&gt;D70,0,-1/((0.184*ABS(SUM(D72:D85))^3-0.525*(SUM(D72:D85))^2+1.038*ABS(SUM(D72:D85))+1.001)))</f>
        <v>0</v>
      </c>
      <c r="E185" s="8"/>
      <c r="G185" s="85"/>
      <c r="P185" s="366"/>
      <c r="Q185" s="364"/>
    </row>
    <row r="186" spans="2:17" ht="15" hidden="1" x14ac:dyDescent="0.25">
      <c r="B186" s="648"/>
      <c r="C186" s="8" t="s">
        <v>1341</v>
      </c>
      <c r="D186" s="686">
        <f>IF(8&gt;D70,0,-1/((0.184*ABS(SUM(D72:D86))^3-0.525*(SUM(D72:D86))^2+1.038*ABS(SUM(D72:D86))+1.001)))</f>
        <v>0</v>
      </c>
      <c r="E186" s="8"/>
      <c r="G186" s="85"/>
      <c r="P186" s="366"/>
      <c r="Q186" s="364"/>
    </row>
    <row r="187" spans="2:17" ht="15" hidden="1" x14ac:dyDescent="0.25">
      <c r="B187" s="648"/>
      <c r="C187" s="93"/>
      <c r="D187" s="653"/>
      <c r="E187" s="664"/>
      <c r="G187" s="85"/>
      <c r="P187" s="366"/>
      <c r="Q187" s="364"/>
    </row>
    <row r="188" spans="2:17" ht="15" hidden="1" x14ac:dyDescent="0.25">
      <c r="B188" s="648"/>
      <c r="C188" s="93" t="s">
        <v>1128</v>
      </c>
      <c r="D188" s="653">
        <f>D90</f>
        <v>4.5222279315741405</v>
      </c>
      <c r="E188" s="660" t="s">
        <v>1179</v>
      </c>
      <c r="P188" s="366"/>
      <c r="Q188" s="364"/>
    </row>
    <row r="189" spans="2:17" ht="15" hidden="1" x14ac:dyDescent="0.25">
      <c r="B189" s="648"/>
      <c r="C189" s="93" t="s">
        <v>1129</v>
      </c>
      <c r="D189" s="653">
        <f>D93</f>
        <v>2.6725509885716905</v>
      </c>
      <c r="E189" s="660" t="s">
        <v>1179</v>
      </c>
      <c r="P189" s="366"/>
      <c r="Q189" s="364"/>
    </row>
    <row r="190" spans="2:17" ht="15" hidden="1" x14ac:dyDescent="0.25">
      <c r="B190" s="648"/>
      <c r="C190" s="93"/>
      <c r="D190" s="653"/>
      <c r="E190" s="660"/>
      <c r="P190" s="366"/>
      <c r="Q190" s="364"/>
    </row>
    <row r="191" spans="2:17" ht="15" hidden="1" x14ac:dyDescent="0.25">
      <c r="B191" s="656" t="s">
        <v>1167</v>
      </c>
      <c r="C191" s="659"/>
      <c r="D191" s="652"/>
      <c r="E191" s="664"/>
      <c r="P191" s="366"/>
      <c r="Q191" s="364"/>
    </row>
    <row r="192" spans="2:17" ht="15" hidden="1" x14ac:dyDescent="0.25">
      <c r="B192" s="648"/>
      <c r="C192" s="6" t="s">
        <v>1163</v>
      </c>
      <c r="D192" s="652">
        <v>1</v>
      </c>
      <c r="E192" s="664" t="s">
        <v>243</v>
      </c>
      <c r="P192" s="366"/>
      <c r="Q192" s="364"/>
    </row>
    <row r="193" spans="2:17" ht="15" hidden="1" x14ac:dyDescent="0.25">
      <c r="B193" s="648"/>
      <c r="C193" s="93" t="s">
        <v>1165</v>
      </c>
      <c r="D193" s="652">
        <v>10</v>
      </c>
      <c r="E193" s="664" t="s">
        <v>0</v>
      </c>
      <c r="P193" s="366"/>
      <c r="Q193" s="364"/>
    </row>
    <row r="194" spans="2:17" ht="15" hidden="1" x14ac:dyDescent="0.25">
      <c r="B194" s="648"/>
      <c r="C194" s="93" t="s">
        <v>1174</v>
      </c>
      <c r="D194" s="652">
        <v>40</v>
      </c>
      <c r="E194" s="664" t="s">
        <v>0</v>
      </c>
      <c r="P194" s="366"/>
      <c r="Q194" s="364"/>
    </row>
    <row r="195" spans="2:17" ht="15" hidden="1" x14ac:dyDescent="0.25">
      <c r="B195" s="648"/>
      <c r="C195" s="93" t="s">
        <v>267</v>
      </c>
      <c r="D195" s="663">
        <v>1</v>
      </c>
      <c r="E195" s="649"/>
      <c r="P195" s="366"/>
      <c r="Q195" s="364"/>
    </row>
    <row r="196" spans="2:17" ht="15" hidden="1" x14ac:dyDescent="0.25">
      <c r="B196" s="648"/>
      <c r="C196" s="93" t="s">
        <v>1376</v>
      </c>
      <c r="D196" s="663">
        <f>400000/49</f>
        <v>8163.2653061224491</v>
      </c>
      <c r="E196" s="649" t="s">
        <v>405</v>
      </c>
      <c r="P196" s="366"/>
      <c r="Q196" s="364"/>
    </row>
    <row r="197" spans="2:17" ht="15" hidden="1" x14ac:dyDescent="0.25">
      <c r="B197" s="648"/>
      <c r="C197" s="93" t="s">
        <v>1176</v>
      </c>
      <c r="D197" s="663">
        <v>10</v>
      </c>
      <c r="E197" s="649" t="s">
        <v>1171</v>
      </c>
      <c r="P197" s="366"/>
      <c r="Q197" s="364"/>
    </row>
    <row r="198" spans="2:17" ht="15" hidden="1" x14ac:dyDescent="0.25">
      <c r="B198" s="648"/>
      <c r="C198" s="93" t="s">
        <v>1408</v>
      </c>
      <c r="D198" s="652">
        <v>0.55000000000000004</v>
      </c>
      <c r="E198" s="649" t="s">
        <v>376</v>
      </c>
      <c r="P198" s="366"/>
      <c r="Q198" s="364"/>
    </row>
    <row r="199" spans="2:17" ht="15" hidden="1" x14ac:dyDescent="0.25">
      <c r="B199" s="656" t="s">
        <v>1184</v>
      </c>
      <c r="C199" s="659"/>
      <c r="D199" s="652"/>
      <c r="E199" s="649"/>
      <c r="P199" s="366"/>
      <c r="Q199" s="364"/>
    </row>
    <row r="200" spans="2:17" ht="15" hidden="1" x14ac:dyDescent="0.25">
      <c r="B200" s="648"/>
      <c r="C200" s="93" t="s">
        <v>1185</v>
      </c>
      <c r="D200" s="653">
        <f>D193*0.95</f>
        <v>9.5</v>
      </c>
      <c r="E200" s="649" t="s">
        <v>0</v>
      </c>
      <c r="P200" s="366"/>
      <c r="Q200" s="364"/>
    </row>
    <row r="201" spans="2:17" ht="15" hidden="1" x14ac:dyDescent="0.25">
      <c r="B201" s="648"/>
      <c r="C201" s="93" t="s">
        <v>1147</v>
      </c>
      <c r="D201" s="666">
        <f>SQRT(D66/(4*PI()*PI()*10*D200))*10000</f>
        <v>2.1164741566498071E-2</v>
      </c>
      <c r="E201" s="649" t="s">
        <v>34</v>
      </c>
      <c r="P201" s="366"/>
      <c r="Q201" s="364"/>
    </row>
    <row r="202" spans="2:17" ht="15" hidden="1" x14ac:dyDescent="0.25">
      <c r="B202" s="648"/>
      <c r="C202" s="93" t="s">
        <v>1148</v>
      </c>
      <c r="D202" s="653">
        <f>D67*D33/(D201*(1-EXP(-D33/D201)))</f>
        <v>5.4519076733396012</v>
      </c>
      <c r="E202" s="664" t="s">
        <v>77</v>
      </c>
      <c r="P202" s="366"/>
      <c r="Q202" s="364"/>
    </row>
    <row r="203" spans="2:17" ht="15" hidden="1" x14ac:dyDescent="0.25">
      <c r="B203" s="648"/>
      <c r="C203" s="93" t="s">
        <v>1146</v>
      </c>
      <c r="D203" s="652">
        <f>0.001*(2*PI()*D200*D189)^2/D202</f>
        <v>4.6677808090293906</v>
      </c>
      <c r="E203" s="664" t="s">
        <v>243</v>
      </c>
      <c r="P203" s="366"/>
      <c r="Q203" s="364"/>
    </row>
    <row r="204" spans="2:17" ht="15" hidden="1" x14ac:dyDescent="0.25">
      <c r="B204" s="656" t="s">
        <v>1155</v>
      </c>
      <c r="C204" s="659"/>
      <c r="D204" s="652"/>
      <c r="E204" s="649"/>
      <c r="P204" s="366"/>
      <c r="Q204" s="364"/>
    </row>
    <row r="205" spans="2:17" ht="15" hidden="1" x14ac:dyDescent="0.25">
      <c r="B205" s="648"/>
      <c r="C205" s="93" t="s">
        <v>1152</v>
      </c>
      <c r="D205" s="652" t="s">
        <v>1151</v>
      </c>
      <c r="E205" s="649"/>
      <c r="P205" s="366"/>
      <c r="Q205" s="364"/>
    </row>
    <row r="206" spans="2:17" ht="15" hidden="1" x14ac:dyDescent="0.25">
      <c r="B206" s="648"/>
      <c r="C206" s="93" t="s">
        <v>69</v>
      </c>
      <c r="D206" s="652">
        <v>0.9</v>
      </c>
      <c r="E206" s="660" t="s">
        <v>1179</v>
      </c>
      <c r="G206" t="s">
        <v>1225</v>
      </c>
      <c r="P206" s="366"/>
      <c r="Q206" s="364"/>
    </row>
    <row r="207" spans="2:17" ht="15" hidden="1" x14ac:dyDescent="0.25">
      <c r="B207" s="648"/>
      <c r="C207" s="6" t="s">
        <v>1153</v>
      </c>
      <c r="D207" s="652">
        <v>20</v>
      </c>
      <c r="E207" s="649"/>
      <c r="P207" s="366"/>
      <c r="Q207" s="364"/>
    </row>
    <row r="208" spans="2:17" ht="15" hidden="1" x14ac:dyDescent="0.25">
      <c r="B208" s="648"/>
      <c r="C208" s="6" t="s">
        <v>1154</v>
      </c>
      <c r="D208" s="652">
        <v>3.2</v>
      </c>
      <c r="E208" s="664" t="s">
        <v>77</v>
      </c>
      <c r="P208" s="366"/>
      <c r="Q208" s="364"/>
    </row>
    <row r="209" spans="2:17" ht="15" hidden="1" x14ac:dyDescent="0.25">
      <c r="B209" s="648"/>
      <c r="C209" s="6" t="s">
        <v>1161</v>
      </c>
      <c r="D209" s="672">
        <f>IF(D203&lt;D192,1,0)</f>
        <v>0</v>
      </c>
      <c r="E209" s="664" t="s">
        <v>1162</v>
      </c>
      <c r="P209" s="366"/>
      <c r="Q209" s="364"/>
    </row>
    <row r="210" spans="2:17" ht="15" hidden="1" x14ac:dyDescent="0.25">
      <c r="B210" s="648"/>
      <c r="C210" s="6" t="s">
        <v>1220</v>
      </c>
      <c r="D210" s="672" t="str">
        <f>IF(D209=0,""," with 1µH fixed L")</f>
        <v/>
      </c>
      <c r="E210" s="664"/>
      <c r="P210" s="366"/>
      <c r="Q210" s="364"/>
    </row>
    <row r="211" spans="2:17" ht="15" hidden="1" x14ac:dyDescent="0.25">
      <c r="B211" s="656" t="s">
        <v>1168</v>
      </c>
      <c r="C211" s="673"/>
      <c r="D211" s="652"/>
      <c r="E211" s="664"/>
      <c r="P211" s="366"/>
      <c r="Q211" s="364"/>
    </row>
    <row r="212" spans="2:17" ht="15" hidden="1" x14ac:dyDescent="0.25">
      <c r="B212" s="648"/>
      <c r="C212" s="143" t="s">
        <v>1188</v>
      </c>
      <c r="D212" s="668">
        <f>1000000/((2*PI()*D200)^2*D221)</f>
        <v>105.01880036430549</v>
      </c>
      <c r="E212" s="664" t="s">
        <v>27</v>
      </c>
      <c r="P212" s="366"/>
      <c r="Q212" s="364"/>
    </row>
    <row r="213" spans="2:17" ht="15" hidden="1" x14ac:dyDescent="0.25">
      <c r="B213" s="648"/>
      <c r="C213" s="143" t="s">
        <v>1190</v>
      </c>
      <c r="D213" s="652">
        <f>D212/(10^(FLOOR(LOG(D212,10),1)))</f>
        <v>1.0501880036430549</v>
      </c>
      <c r="E213" s="664"/>
      <c r="P213" s="366"/>
      <c r="Q213" s="364"/>
    </row>
    <row r="214" spans="2:17" ht="15" hidden="1" x14ac:dyDescent="0.25">
      <c r="B214" s="648"/>
      <c r="C214" s="93" t="s">
        <v>1354</v>
      </c>
      <c r="D214" s="652">
        <f>VLOOKUP(D213,D$370:D$393,1,TRUE)</f>
        <v>1</v>
      </c>
      <c r="E214" s="649" t="s">
        <v>1357</v>
      </c>
      <c r="P214" s="366"/>
      <c r="Q214" s="364"/>
    </row>
    <row r="215" spans="2:17" ht="15" hidden="1" x14ac:dyDescent="0.25">
      <c r="B215" s="648"/>
      <c r="C215" s="93" t="s">
        <v>1355</v>
      </c>
      <c r="D215" s="652">
        <f>VLOOKUP(D213*1.07,D$370:D$393,1,TRUE)</f>
        <v>1.1000000000000001</v>
      </c>
      <c r="E215" s="649"/>
      <c r="P215" s="366"/>
      <c r="Q215" s="364"/>
    </row>
    <row r="216" spans="2:17" ht="15" hidden="1" x14ac:dyDescent="0.25">
      <c r="B216" s="648"/>
      <c r="C216" s="93" t="s">
        <v>1356</v>
      </c>
      <c r="D216" s="652">
        <f>IF(D213-D214&lt;D215-D213,D214,D215)</f>
        <v>1.1000000000000001</v>
      </c>
      <c r="E216" s="649"/>
      <c r="P216" s="366"/>
      <c r="Q216" s="364"/>
    </row>
    <row r="217" spans="2:17" ht="15" hidden="1" x14ac:dyDescent="0.25">
      <c r="B217" s="648"/>
      <c r="C217" s="143" t="s">
        <v>1189</v>
      </c>
      <c r="D217" s="668">
        <f>10^FLOOR(LOG(D212),1)*D216</f>
        <v>110.00000000000001</v>
      </c>
      <c r="E217" s="664" t="s">
        <v>27</v>
      </c>
      <c r="P217" s="366"/>
      <c r="Q217" s="364"/>
    </row>
    <row r="218" spans="2:17" ht="15" hidden="1" x14ac:dyDescent="0.25">
      <c r="B218" s="648"/>
      <c r="C218" s="143" t="s">
        <v>1380</v>
      </c>
      <c r="D218" s="663">
        <f>IF(D217&lt;5000,IF(D217&gt;50,1,0),0)</f>
        <v>1</v>
      </c>
      <c r="E218" s="664" t="s">
        <v>1162</v>
      </c>
      <c r="P218" s="366"/>
      <c r="Q218" s="364"/>
    </row>
    <row r="219" spans="2:17" ht="15" hidden="1" x14ac:dyDescent="0.25">
      <c r="B219" s="648"/>
      <c r="C219" s="6" t="s">
        <v>1156</v>
      </c>
      <c r="D219" s="652">
        <f>D206*D209+D188</f>
        <v>4.5222279315741405</v>
      </c>
      <c r="E219" s="660" t="s">
        <v>1179</v>
      </c>
      <c r="P219" s="366"/>
      <c r="Q219" s="364"/>
    </row>
    <row r="220" spans="2:17" ht="15" hidden="1" x14ac:dyDescent="0.25">
      <c r="B220" s="648"/>
      <c r="C220" s="6" t="s">
        <v>1157</v>
      </c>
      <c r="D220" s="653">
        <f>1000/(2*PI()*SQRT(D219*D217))</f>
        <v>7.1358804415174122</v>
      </c>
      <c r="E220" s="664" t="s">
        <v>0</v>
      </c>
      <c r="P220" s="366"/>
      <c r="Q220" s="364"/>
    </row>
    <row r="221" spans="2:17" ht="15" hidden="1" x14ac:dyDescent="0.25">
      <c r="B221" s="648"/>
      <c r="C221" s="6" t="s">
        <v>1158</v>
      </c>
      <c r="D221" s="652">
        <f>D206*D209+D189</f>
        <v>2.6725509885716905</v>
      </c>
      <c r="E221" s="660" t="s">
        <v>1179</v>
      </c>
      <c r="P221" s="366"/>
      <c r="Q221" s="364"/>
    </row>
    <row r="222" spans="2:17" ht="15" hidden="1" x14ac:dyDescent="0.25">
      <c r="B222" s="648"/>
      <c r="C222" s="93" t="s">
        <v>1159</v>
      </c>
      <c r="D222" s="653">
        <f>1000/(2*PI()*SQRT(D221*D217))</f>
        <v>9.2824109000344244</v>
      </c>
      <c r="E222" s="649" t="s">
        <v>0</v>
      </c>
      <c r="P222" s="366"/>
      <c r="Q222" s="364"/>
    </row>
    <row r="223" spans="2:17" ht="15" hidden="1" x14ac:dyDescent="0.25">
      <c r="B223" s="648"/>
      <c r="C223" s="93" t="s">
        <v>1187</v>
      </c>
      <c r="D223" s="653">
        <f>MAX(D222-D220,0.000000001)</f>
        <v>2.1465304585170122</v>
      </c>
      <c r="E223" s="649" t="s">
        <v>0</v>
      </c>
      <c r="P223" s="366"/>
      <c r="Q223" s="364"/>
    </row>
    <row r="224" spans="2:17" ht="15" hidden="1" x14ac:dyDescent="0.25">
      <c r="B224" s="648"/>
      <c r="C224" s="93" t="s">
        <v>1370</v>
      </c>
      <c r="D224" s="666">
        <f>SQRT(D66/(4*PI()*PI()*10*D220))*10000</f>
        <v>2.4420299724810659E-2</v>
      </c>
      <c r="E224" s="649" t="s">
        <v>34</v>
      </c>
      <c r="P224" s="366"/>
      <c r="Q224" s="364"/>
    </row>
    <row r="225" spans="2:17" ht="15" hidden="1" x14ac:dyDescent="0.25">
      <c r="B225" s="648"/>
      <c r="C225" s="93" t="s">
        <v>1369</v>
      </c>
      <c r="D225" s="653">
        <f>D67*D33/(D224*(1-EXP(-D33/D224)))</f>
        <v>5.0204388193834406</v>
      </c>
      <c r="E225" s="664" t="s">
        <v>77</v>
      </c>
      <c r="P225" s="366"/>
      <c r="Q225" s="364"/>
    </row>
    <row r="226" spans="2:17" ht="15" hidden="1" x14ac:dyDescent="0.25">
      <c r="B226" s="648"/>
      <c r="C226" s="93" t="s">
        <v>1160</v>
      </c>
      <c r="D226" s="653">
        <f>D208*D209+D202</f>
        <v>5.4519076733396012</v>
      </c>
      <c r="E226" s="664" t="s">
        <v>77</v>
      </c>
      <c r="P226" s="366"/>
      <c r="Q226" s="364"/>
    </row>
    <row r="227" spans="2:17" ht="15" hidden="1" x14ac:dyDescent="0.25">
      <c r="B227" s="648"/>
      <c r="C227" s="93" t="s">
        <v>1368</v>
      </c>
      <c r="D227" s="653">
        <f>0.001*(2*PI()*D222*D221)^2/D226</f>
        <v>4.4564067357072172</v>
      </c>
      <c r="E227" s="664" t="s">
        <v>243</v>
      </c>
      <c r="P227" s="366"/>
      <c r="Q227" s="364"/>
    </row>
    <row r="228" spans="2:17" ht="15" hidden="1" x14ac:dyDescent="0.25">
      <c r="B228" s="648"/>
      <c r="C228" s="93" t="s">
        <v>1201</v>
      </c>
      <c r="D228" s="652">
        <f>1000*(1/D225)*SQRT(D219/D217)</f>
        <v>40.386684570195001</v>
      </c>
      <c r="E228" s="664"/>
      <c r="P228" s="366"/>
      <c r="Q228" s="364"/>
    </row>
    <row r="229" spans="2:17" ht="15" hidden="1" x14ac:dyDescent="0.25">
      <c r="B229" s="648"/>
      <c r="C229" s="93" t="s">
        <v>1164</v>
      </c>
      <c r="D229" s="672">
        <f>IF(D227&lt;D192,0,1)</f>
        <v>1</v>
      </c>
      <c r="E229" s="664" t="s">
        <v>1162</v>
      </c>
      <c r="P229" s="366"/>
      <c r="Q229" s="364"/>
    </row>
    <row r="230" spans="2:17" ht="15" hidden="1" x14ac:dyDescent="0.25">
      <c r="B230" s="648"/>
      <c r="C230" s="93" t="s">
        <v>1409</v>
      </c>
      <c r="D230" s="652">
        <f>D198*PI()/(4*D227)</f>
        <v>9.693212839111387E-2</v>
      </c>
      <c r="E230" s="664" t="s">
        <v>244</v>
      </c>
      <c r="P230" s="366"/>
      <c r="Q230" s="364"/>
    </row>
    <row r="231" spans="2:17" ht="15" hidden="1" x14ac:dyDescent="0.25">
      <c r="B231" s="648"/>
      <c r="C231" s="93" t="s">
        <v>1411</v>
      </c>
      <c r="D231" s="668">
        <f>LOG(D230*200/PI())/LOG(1.160155)</f>
        <v>12.250413461520072</v>
      </c>
      <c r="E231" s="664"/>
      <c r="P231" s="366"/>
      <c r="Q231" s="364"/>
    </row>
    <row r="232" spans="2:17" ht="15" hidden="1" x14ac:dyDescent="0.25">
      <c r="B232" s="648"/>
      <c r="C232" s="93" t="s">
        <v>1410</v>
      </c>
      <c r="D232" s="663">
        <f>IF(D231&lt;0,0,IF(D231&gt;31,31,ROUND(D231,0)))</f>
        <v>12</v>
      </c>
      <c r="E232" s="664"/>
      <c r="P232" s="366"/>
      <c r="Q232" s="364"/>
    </row>
    <row r="233" spans="2:17" ht="15" hidden="1" x14ac:dyDescent="0.25">
      <c r="B233" s="648"/>
      <c r="C233" s="93" t="s">
        <v>1382</v>
      </c>
      <c r="D233" s="653" t="str">
        <f>IF(D229=1,"","Sensor RP too Low. ")</f>
        <v/>
      </c>
      <c r="E233" s="649"/>
      <c r="P233" s="366"/>
      <c r="Q233" s="364"/>
    </row>
    <row r="234" spans="2:17" ht="15" hidden="1" x14ac:dyDescent="0.25">
      <c r="B234" s="648"/>
      <c r="C234" s="93" t="s">
        <v>1169</v>
      </c>
      <c r="D234" s="653">
        <f>500/D41</f>
        <v>12.5</v>
      </c>
      <c r="E234" s="649" t="s">
        <v>1170</v>
      </c>
      <c r="P234" s="366"/>
      <c r="Q234" s="364"/>
    </row>
    <row r="235" spans="2:17" ht="15" hidden="1" x14ac:dyDescent="0.25">
      <c r="B235" s="648"/>
      <c r="C235" s="93" t="s">
        <v>1367</v>
      </c>
      <c r="D235" s="663">
        <f>40000*D234/16</f>
        <v>31250</v>
      </c>
      <c r="E235" s="649"/>
      <c r="P235" s="366"/>
      <c r="Q235" s="364"/>
    </row>
    <row r="236" spans="2:17" ht="15" hidden="1" x14ac:dyDescent="0.25">
      <c r="B236" s="648"/>
      <c r="C236" s="93" t="s">
        <v>1371</v>
      </c>
      <c r="D236" s="663">
        <f>CEILING(D228*D194/(D195*D220)/16,1)</f>
        <v>15</v>
      </c>
      <c r="E236" s="649" t="s">
        <v>949</v>
      </c>
      <c r="P236" s="366"/>
      <c r="Q236" s="364"/>
    </row>
    <row r="237" spans="2:17" ht="15" hidden="1" x14ac:dyDescent="0.25">
      <c r="B237" s="648"/>
      <c r="C237" s="93" t="s">
        <v>1175</v>
      </c>
      <c r="D237" s="668">
        <f>MAX(4096*D223/40,0.001)</f>
        <v>219.80471895214205</v>
      </c>
      <c r="E237" s="649" t="s">
        <v>1171</v>
      </c>
      <c r="P237" s="366"/>
      <c r="Q237" s="364"/>
    </row>
    <row r="238" spans="2:17" ht="15" hidden="1" x14ac:dyDescent="0.25">
      <c r="B238" s="648"/>
      <c r="C238" s="93" t="s">
        <v>1172</v>
      </c>
      <c r="D238" s="663">
        <f>CEILING(2*(10^(LOG((D223*1000000*0.01)/25317/D194,10)/-1.0023)/32)*(1.5*D222/D195),1)</f>
        <v>41</v>
      </c>
      <c r="E238" s="649" t="s">
        <v>949</v>
      </c>
      <c r="P238" s="366"/>
      <c r="Q238" s="364"/>
    </row>
    <row r="239" spans="2:17" ht="15" hidden="1" x14ac:dyDescent="0.25">
      <c r="B239" s="648"/>
      <c r="C239" s="93" t="s">
        <v>1374</v>
      </c>
      <c r="D239" s="663">
        <f>D238+D236</f>
        <v>56</v>
      </c>
      <c r="E239" s="649" t="s">
        <v>949</v>
      </c>
      <c r="P239" s="366"/>
      <c r="Q239" s="364"/>
    </row>
    <row r="240" spans="2:17" ht="15" hidden="1" x14ac:dyDescent="0.25">
      <c r="B240" s="648"/>
      <c r="C240" s="93" t="s">
        <v>1375</v>
      </c>
      <c r="D240" s="663">
        <f>(2*D239*16+8)*(D194/D195)</f>
        <v>72000</v>
      </c>
      <c r="E240" s="649" t="s">
        <v>405</v>
      </c>
      <c r="P240" s="366"/>
      <c r="Q240" s="364"/>
    </row>
    <row r="241" spans="2:17" ht="15" hidden="1" x14ac:dyDescent="0.25">
      <c r="B241" s="648"/>
      <c r="C241" s="93" t="s">
        <v>1377</v>
      </c>
      <c r="D241" s="663">
        <f>MIN(D196/2,D240)</f>
        <v>4081.6326530612246</v>
      </c>
      <c r="E241" s="649" t="s">
        <v>405</v>
      </c>
      <c r="P241" s="366"/>
      <c r="Q241" s="364"/>
    </row>
    <row r="242" spans="2:17" ht="15" hidden="1" x14ac:dyDescent="0.25">
      <c r="B242" s="648"/>
      <c r="C242" s="93" t="s">
        <v>1379</v>
      </c>
      <c r="D242" s="663">
        <f>IF(D239&lt;D235,1,0)</f>
        <v>1</v>
      </c>
      <c r="E242" s="649" t="s">
        <v>1173</v>
      </c>
      <c r="P242" s="366"/>
      <c r="Q242" s="364"/>
    </row>
    <row r="243" spans="2:17" ht="15" hidden="1" x14ac:dyDescent="0.25">
      <c r="B243" s="648"/>
      <c r="C243" s="93" t="s">
        <v>1382</v>
      </c>
      <c r="D243" s="663" t="str">
        <f>IF(D242=0,"LDC131x Max Sample Rate too low. ","")</f>
        <v/>
      </c>
      <c r="E243" s="649"/>
      <c r="P243" s="366"/>
      <c r="Q243" s="364"/>
    </row>
    <row r="244" spans="2:17" ht="15" hidden="1" x14ac:dyDescent="0.25">
      <c r="B244" s="648"/>
      <c r="C244" s="93" t="s">
        <v>1373</v>
      </c>
      <c r="D244" s="663">
        <f>IF(D237&gt;D197,1,0)</f>
        <v>1</v>
      </c>
      <c r="E244" s="649" t="s">
        <v>1173</v>
      </c>
      <c r="P244" s="366"/>
      <c r="Q244" s="364"/>
    </row>
    <row r="245" spans="2:17" ht="15" hidden="1" x14ac:dyDescent="0.25">
      <c r="B245" s="648"/>
      <c r="C245" s="93" t="s">
        <v>1382</v>
      </c>
      <c r="D245" s="663" t="str">
        <f>IF(D244=0, " LDC131x Resolution too low.","")</f>
        <v/>
      </c>
      <c r="E245" s="649"/>
      <c r="P245" s="366"/>
      <c r="Q245" s="364"/>
    </row>
    <row r="246" spans="2:17" ht="15" hidden="1" x14ac:dyDescent="0.25">
      <c r="B246" s="648"/>
      <c r="C246" s="674" t="s">
        <v>1213</v>
      </c>
      <c r="D246" s="672">
        <f>D244*D242*D229</f>
        <v>1</v>
      </c>
      <c r="E246" s="649" t="s">
        <v>1173</v>
      </c>
      <c r="P246" s="366"/>
      <c r="Q246" s="364"/>
    </row>
    <row r="247" spans="2:17" ht="15" hidden="1" x14ac:dyDescent="0.25">
      <c r="B247" s="648"/>
      <c r="C247" s="93"/>
      <c r="D247" s="654" t="str">
        <f>D243&amp;D233</f>
        <v/>
      </c>
      <c r="E247" s="373"/>
      <c r="P247" s="366"/>
      <c r="Q247" s="364"/>
    </row>
    <row r="248" spans="2:17" ht="15" hidden="1" x14ac:dyDescent="0.25">
      <c r="B248" s="656" t="s">
        <v>1183</v>
      </c>
      <c r="C248" s="659"/>
      <c r="D248" s="663"/>
      <c r="E248" s="649"/>
      <c r="P248" s="366"/>
      <c r="Q248" s="364"/>
    </row>
    <row r="249" spans="2:17" ht="15" hidden="1" x14ac:dyDescent="0.25">
      <c r="B249" s="648"/>
      <c r="C249" s="6" t="s">
        <v>1163</v>
      </c>
      <c r="D249" s="652">
        <v>0.35</v>
      </c>
      <c r="E249" s="664" t="s">
        <v>243</v>
      </c>
      <c r="P249" s="366"/>
      <c r="Q249" s="364"/>
    </row>
    <row r="250" spans="2:17" ht="15" hidden="1" x14ac:dyDescent="0.25">
      <c r="B250" s="648"/>
      <c r="C250" s="93" t="s">
        <v>1165</v>
      </c>
      <c r="D250" s="652">
        <v>30</v>
      </c>
      <c r="E250" s="664" t="s">
        <v>0</v>
      </c>
      <c r="P250" s="366"/>
      <c r="Q250" s="364"/>
    </row>
    <row r="251" spans="2:17" ht="15" hidden="1" x14ac:dyDescent="0.25">
      <c r="B251" s="648"/>
      <c r="C251" s="93" t="s">
        <v>1391</v>
      </c>
      <c r="D251" s="652">
        <v>4</v>
      </c>
      <c r="E251" s="664" t="s">
        <v>0</v>
      </c>
      <c r="P251" s="366"/>
      <c r="Q251" s="364"/>
    </row>
    <row r="252" spans="2:17" ht="15" hidden="1" x14ac:dyDescent="0.25">
      <c r="B252" s="648"/>
      <c r="C252" s="93" t="s">
        <v>1180</v>
      </c>
      <c r="D252" s="663">
        <v>500</v>
      </c>
      <c r="E252" s="649" t="s">
        <v>1181</v>
      </c>
      <c r="P252" s="366"/>
      <c r="Q252" s="364"/>
    </row>
    <row r="253" spans="2:17" ht="15" hidden="1" x14ac:dyDescent="0.25">
      <c r="B253" s="648"/>
      <c r="C253" s="93" t="s">
        <v>1196</v>
      </c>
      <c r="D253" s="663">
        <v>30</v>
      </c>
      <c r="E253" s="649"/>
      <c r="F253" s="6"/>
      <c r="G253" s="6"/>
      <c r="P253" s="366"/>
      <c r="Q253" s="364"/>
    </row>
    <row r="254" spans="2:17" ht="15" hidden="1" x14ac:dyDescent="0.25">
      <c r="B254" s="648"/>
      <c r="C254" s="93" t="s">
        <v>1381</v>
      </c>
      <c r="D254" s="663">
        <f>80*0.85</f>
        <v>68</v>
      </c>
      <c r="E254" s="649" t="s">
        <v>405</v>
      </c>
      <c r="F254" s="6"/>
      <c r="G254" s="6"/>
      <c r="P254" s="366"/>
      <c r="Q254" s="364"/>
    </row>
    <row r="255" spans="2:17" ht="15" hidden="1" x14ac:dyDescent="0.25">
      <c r="B255" s="648"/>
      <c r="C255" s="93" t="s">
        <v>1387</v>
      </c>
      <c r="D255" s="663">
        <v>30</v>
      </c>
      <c r="E255" s="649" t="s">
        <v>27</v>
      </c>
      <c r="F255" s="6"/>
      <c r="G255" s="6"/>
      <c r="P255" s="366"/>
      <c r="Q255" s="364"/>
    </row>
    <row r="256" spans="2:17" ht="15" hidden="1" x14ac:dyDescent="0.25">
      <c r="B256" s="648"/>
      <c r="C256" s="93" t="s">
        <v>1399</v>
      </c>
      <c r="D256" s="663">
        <f>160*1.25*1.08</f>
        <v>216</v>
      </c>
      <c r="E256" s="649"/>
      <c r="F256" s="6"/>
      <c r="G256" s="6"/>
      <c r="P256" s="366"/>
      <c r="Q256" s="364"/>
    </row>
    <row r="257" spans="2:17" ht="15" hidden="1" x14ac:dyDescent="0.25">
      <c r="B257" s="656" t="s">
        <v>1182</v>
      </c>
      <c r="C257" s="673"/>
      <c r="D257" s="652"/>
      <c r="E257" s="649"/>
      <c r="F257" s="6"/>
      <c r="G257" s="6"/>
      <c r="P257" s="366"/>
      <c r="Q257" s="364"/>
    </row>
    <row r="258" spans="2:17" ht="15" hidden="1" x14ac:dyDescent="0.25">
      <c r="B258" s="648"/>
      <c r="C258" s="93" t="s">
        <v>1186</v>
      </c>
      <c r="D258" s="653">
        <f>0.85*D250</f>
        <v>25.5</v>
      </c>
      <c r="E258" s="649" t="s">
        <v>0</v>
      </c>
      <c r="F258" s="6"/>
      <c r="G258" s="6"/>
      <c r="P258" s="366"/>
      <c r="Q258" s="364"/>
    </row>
    <row r="259" spans="2:17" ht="15" hidden="1" x14ac:dyDescent="0.25">
      <c r="B259" s="648"/>
      <c r="C259" s="93" t="s">
        <v>1194</v>
      </c>
      <c r="D259" s="653">
        <f>D188</f>
        <v>4.5222279315741405</v>
      </c>
      <c r="E259" s="660" t="s">
        <v>1179</v>
      </c>
      <c r="F259" s="6"/>
      <c r="G259" s="6"/>
      <c r="P259" s="366"/>
      <c r="Q259" s="364"/>
    </row>
    <row r="260" spans="2:17" ht="15" hidden="1" x14ac:dyDescent="0.25">
      <c r="B260" s="648"/>
      <c r="C260" s="93" t="s">
        <v>1193</v>
      </c>
      <c r="D260" s="653">
        <f>D189</f>
        <v>2.6725509885716905</v>
      </c>
      <c r="E260" s="660" t="s">
        <v>1179</v>
      </c>
      <c r="F260" s="6"/>
      <c r="G260" s="6"/>
      <c r="P260" s="366"/>
      <c r="Q260" s="364"/>
    </row>
    <row r="261" spans="2:17" ht="15" hidden="1" x14ac:dyDescent="0.25">
      <c r="B261" s="648"/>
      <c r="C261" s="93" t="s">
        <v>1388</v>
      </c>
      <c r="D261" s="668">
        <f>1000000/((2*PI()*D258)^2*D189)</f>
        <v>14.575850415807103</v>
      </c>
      <c r="E261" s="649" t="s">
        <v>27</v>
      </c>
      <c r="F261" s="6"/>
      <c r="G261" s="6"/>
      <c r="P261" s="366"/>
      <c r="Q261" s="364"/>
    </row>
    <row r="262" spans="2:17" ht="15" hidden="1" x14ac:dyDescent="0.25">
      <c r="B262" s="648"/>
      <c r="C262" s="93" t="s">
        <v>1389</v>
      </c>
      <c r="D262" s="668">
        <f>MAX(D261,D255)</f>
        <v>30</v>
      </c>
      <c r="E262" s="649" t="s">
        <v>27</v>
      </c>
      <c r="F262" s="6"/>
      <c r="G262" s="6"/>
      <c r="P262" s="366"/>
      <c r="Q262" s="364"/>
    </row>
    <row r="263" spans="2:17" ht="15" hidden="1" x14ac:dyDescent="0.25">
      <c r="B263" s="648"/>
      <c r="C263" s="143" t="s">
        <v>1190</v>
      </c>
      <c r="D263" s="668">
        <f>D262/(10^(FLOOR(LOG(D262,10),1)))</f>
        <v>3</v>
      </c>
      <c r="E263" s="664"/>
      <c r="F263" s="6"/>
      <c r="G263" s="6"/>
      <c r="P263" s="366"/>
      <c r="Q263" s="364"/>
    </row>
    <row r="264" spans="2:17" ht="15" hidden="1" x14ac:dyDescent="0.25">
      <c r="B264" s="648"/>
      <c r="C264" s="93" t="s">
        <v>1354</v>
      </c>
      <c r="D264" s="652">
        <f>VLOOKUP(D263,D$370:D$393,1,TRUE)</f>
        <v>3</v>
      </c>
      <c r="E264" s="649" t="s">
        <v>1357</v>
      </c>
      <c r="F264" s="6"/>
      <c r="G264" s="6"/>
      <c r="P264" s="366"/>
      <c r="Q264" s="364"/>
    </row>
    <row r="265" spans="2:17" ht="15" hidden="1" x14ac:dyDescent="0.25">
      <c r="B265" s="648"/>
      <c r="C265" s="93" t="s">
        <v>1355</v>
      </c>
      <c r="D265" s="652">
        <f>VLOOKUP(D263*1.06,D$370:D$393,1,TRUE)</f>
        <v>3</v>
      </c>
      <c r="E265" s="649"/>
      <c r="F265" s="6"/>
      <c r="G265" s="6"/>
      <c r="P265" s="366"/>
      <c r="Q265" s="364"/>
    </row>
    <row r="266" spans="2:17" ht="15" hidden="1" x14ac:dyDescent="0.25">
      <c r="B266" s="648"/>
      <c r="C266" s="93" t="s">
        <v>1356</v>
      </c>
      <c r="D266" s="652">
        <f>IF(D263-D264&lt;D265-D263,D264,D265)</f>
        <v>3</v>
      </c>
      <c r="E266" s="649"/>
      <c r="F266" s="6"/>
      <c r="G266" s="6"/>
      <c r="P266" s="366"/>
      <c r="Q266" s="364"/>
    </row>
    <row r="267" spans="2:17" ht="15" hidden="1" x14ac:dyDescent="0.25">
      <c r="B267" s="648"/>
      <c r="C267" s="143" t="s">
        <v>1189</v>
      </c>
      <c r="D267" s="668">
        <f>10^FLOOR(LOG(D262),1)*D266</f>
        <v>30</v>
      </c>
      <c r="E267" s="664" t="s">
        <v>27</v>
      </c>
      <c r="F267" s="6"/>
      <c r="G267" s="6"/>
      <c r="P267" s="366"/>
      <c r="Q267" s="364"/>
    </row>
    <row r="268" spans="2:17" ht="15" hidden="1" x14ac:dyDescent="0.25">
      <c r="B268" s="648"/>
      <c r="C268" s="143" t="s">
        <v>1386</v>
      </c>
      <c r="D268" s="663">
        <f>IF(D267&lt;5000,1,0)</f>
        <v>1</v>
      </c>
      <c r="E268" s="649" t="s">
        <v>1173</v>
      </c>
      <c r="F268" s="6"/>
      <c r="G268" s="6"/>
      <c r="P268" s="366"/>
      <c r="Q268" s="364"/>
    </row>
    <row r="269" spans="2:17" ht="15" hidden="1" x14ac:dyDescent="0.25">
      <c r="B269" s="648"/>
      <c r="C269" s="143" t="s">
        <v>1204</v>
      </c>
      <c r="D269" s="653">
        <f>1000/(2*PI()*SQRT(D259*D267))</f>
        <v>13.664170744834074</v>
      </c>
      <c r="E269" s="664" t="s">
        <v>0</v>
      </c>
      <c r="F269" s="6"/>
      <c r="G269" s="6"/>
      <c r="P269" s="366"/>
      <c r="Q269" s="364"/>
    </row>
    <row r="270" spans="2:17" ht="15" hidden="1" x14ac:dyDescent="0.25">
      <c r="B270" s="648"/>
      <c r="C270" s="143" t="s">
        <v>1197</v>
      </c>
      <c r="D270" s="653">
        <f>1000/(2*PI()*SQRT(D267*D260))</f>
        <v>17.774463642051732</v>
      </c>
      <c r="E270" s="664" t="s">
        <v>0</v>
      </c>
      <c r="F270" s="6"/>
      <c r="G270" s="6"/>
      <c r="P270" s="366"/>
      <c r="Q270" s="364"/>
    </row>
    <row r="271" spans="2:17" ht="15" hidden="1" x14ac:dyDescent="0.25">
      <c r="B271" s="648"/>
      <c r="C271" s="93" t="s">
        <v>1147</v>
      </c>
      <c r="D271" s="666">
        <f>SQRT(D66/(4*PI()*PI()*10*D270))*10000</f>
        <v>1.5473071068944282E-2</v>
      </c>
      <c r="E271" s="649" t="s">
        <v>34</v>
      </c>
      <c r="F271" s="6"/>
      <c r="G271" s="6"/>
      <c r="P271" s="366"/>
      <c r="Q271" s="364"/>
    </row>
    <row r="272" spans="2:17" ht="15" hidden="1" x14ac:dyDescent="0.25">
      <c r="B272" s="648"/>
      <c r="C272" s="93" t="s">
        <v>1148</v>
      </c>
      <c r="D272" s="652">
        <f>D67*D33/(D201*(1-EXP(-D33/D271)))</f>
        <v>4.9158050919199692</v>
      </c>
      <c r="E272" s="664" t="s">
        <v>77</v>
      </c>
      <c r="F272" s="6"/>
      <c r="G272" s="6"/>
      <c r="P272" s="366"/>
      <c r="Q272" s="364"/>
    </row>
    <row r="273" spans="2:17" ht="15" hidden="1" x14ac:dyDescent="0.25">
      <c r="B273" s="648"/>
      <c r="C273" s="93" t="s">
        <v>1146</v>
      </c>
      <c r="D273" s="652">
        <f>1000*D260/(D272*D267)</f>
        <v>18.122165400499163</v>
      </c>
      <c r="E273" s="664" t="s">
        <v>243</v>
      </c>
      <c r="F273" s="6"/>
      <c r="G273" s="6"/>
      <c r="P273" s="366"/>
      <c r="Q273" s="364"/>
    </row>
    <row r="274" spans="2:17" ht="15" hidden="1" x14ac:dyDescent="0.25">
      <c r="B274" s="648"/>
      <c r="C274" s="93" t="s">
        <v>1195</v>
      </c>
      <c r="D274" s="672">
        <f>IF(D273&gt;D249,1,0)</f>
        <v>1</v>
      </c>
      <c r="E274" s="649" t="s">
        <v>1173</v>
      </c>
      <c r="F274" s="6"/>
      <c r="G274" s="6"/>
      <c r="P274" s="366"/>
      <c r="Q274" s="364"/>
    </row>
    <row r="275" spans="2:17" ht="15" hidden="1" x14ac:dyDescent="0.25">
      <c r="B275" s="648"/>
      <c r="C275" s="93" t="s">
        <v>1394</v>
      </c>
      <c r="D275" s="653" t="str">
        <f>IF(D274=0," Sensor RP too Low.","")</f>
        <v/>
      </c>
      <c r="E275" s="649"/>
      <c r="F275" s="6"/>
      <c r="G275" s="6"/>
      <c r="P275" s="366"/>
      <c r="Q275" s="364"/>
    </row>
    <row r="276" spans="2:17" ht="15" hidden="1" x14ac:dyDescent="0.25">
      <c r="B276" s="648"/>
      <c r="C276" s="93" t="s">
        <v>1198</v>
      </c>
      <c r="D276" s="653">
        <f>1000/(2*PI()*SQRT(D267*D259))</f>
        <v>13.664170744834074</v>
      </c>
      <c r="E276" s="649" t="s">
        <v>0</v>
      </c>
      <c r="F276" s="6"/>
      <c r="G276" s="6"/>
      <c r="P276" s="366"/>
      <c r="Q276" s="364"/>
    </row>
    <row r="277" spans="2:17" ht="15" hidden="1" x14ac:dyDescent="0.25">
      <c r="B277" s="648"/>
      <c r="C277" s="93" t="s">
        <v>1390</v>
      </c>
      <c r="D277" s="672">
        <f>IF(D276&gt;D251,1,0)</f>
        <v>1</v>
      </c>
      <c r="E277" s="649" t="s">
        <v>1173</v>
      </c>
      <c r="F277" s="6"/>
      <c r="G277" s="6"/>
      <c r="P277" s="366"/>
      <c r="Q277" s="364"/>
    </row>
    <row r="278" spans="2:17" ht="15" hidden="1" x14ac:dyDescent="0.25">
      <c r="B278" s="648"/>
      <c r="C278" s="93" t="s">
        <v>1392</v>
      </c>
      <c r="D278" s="663" t="str">
        <f>IF(D277=0," Sensor Frequency too Low.","")</f>
        <v/>
      </c>
      <c r="E278" s="649"/>
      <c r="F278" s="6"/>
      <c r="G278" s="6"/>
      <c r="P278" s="366"/>
      <c r="Q278" s="364"/>
    </row>
    <row r="279" spans="2:17" ht="15" hidden="1" x14ac:dyDescent="0.25">
      <c r="B279" s="648"/>
      <c r="C279" s="93" t="s">
        <v>1199</v>
      </c>
      <c r="D279" s="653">
        <f>SQRT(D66/(4*PI()*PI()*10*D276))*10000</f>
        <v>1.7647497635772554E-2</v>
      </c>
      <c r="E279" s="649" t="s">
        <v>34</v>
      </c>
      <c r="F279" s="6"/>
      <c r="G279" s="6"/>
      <c r="P279" s="366"/>
      <c r="Q279" s="364"/>
    </row>
    <row r="280" spans="2:17" ht="15" hidden="1" x14ac:dyDescent="0.25">
      <c r="B280" s="648"/>
      <c r="C280" s="93" t="s">
        <v>1200</v>
      </c>
      <c r="D280" s="653">
        <f>D67*D33/(D201*(1-EXP(-D33/D279)))</f>
        <v>5.1089710128869186</v>
      </c>
      <c r="E280" s="664" t="s">
        <v>77</v>
      </c>
      <c r="F280" s="6"/>
      <c r="G280" s="6"/>
      <c r="P280" s="366"/>
      <c r="Q280" s="364"/>
    </row>
    <row r="281" spans="2:17" ht="15" hidden="1" x14ac:dyDescent="0.25">
      <c r="B281" s="648"/>
      <c r="C281" s="93" t="s">
        <v>1201</v>
      </c>
      <c r="D281" s="652">
        <f>1000*MAX(SQRT(D259/D267)/D280,SQRT(D260/D267)/D272)</f>
        <v>75.994499325018225</v>
      </c>
      <c r="E281" s="649"/>
      <c r="F281" s="6"/>
      <c r="G281" s="6"/>
      <c r="P281" s="366"/>
      <c r="Q281" s="364"/>
    </row>
    <row r="282" spans="2:17" ht="15" hidden="1" x14ac:dyDescent="0.25">
      <c r="B282" s="648"/>
      <c r="C282" s="93" t="s">
        <v>1207</v>
      </c>
      <c r="D282" s="663">
        <f>IF(D281&gt;D253,0,1)</f>
        <v>0</v>
      </c>
      <c r="E282" s="649" t="s">
        <v>1173</v>
      </c>
      <c r="F282" s="6"/>
      <c r="G282" s="6"/>
      <c r="P282" s="366"/>
      <c r="Q282" s="364"/>
    </row>
    <row r="283" spans="2:17" ht="15" hidden="1" x14ac:dyDescent="0.25">
      <c r="B283" s="648"/>
      <c r="C283" s="93" t="s">
        <v>1202</v>
      </c>
      <c r="D283" s="652">
        <f>IF(D282=0,((1000*SQRT(D259/D267))/30)-D280,0)</f>
        <v>7.8328187934588343</v>
      </c>
      <c r="E283" s="664" t="s">
        <v>77</v>
      </c>
      <c r="F283" s="6"/>
      <c r="G283" s="6"/>
      <c r="P283" s="366"/>
      <c r="Q283" s="364"/>
    </row>
    <row r="284" spans="2:17" ht="15" hidden="1" x14ac:dyDescent="0.25">
      <c r="B284" s="648"/>
      <c r="C284" s="93" t="s">
        <v>1382</v>
      </c>
      <c r="D284" s="652" t="str">
        <f>IF(D282=0,"Add "&amp;TEXT(D283,0.1)&amp;E283&amp;" Series R","")</f>
        <v>Add 8.1Ω Series R</v>
      </c>
      <c r="E284" s="664"/>
      <c r="F284" s="6"/>
      <c r="G284" s="6"/>
      <c r="P284" s="366"/>
      <c r="Q284" s="364"/>
    </row>
    <row r="285" spans="2:17" ht="15" hidden="1" x14ac:dyDescent="0.25">
      <c r="B285" s="648"/>
      <c r="C285" s="93" t="s">
        <v>1203</v>
      </c>
      <c r="D285" s="653">
        <f>D270-D269</f>
        <v>4.1102928972176578</v>
      </c>
      <c r="E285" s="649" t="s">
        <v>0</v>
      </c>
      <c r="F285" s="6"/>
      <c r="G285" s="6"/>
      <c r="P285" s="366"/>
      <c r="Q285" s="364"/>
    </row>
    <row r="286" spans="2:17" ht="15" hidden="1" x14ac:dyDescent="0.25">
      <c r="B286" s="648"/>
      <c r="C286" s="93" t="s">
        <v>1205</v>
      </c>
      <c r="D286" s="663">
        <f>100000*D285/D270</f>
        <v>23124.708458112444</v>
      </c>
      <c r="E286" s="649" t="s">
        <v>1181</v>
      </c>
      <c r="F286" s="6"/>
      <c r="G286" s="6"/>
      <c r="P286" s="366"/>
      <c r="Q286" s="364"/>
    </row>
    <row r="287" spans="2:17" ht="15" hidden="1" x14ac:dyDescent="0.25">
      <c r="B287" s="648"/>
      <c r="C287" s="93" t="s">
        <v>1206</v>
      </c>
      <c r="D287" s="663">
        <f>IF(D286&gt;D252,1,0)</f>
        <v>1</v>
      </c>
      <c r="E287" s="649" t="s">
        <v>1173</v>
      </c>
      <c r="F287" s="6"/>
      <c r="G287" s="6"/>
      <c r="P287" s="366"/>
      <c r="Q287" s="364"/>
    </row>
    <row r="288" spans="2:17" ht="15" hidden="1" x14ac:dyDescent="0.25">
      <c r="B288" s="648"/>
      <c r="C288" s="93" t="s">
        <v>1382</v>
      </c>
      <c r="D288" s="663" t="str">
        <f>IF(D287=0,"Sensor Δf too low","")</f>
        <v/>
      </c>
      <c r="E288" s="649"/>
      <c r="F288" s="6"/>
      <c r="G288" s="6"/>
      <c r="P288" s="366"/>
      <c r="Q288" s="364"/>
    </row>
    <row r="289" spans="2:17" ht="15" hidden="1" x14ac:dyDescent="0.25">
      <c r="B289" s="648"/>
      <c r="C289" s="93" t="s">
        <v>1398</v>
      </c>
      <c r="D289" s="663">
        <f>MIN(63,MAX(ROUND(LOG(D256/(D286*0.013),1.09),0),0))</f>
        <v>0</v>
      </c>
      <c r="E289" s="649"/>
      <c r="F289" s="6"/>
      <c r="G289" s="6"/>
      <c r="P289" s="366"/>
      <c r="Q289" s="364"/>
    </row>
    <row r="290" spans="2:17" ht="15" hidden="1" x14ac:dyDescent="0.25">
      <c r="B290" s="648"/>
      <c r="C290" s="93" t="s">
        <v>1211</v>
      </c>
      <c r="D290" s="663">
        <f>IF(D41&lt;D254,1,0)</f>
        <v>1</v>
      </c>
      <c r="E290" s="649" t="s">
        <v>1173</v>
      </c>
      <c r="F290" s="6"/>
      <c r="G290" s="6"/>
      <c r="P290" s="366"/>
      <c r="Q290" s="364"/>
    </row>
    <row r="291" spans="2:17" ht="15" hidden="1" x14ac:dyDescent="0.25">
      <c r="B291" s="648"/>
      <c r="C291" s="93" t="s">
        <v>1395</v>
      </c>
      <c r="D291" s="663" t="str">
        <f>IF(D290=0,"Sample Rate exceeds LDC2114 max","")</f>
        <v/>
      </c>
      <c r="E291" s="649"/>
      <c r="F291" s="6"/>
      <c r="G291" s="6"/>
      <c r="P291" s="366"/>
      <c r="Q291" s="364"/>
    </row>
    <row r="292" spans="2:17" ht="15" hidden="1" x14ac:dyDescent="0.25">
      <c r="B292" s="648"/>
      <c r="C292" s="93" t="s">
        <v>1208</v>
      </c>
      <c r="D292" s="672">
        <f>D287*D274*D290</f>
        <v>1</v>
      </c>
      <c r="E292" s="649" t="s">
        <v>1173</v>
      </c>
      <c r="F292" s="6"/>
      <c r="G292" s="6"/>
      <c r="P292" s="366"/>
      <c r="Q292" s="364"/>
    </row>
    <row r="293" spans="2:17" ht="15" hidden="1" x14ac:dyDescent="0.25">
      <c r="B293" s="648"/>
      <c r="C293" s="93" t="s">
        <v>1382</v>
      </c>
      <c r="D293" s="653" t="str">
        <f>D288&amp;" "&amp;D291&amp;D278&amp;D275</f>
        <v xml:space="preserve"> </v>
      </c>
      <c r="E293" s="667"/>
      <c r="F293" s="6"/>
      <c r="G293" s="6"/>
      <c r="P293" s="366"/>
      <c r="Q293" s="364"/>
    </row>
    <row r="294" spans="2:17" ht="15" hidden="1" x14ac:dyDescent="0.25">
      <c r="B294" s="656" t="s">
        <v>1349</v>
      </c>
      <c r="C294" s="659"/>
      <c r="D294" s="653"/>
      <c r="E294" s="649"/>
      <c r="F294" s="6"/>
      <c r="G294" s="6"/>
      <c r="P294" s="366"/>
      <c r="Q294" s="364"/>
    </row>
    <row r="295" spans="2:17" ht="15" hidden="1" x14ac:dyDescent="0.25">
      <c r="B295" s="648"/>
      <c r="C295" s="93" t="s">
        <v>793</v>
      </c>
      <c r="D295" s="653">
        <v>19</v>
      </c>
      <c r="E295" s="649" t="s">
        <v>0</v>
      </c>
      <c r="F295" s="6"/>
      <c r="G295" s="6"/>
      <c r="P295" s="366"/>
      <c r="Q295" s="364"/>
    </row>
    <row r="296" spans="2:17" ht="15" hidden="1" x14ac:dyDescent="0.25">
      <c r="B296" s="648"/>
      <c r="C296" s="93" t="s">
        <v>1342</v>
      </c>
      <c r="D296" s="653">
        <f>D353</f>
        <v>3.3</v>
      </c>
      <c r="E296" s="649" t="s">
        <v>377</v>
      </c>
      <c r="F296" s="6" t="s">
        <v>1343</v>
      </c>
      <c r="G296" s="6"/>
      <c r="P296" s="366"/>
      <c r="Q296" s="364"/>
    </row>
    <row r="297" spans="2:17" ht="15" hidden="1" x14ac:dyDescent="0.25">
      <c r="B297" s="648"/>
      <c r="C297" s="93" t="s">
        <v>1344</v>
      </c>
      <c r="D297" s="653">
        <f>IF(D296=1.8,4.35,6)</f>
        <v>6</v>
      </c>
      <c r="E297" s="649" t="s">
        <v>244</v>
      </c>
      <c r="F297" s="6"/>
      <c r="G297" s="6"/>
      <c r="P297" s="366"/>
      <c r="Q297" s="364"/>
    </row>
    <row r="298" spans="2:17" ht="15" hidden="1" x14ac:dyDescent="0.25">
      <c r="B298" s="648"/>
      <c r="C298" s="93" t="s">
        <v>1345</v>
      </c>
      <c r="D298" s="653">
        <f>1000/(4.83*19*D297)</f>
        <v>1.8161345392466675</v>
      </c>
      <c r="E298" s="660" t="s">
        <v>1179</v>
      </c>
      <c r="F298" s="6"/>
      <c r="G298" s="6"/>
      <c r="P298" s="366"/>
      <c r="Q298" s="364"/>
    </row>
    <row r="299" spans="2:17" ht="15" hidden="1" x14ac:dyDescent="0.25">
      <c r="B299" s="648"/>
      <c r="C299" s="93" t="s">
        <v>1346</v>
      </c>
      <c r="D299" s="653">
        <v>15</v>
      </c>
      <c r="E299" s="649" t="s">
        <v>0</v>
      </c>
      <c r="F299" s="6"/>
      <c r="G299" s="6"/>
      <c r="P299" s="366"/>
      <c r="Q299" s="364"/>
    </row>
    <row r="300" spans="2:17" ht="15" hidden="1" x14ac:dyDescent="0.25">
      <c r="B300" s="648"/>
      <c r="C300" s="93" t="s">
        <v>1347</v>
      </c>
      <c r="D300" s="653">
        <v>16</v>
      </c>
      <c r="E300" s="649" t="s">
        <v>27</v>
      </c>
      <c r="F300" s="6" t="s">
        <v>1348</v>
      </c>
      <c r="G300" s="6"/>
      <c r="P300" s="366"/>
      <c r="Q300" s="364"/>
    </row>
    <row r="301" spans="2:17" ht="15" hidden="1" x14ac:dyDescent="0.25">
      <c r="B301" s="648"/>
      <c r="C301" s="93"/>
      <c r="D301" s="653"/>
      <c r="E301" s="649"/>
      <c r="F301" s="6"/>
      <c r="G301" s="6"/>
      <c r="P301" s="366"/>
      <c r="Q301" s="364"/>
    </row>
    <row r="302" spans="2:17" ht="15" hidden="1" x14ac:dyDescent="0.25">
      <c r="B302" s="656" t="s">
        <v>1212</v>
      </c>
      <c r="C302" s="659"/>
      <c r="D302" s="653"/>
      <c r="E302" s="649"/>
      <c r="F302" s="6"/>
      <c r="G302" s="6"/>
      <c r="P302" s="366"/>
      <c r="Q302" s="364"/>
    </row>
    <row r="303" spans="2:17" ht="15" hidden="1" x14ac:dyDescent="0.25">
      <c r="B303" s="648"/>
      <c r="C303" s="93" t="s">
        <v>1359</v>
      </c>
      <c r="D303" s="653">
        <f>D189</f>
        <v>2.6725509885716905</v>
      </c>
      <c r="E303" s="660" t="s">
        <v>1179</v>
      </c>
      <c r="F303" s="6"/>
      <c r="G303" s="6"/>
      <c r="P303" s="366"/>
      <c r="Q303" s="364"/>
    </row>
    <row r="304" spans="2:17" ht="15" hidden="1" x14ac:dyDescent="0.25">
      <c r="B304" s="648"/>
      <c r="C304" s="93" t="s">
        <v>1362</v>
      </c>
      <c r="D304" s="653">
        <f>D188</f>
        <v>4.5222279315741405</v>
      </c>
      <c r="E304" s="660" t="s">
        <v>1179</v>
      </c>
      <c r="F304" s="6"/>
      <c r="G304" s="6"/>
      <c r="P304" s="366"/>
      <c r="Q304" s="364"/>
    </row>
    <row r="305" spans="2:17" ht="15" hidden="1" x14ac:dyDescent="0.25">
      <c r="B305" s="648"/>
      <c r="C305" s="93" t="s">
        <v>1350</v>
      </c>
      <c r="D305" s="672">
        <f>IF(D189&lt;D298,0,1)</f>
        <v>1</v>
      </c>
      <c r="E305" s="649" t="s">
        <v>1173</v>
      </c>
      <c r="F305" s="6"/>
      <c r="G305" s="6"/>
      <c r="P305" s="366"/>
      <c r="Q305" s="364"/>
    </row>
    <row r="306" spans="2:17" ht="15" hidden="1" x14ac:dyDescent="0.25">
      <c r="B306" s="648"/>
      <c r="C306" s="93" t="s">
        <v>1382</v>
      </c>
      <c r="D306" s="694" t="str">
        <f>IF(D305=0," LDC0851 sensor L too low.","")</f>
        <v/>
      </c>
      <c r="E306" s="649"/>
      <c r="F306" s="6"/>
      <c r="G306" s="6"/>
      <c r="P306" s="366"/>
      <c r="Q306" s="364"/>
    </row>
    <row r="307" spans="2:17" ht="15" hidden="1" x14ac:dyDescent="0.25">
      <c r="B307" s="648"/>
      <c r="C307" s="93" t="s">
        <v>1351</v>
      </c>
      <c r="D307" s="668">
        <f>1000000/(D303*D299*D299*2*PI()*PI())</f>
        <v>84.248415403365058</v>
      </c>
      <c r="E307" s="649" t="s">
        <v>27</v>
      </c>
      <c r="F307" s="6"/>
      <c r="G307" s="6"/>
      <c r="P307" s="366"/>
      <c r="Q307" s="364"/>
    </row>
    <row r="308" spans="2:17" ht="15" hidden="1" x14ac:dyDescent="0.25">
      <c r="B308" s="648"/>
      <c r="C308" s="93" t="s">
        <v>1352</v>
      </c>
      <c r="D308" s="668">
        <f>D307-D300</f>
        <v>68.248415403365058</v>
      </c>
      <c r="E308" s="649" t="s">
        <v>27</v>
      </c>
      <c r="F308" s="6"/>
      <c r="G308" s="6"/>
      <c r="P308" s="366"/>
      <c r="Q308" s="364"/>
    </row>
    <row r="309" spans="2:17" ht="15" hidden="1" x14ac:dyDescent="0.25">
      <c r="B309" s="648"/>
      <c r="C309" s="93" t="s">
        <v>1353</v>
      </c>
      <c r="D309" s="652">
        <f>D308/(10^(FLOOR(LOG(D308,10),1)))</f>
        <v>6.8248415403365055</v>
      </c>
      <c r="E309" s="649"/>
      <c r="F309" s="6"/>
      <c r="G309" s="6"/>
      <c r="P309" s="366"/>
      <c r="Q309" s="364"/>
    </row>
    <row r="310" spans="2:17" ht="15" hidden="1" x14ac:dyDescent="0.25">
      <c r="B310" s="648"/>
      <c r="C310" s="93" t="s">
        <v>1354</v>
      </c>
      <c r="D310" s="652">
        <f>VLOOKUP(D309,D$370:D$393,1,TRUE)</f>
        <v>6.8</v>
      </c>
      <c r="E310" s="649" t="s">
        <v>1357</v>
      </c>
      <c r="F310" s="6"/>
      <c r="G310" s="6"/>
      <c r="P310" s="366"/>
      <c r="Q310" s="364"/>
    </row>
    <row r="311" spans="2:17" ht="15" hidden="1" x14ac:dyDescent="0.25">
      <c r="B311" s="648"/>
      <c r="C311" s="93" t="s">
        <v>1355</v>
      </c>
      <c r="D311" s="652">
        <f>VLOOKUP(D309*1.07,D$370:D$393,1,TRUE)</f>
        <v>6.8</v>
      </c>
      <c r="E311" s="649"/>
      <c r="F311" s="6"/>
      <c r="G311" s="6"/>
      <c r="P311" s="366"/>
      <c r="Q311" s="364"/>
    </row>
    <row r="312" spans="2:17" ht="15" hidden="1" x14ac:dyDescent="0.25">
      <c r="B312" s="648"/>
      <c r="C312" s="93" t="s">
        <v>1356</v>
      </c>
      <c r="D312" s="652">
        <f>IF(D309-D310&lt;D311-D309,D310,D311)</f>
        <v>6.8</v>
      </c>
      <c r="E312" s="649"/>
      <c r="F312" s="6"/>
      <c r="G312" s="6"/>
      <c r="P312" s="366"/>
      <c r="Q312" s="364"/>
    </row>
    <row r="313" spans="2:17" ht="15" hidden="1" x14ac:dyDescent="0.25">
      <c r="B313" s="648"/>
      <c r="C313" s="143" t="s">
        <v>1189</v>
      </c>
      <c r="D313" s="668">
        <f>10^FLOOR(LOG(D308),1)*D312</f>
        <v>68</v>
      </c>
      <c r="E313" s="664" t="s">
        <v>27</v>
      </c>
      <c r="F313" s="6"/>
      <c r="G313" s="6"/>
      <c r="P313" s="366"/>
      <c r="Q313" s="364"/>
    </row>
    <row r="314" spans="2:17" ht="15" hidden="1" x14ac:dyDescent="0.25">
      <c r="B314" s="648"/>
      <c r="C314" s="93" t="s">
        <v>1351</v>
      </c>
      <c r="D314" s="668">
        <f>D313+D300</f>
        <v>84</v>
      </c>
      <c r="E314" s="649" t="s">
        <v>27</v>
      </c>
      <c r="F314" s="6"/>
      <c r="G314" s="6"/>
      <c r="P314" s="366"/>
      <c r="Q314" s="364"/>
    </row>
    <row r="315" spans="2:17" ht="15" hidden="1" x14ac:dyDescent="0.25">
      <c r="B315" s="648"/>
      <c r="C315" s="93" t="s">
        <v>1360</v>
      </c>
      <c r="D315" s="653">
        <f>1000/(PI()*SQRT(2*D314*D303))</f>
        <v>15.02216357259735</v>
      </c>
      <c r="E315" s="649" t="s">
        <v>0</v>
      </c>
      <c r="F315" s="6"/>
      <c r="G315" s="6"/>
      <c r="P315" s="366"/>
      <c r="Q315" s="364"/>
    </row>
    <row r="316" spans="2:17" ht="15" hidden="1" x14ac:dyDescent="0.25">
      <c r="B316" s="648"/>
      <c r="C316" s="93" t="s">
        <v>1358</v>
      </c>
      <c r="D316" s="653">
        <f>1000/(17.1*D315*D303)</f>
        <v>1.4566170975016657</v>
      </c>
      <c r="E316" s="649" t="s">
        <v>244</v>
      </c>
      <c r="F316" s="6"/>
      <c r="G316" s="6"/>
      <c r="H316" s="12"/>
      <c r="I316" s="12"/>
      <c r="J316" s="12"/>
      <c r="P316" s="366"/>
      <c r="Q316" s="364"/>
    </row>
    <row r="317" spans="2:17" ht="15" hidden="1" x14ac:dyDescent="0.25">
      <c r="B317" s="648"/>
      <c r="C317" s="93" t="s">
        <v>1397</v>
      </c>
      <c r="D317" s="672">
        <f>IF(D316&lt;D297,1,0)</f>
        <v>1</v>
      </c>
      <c r="E317" s="649" t="s">
        <v>1173</v>
      </c>
      <c r="F317" s="6"/>
      <c r="G317" s="6"/>
      <c r="H317" s="12"/>
      <c r="I317" s="12"/>
      <c r="J317" s="12"/>
      <c r="P317" s="366"/>
      <c r="Q317" s="364"/>
    </row>
    <row r="318" spans="2:17" ht="15" hidden="1" x14ac:dyDescent="0.25">
      <c r="B318" s="648"/>
      <c r="C318" s="93" t="s">
        <v>1382</v>
      </c>
      <c r="D318" s="694" t="str">
        <f>IF(D317=0," LDC0851 cannot drive sensor.","")</f>
        <v/>
      </c>
      <c r="E318" s="649"/>
      <c r="F318" s="6"/>
      <c r="G318" s="6"/>
      <c r="H318" s="12"/>
      <c r="I318" s="12"/>
      <c r="J318" s="12"/>
      <c r="P318" s="366"/>
      <c r="Q318" s="364"/>
    </row>
    <row r="319" spans="2:17" ht="15" hidden="1" x14ac:dyDescent="0.25">
      <c r="B319" s="648"/>
      <c r="C319" s="93" t="s">
        <v>1361</v>
      </c>
      <c r="D319" s="653">
        <f>1000/(PI()*SQRT(2*D314*D304))</f>
        <v>11.548332042333442</v>
      </c>
      <c r="E319" s="649" t="s">
        <v>0</v>
      </c>
      <c r="F319" s="6"/>
      <c r="G319" s="6"/>
      <c r="P319" s="366"/>
      <c r="Q319" s="364"/>
    </row>
    <row r="320" spans="2:17" ht="15" hidden="1" x14ac:dyDescent="0.25">
      <c r="B320" s="648"/>
      <c r="C320" s="93" t="s">
        <v>1363</v>
      </c>
      <c r="D320" s="653">
        <f>231*D319</f>
        <v>2667.6647017790251</v>
      </c>
      <c r="E320" s="649" t="s">
        <v>405</v>
      </c>
      <c r="F320" s="6"/>
      <c r="G320" s="6"/>
      <c r="P320" s="366"/>
      <c r="Q320" s="364"/>
    </row>
    <row r="321" spans="2:17" ht="15" hidden="1" x14ac:dyDescent="0.25">
      <c r="B321" s="648"/>
      <c r="C321" s="93" t="s">
        <v>1364</v>
      </c>
      <c r="D321" s="672">
        <f>IF(D320&gt;D41,1,0)</f>
        <v>1</v>
      </c>
      <c r="E321" s="649" t="s">
        <v>1173</v>
      </c>
      <c r="F321" s="6"/>
      <c r="G321" s="6"/>
      <c r="P321" s="366"/>
      <c r="Q321" s="364"/>
    </row>
    <row r="322" spans="2:17" ht="15" hidden="1" x14ac:dyDescent="0.25">
      <c r="B322" s="648"/>
      <c r="C322" s="93" t="s">
        <v>1382</v>
      </c>
      <c r="D322" s="653" t="str">
        <f>IF(D321=0," LDC0851 sample rate too low.","")</f>
        <v/>
      </c>
      <c r="E322" s="649"/>
      <c r="F322" s="6"/>
      <c r="G322" s="6"/>
      <c r="P322" s="366"/>
      <c r="Q322" s="364"/>
    </row>
    <row r="323" spans="2:17" ht="15" hidden="1" x14ac:dyDescent="0.25">
      <c r="B323" s="648"/>
      <c r="C323" s="93" t="s">
        <v>1396</v>
      </c>
      <c r="D323" s="695" t="str">
        <f>D322&amp;D318&amp;D306</f>
        <v/>
      </c>
      <c r="E323" s="649"/>
      <c r="F323" s="6"/>
      <c r="G323" s="6"/>
      <c r="P323" s="366"/>
      <c r="Q323" s="364"/>
    </row>
    <row r="324" spans="2:17" ht="15" hidden="1" x14ac:dyDescent="0.25">
      <c r="B324" s="648"/>
      <c r="C324" s="93" t="s">
        <v>1419</v>
      </c>
      <c r="D324" s="653">
        <f>24.262*10^-12*D315*10^6+1.5*D315*10^6*D315*10^-12+0.0007</f>
        <v>1.402965830201163E-3</v>
      </c>
      <c r="E324" s="649"/>
      <c r="F324" s="6"/>
      <c r="G324" s="699">
        <f>D325-D316</f>
        <v>1.4029658302011632</v>
      </c>
      <c r="P324" s="366"/>
      <c r="Q324" s="364"/>
    </row>
    <row r="325" spans="2:17" ht="15" hidden="1" x14ac:dyDescent="0.25">
      <c r="B325" s="648"/>
      <c r="C325" s="93" t="s">
        <v>1418</v>
      </c>
      <c r="D325" s="653">
        <f>D324*1000+D316</f>
        <v>2.8595829277028288</v>
      </c>
      <c r="E325" s="649" t="s">
        <v>244</v>
      </c>
      <c r="F325" s="6"/>
      <c r="G325" s="6"/>
      <c r="P325" s="366"/>
      <c r="Q325" s="364"/>
    </row>
    <row r="326" spans="2:17" ht="15" x14ac:dyDescent="0.25">
      <c r="B326" s="648"/>
      <c r="C326" s="6"/>
      <c r="D326" s="690"/>
      <c r="E326" s="649"/>
      <c r="F326" s="6"/>
      <c r="G326" s="6"/>
      <c r="P326" s="366"/>
      <c r="Q326" s="364"/>
    </row>
    <row r="327" spans="2:17" x14ac:dyDescent="0.15">
      <c r="B327" s="655"/>
      <c r="C327" t="s">
        <v>1215</v>
      </c>
      <c r="D327" s="53" t="str">
        <f>TEXT(D35,"0.00") &amp; " x " &amp;TEXT( D37,"0.00")</f>
        <v>5.93 x 8.89</v>
      </c>
      <c r="E327" s="6" t="s">
        <v>34</v>
      </c>
    </row>
    <row r="328" spans="2:17" ht="15" x14ac:dyDescent="0.25">
      <c r="B328" s="655"/>
      <c r="C328" s="7" t="s">
        <v>1406</v>
      </c>
      <c r="D328" s="434">
        <f>D34</f>
        <v>22.5</v>
      </c>
      <c r="E328" s="667" t="s">
        <v>539</v>
      </c>
    </row>
    <row r="329" spans="2:17" x14ac:dyDescent="0.15">
      <c r="B329" s="655"/>
      <c r="C329" t="s">
        <v>1224</v>
      </c>
      <c r="D329" s="677">
        <f>D71/D43</f>
        <v>8.4261132592851992E-2</v>
      </c>
      <c r="E329" s="6" t="s">
        <v>90</v>
      </c>
    </row>
    <row r="330" spans="2:17" x14ac:dyDescent="0.15">
      <c r="B330" s="655"/>
      <c r="C330" t="s">
        <v>1216</v>
      </c>
      <c r="D330" s="676">
        <f>D54</f>
        <v>7</v>
      </c>
      <c r="E330" s="6" t="s">
        <v>1219</v>
      </c>
    </row>
    <row r="331" spans="2:17" ht="14.25" x14ac:dyDescent="0.2">
      <c r="B331" s="655"/>
      <c r="C331" t="s">
        <v>1217</v>
      </c>
      <c r="D331" s="432">
        <f>D188</f>
        <v>4.5222279315741405</v>
      </c>
      <c r="E331" s="660" t="s">
        <v>1179</v>
      </c>
    </row>
    <row r="332" spans="2:17" x14ac:dyDescent="0.15">
      <c r="B332" s="655"/>
      <c r="C332" t="s">
        <v>1218</v>
      </c>
      <c r="D332" s="678">
        <f>MAX(1-ABS(D189/D188),0)</f>
        <v>0.40901895503497909</v>
      </c>
      <c r="E332" s="660"/>
    </row>
    <row r="333" spans="2:17" x14ac:dyDescent="0.15">
      <c r="B333" s="655"/>
    </row>
    <row r="334" spans="2:17" x14ac:dyDescent="0.15">
      <c r="B334" s="655"/>
      <c r="C334" s="9" t="s">
        <v>1210</v>
      </c>
      <c r="D334" s="122" t="str">
        <f>IF(D246=0,"No","Yes")</f>
        <v>Yes</v>
      </c>
      <c r="E334" s="697" t="str">
        <f>D247</f>
        <v/>
      </c>
    </row>
    <row r="335" spans="2:17" x14ac:dyDescent="0.15">
      <c r="B335" s="655"/>
      <c r="C335" s="93" t="s">
        <v>1366</v>
      </c>
      <c r="D335" s="692" t="str">
        <f>D210</f>
        <v/>
      </c>
    </row>
    <row r="336" spans="2:17" x14ac:dyDescent="0.15">
      <c r="B336" s="655"/>
      <c r="C336" s="93" t="s">
        <v>1222</v>
      </c>
      <c r="D336" s="693">
        <f>D217</f>
        <v>110.00000000000001</v>
      </c>
      <c r="E336" s="6" t="s">
        <v>27</v>
      </c>
    </row>
    <row r="337" spans="2:5" x14ac:dyDescent="0.15">
      <c r="B337" s="655"/>
      <c r="C337" s="93" t="s">
        <v>1384</v>
      </c>
      <c r="D337" s="680">
        <f>D222</f>
        <v>9.2824109000344244</v>
      </c>
      <c r="E337" s="6" t="s">
        <v>0</v>
      </c>
    </row>
    <row r="338" spans="2:5" ht="14.25" x14ac:dyDescent="0.2">
      <c r="B338" s="655"/>
      <c r="C338" s="93" t="s">
        <v>1385</v>
      </c>
      <c r="D338" s="679">
        <f>D227</f>
        <v>4.4564067357072172</v>
      </c>
      <c r="E338" s="664" t="s">
        <v>243</v>
      </c>
    </row>
    <row r="339" spans="2:5" ht="14.25" x14ac:dyDescent="0.2">
      <c r="B339" s="655"/>
      <c r="C339" s="93" t="s">
        <v>1413</v>
      </c>
      <c r="D339" s="691">
        <f>D232</f>
        <v>12</v>
      </c>
      <c r="E339" s="664"/>
    </row>
    <row r="340" spans="2:5" ht="14.25" x14ac:dyDescent="0.2">
      <c r="B340" s="655"/>
      <c r="C340" s="93" t="s">
        <v>1407</v>
      </c>
      <c r="D340" s="693">
        <f>D241</f>
        <v>4081.6326530612246</v>
      </c>
      <c r="E340" s="664" t="s">
        <v>405</v>
      </c>
    </row>
    <row r="341" spans="2:5" ht="14.25" x14ac:dyDescent="0.2">
      <c r="B341" s="655"/>
      <c r="C341" s="93" t="s">
        <v>1372</v>
      </c>
      <c r="D341" s="691">
        <f>D236</f>
        <v>15</v>
      </c>
      <c r="E341" s="664" t="s">
        <v>949</v>
      </c>
    </row>
    <row r="342" spans="2:5" ht="14.25" x14ac:dyDescent="0.2">
      <c r="B342" s="655"/>
      <c r="C342" s="93" t="s">
        <v>1383</v>
      </c>
      <c r="D342" s="691">
        <f>D238</f>
        <v>41</v>
      </c>
      <c r="E342" s="664" t="s">
        <v>949</v>
      </c>
    </row>
    <row r="343" spans="2:5" ht="14.25" x14ac:dyDescent="0.2">
      <c r="B343" s="655"/>
      <c r="C343" s="93" t="s">
        <v>1414</v>
      </c>
      <c r="D343" s="691" t="str">
        <f>IF(D340&gt;(2*D41),"Yes","No")</f>
        <v>Yes</v>
      </c>
      <c r="E343" s="664"/>
    </row>
    <row r="344" spans="2:5" ht="14.25" x14ac:dyDescent="0.2">
      <c r="B344" s="655"/>
      <c r="C344" s="93"/>
      <c r="D344" s="128"/>
      <c r="E344" s="664"/>
    </row>
    <row r="345" spans="2:5" x14ac:dyDescent="0.15">
      <c r="B345" s="655"/>
      <c r="C345" s="9" t="s">
        <v>1209</v>
      </c>
      <c r="D345" s="122" t="str">
        <f>IF(D292=1,"Yes","No")</f>
        <v>Yes</v>
      </c>
      <c r="E345" s="698" t="str">
        <f>D293</f>
        <v xml:space="preserve"> </v>
      </c>
    </row>
    <row r="346" spans="2:5" x14ac:dyDescent="0.15">
      <c r="B346" s="655"/>
      <c r="C346" s="6" t="s">
        <v>1366</v>
      </c>
      <c r="D346" s="112" t="str">
        <f>D284</f>
        <v>Add 8.1Ω Series R</v>
      </c>
      <c r="E346" s="699"/>
    </row>
    <row r="347" spans="2:5" x14ac:dyDescent="0.15">
      <c r="B347" s="655"/>
      <c r="C347" s="93" t="s">
        <v>1223</v>
      </c>
      <c r="D347" s="693">
        <f>D267</f>
        <v>30</v>
      </c>
      <c r="E347" s="6" t="s">
        <v>27</v>
      </c>
    </row>
    <row r="348" spans="2:5" x14ac:dyDescent="0.15">
      <c r="B348" s="655"/>
      <c r="C348" s="93" t="s">
        <v>1221</v>
      </c>
      <c r="D348" s="681">
        <f>D270</f>
        <v>17.774463642051732</v>
      </c>
      <c r="E348" s="6" t="s">
        <v>0</v>
      </c>
    </row>
    <row r="349" spans="2:5" ht="14.25" x14ac:dyDescent="0.2">
      <c r="B349" s="655"/>
      <c r="C349" s="93" t="s">
        <v>1415</v>
      </c>
      <c r="D349" s="682">
        <f>D273</f>
        <v>18.122165400499163</v>
      </c>
      <c r="E349" s="664" t="s">
        <v>243</v>
      </c>
    </row>
    <row r="350" spans="2:5" ht="14.25" x14ac:dyDescent="0.2">
      <c r="B350" s="655"/>
      <c r="C350" s="93" t="s">
        <v>1400</v>
      </c>
      <c r="D350" s="696" t="str">
        <f>"0x"&amp;DEC2HEX(D289,2)</f>
        <v>0x00</v>
      </c>
      <c r="E350" s="664"/>
    </row>
    <row r="351" spans="2:5" x14ac:dyDescent="0.15">
      <c r="B351" s="655"/>
    </row>
    <row r="352" spans="2:5" x14ac:dyDescent="0.15">
      <c r="B352" s="655"/>
      <c r="C352" s="9" t="s">
        <v>1365</v>
      </c>
      <c r="D352" s="122" t="str">
        <f>IF(D321*D317*D305=1,"Yes","No")</f>
        <v>Yes</v>
      </c>
      <c r="E352" s="697" t="str">
        <f>D323</f>
        <v/>
      </c>
    </row>
    <row r="353" spans="2:5" ht="14.25" x14ac:dyDescent="0.2">
      <c r="B353" s="655"/>
      <c r="C353" s="93" t="s">
        <v>1416</v>
      </c>
      <c r="D353" s="52">
        <v>3.3</v>
      </c>
      <c r="E353" s="700" t="s">
        <v>377</v>
      </c>
    </row>
    <row r="354" spans="2:5" x14ac:dyDescent="0.15">
      <c r="B354" s="655"/>
      <c r="C354" s="93" t="s">
        <v>1223</v>
      </c>
      <c r="D354" s="691">
        <f>D313</f>
        <v>68</v>
      </c>
      <c r="E354" s="6" t="s">
        <v>27</v>
      </c>
    </row>
    <row r="355" spans="2:5" x14ac:dyDescent="0.15">
      <c r="B355" s="655"/>
      <c r="C355" s="93" t="s">
        <v>1221</v>
      </c>
      <c r="D355" s="681">
        <f>D315</f>
        <v>15.02216357259735</v>
      </c>
      <c r="E355" s="6" t="s">
        <v>0</v>
      </c>
    </row>
    <row r="356" spans="2:5" ht="14.25" x14ac:dyDescent="0.2">
      <c r="B356" s="655"/>
      <c r="C356" s="93" t="s">
        <v>1417</v>
      </c>
      <c r="D356" s="696">
        <f>D320</f>
        <v>2667.6647017790251</v>
      </c>
      <c r="E356" s="664" t="s">
        <v>405</v>
      </c>
    </row>
    <row r="357" spans="2:5" ht="14.25" x14ac:dyDescent="0.2">
      <c r="B357" s="655"/>
      <c r="C357" s="93" t="s">
        <v>1420</v>
      </c>
      <c r="D357" s="710">
        <f>2*D325</f>
        <v>5.7191658554056577</v>
      </c>
      <c r="E357" s="664" t="s">
        <v>244</v>
      </c>
    </row>
    <row r="358" spans="2:5" x14ac:dyDescent="0.15">
      <c r="B358" s="655"/>
    </row>
    <row r="359" spans="2:5" x14ac:dyDescent="0.15">
      <c r="B359" s="655"/>
      <c r="C359" s="9"/>
      <c r="D359" s="9"/>
    </row>
    <row r="360" spans="2:5" x14ac:dyDescent="0.15">
      <c r="B360" s="655"/>
      <c r="E360" s="7"/>
    </row>
    <row r="361" spans="2:5" x14ac:dyDescent="0.15">
      <c r="B361" s="655"/>
    </row>
    <row r="362" spans="2:5" x14ac:dyDescent="0.15">
      <c r="B362" s="655"/>
    </row>
    <row r="367" spans="2:5" x14ac:dyDescent="0.15">
      <c r="C367" s="9"/>
    </row>
    <row r="370" spans="2:4" hidden="1" x14ac:dyDescent="0.15">
      <c r="C370" s="75" t="s">
        <v>1191</v>
      </c>
      <c r="D370" s="675">
        <v>1</v>
      </c>
    </row>
    <row r="371" spans="2:4" hidden="1" x14ac:dyDescent="0.15">
      <c r="D371" s="675">
        <v>1.1000000000000001</v>
      </c>
    </row>
    <row r="372" spans="2:4" hidden="1" x14ac:dyDescent="0.15">
      <c r="D372" s="675">
        <v>1.2</v>
      </c>
    </row>
    <row r="373" spans="2:4" hidden="1" x14ac:dyDescent="0.15">
      <c r="C373" s="9"/>
      <c r="D373" s="675">
        <v>1.3</v>
      </c>
    </row>
    <row r="374" spans="2:4" hidden="1" x14ac:dyDescent="0.15">
      <c r="D374" s="675">
        <v>1.5</v>
      </c>
    </row>
    <row r="375" spans="2:4" hidden="1" x14ac:dyDescent="0.15">
      <c r="D375" s="675">
        <v>1.6</v>
      </c>
    </row>
    <row r="376" spans="2:4" hidden="1" x14ac:dyDescent="0.15">
      <c r="D376" s="675">
        <v>1.8</v>
      </c>
    </row>
    <row r="377" spans="2:4" hidden="1" x14ac:dyDescent="0.15">
      <c r="D377" s="675">
        <v>2</v>
      </c>
    </row>
    <row r="378" spans="2:4" hidden="1" x14ac:dyDescent="0.15">
      <c r="D378" s="675">
        <v>2.2000000000000002</v>
      </c>
    </row>
    <row r="379" spans="2:4" hidden="1" x14ac:dyDescent="0.15">
      <c r="D379" s="675">
        <v>2.4</v>
      </c>
    </row>
    <row r="380" spans="2:4" hidden="1" x14ac:dyDescent="0.15">
      <c r="B380" s="9"/>
      <c r="C380" s="9"/>
      <c r="D380" s="675">
        <v>2.7</v>
      </c>
    </row>
    <row r="381" spans="2:4" hidden="1" x14ac:dyDescent="0.15">
      <c r="D381" s="675">
        <v>3</v>
      </c>
    </row>
    <row r="382" spans="2:4" hidden="1" x14ac:dyDescent="0.15">
      <c r="D382" s="675">
        <v>3.3</v>
      </c>
    </row>
    <row r="383" spans="2:4" hidden="1" x14ac:dyDescent="0.15">
      <c r="D383" s="675">
        <v>3.6</v>
      </c>
    </row>
    <row r="384" spans="2:4" hidden="1" x14ac:dyDescent="0.15">
      <c r="D384" s="675">
        <v>3.9</v>
      </c>
    </row>
    <row r="385" spans="3:7" hidden="1" x14ac:dyDescent="0.15">
      <c r="D385" s="675">
        <v>4.3</v>
      </c>
    </row>
    <row r="386" spans="3:7" hidden="1" x14ac:dyDescent="0.15">
      <c r="C386" s="9"/>
      <c r="D386" s="675">
        <v>4.7</v>
      </c>
    </row>
    <row r="387" spans="3:7" hidden="1" x14ac:dyDescent="0.15">
      <c r="C387" s="9"/>
      <c r="D387" s="675">
        <v>5.0999999999999996</v>
      </c>
    </row>
    <row r="388" spans="3:7" hidden="1" x14ac:dyDescent="0.15">
      <c r="C388" s="9"/>
      <c r="D388" s="675">
        <v>5.6</v>
      </c>
      <c r="E388" s="9"/>
      <c r="F388" s="9"/>
      <c r="G388" s="9"/>
    </row>
    <row r="389" spans="3:7" hidden="1" x14ac:dyDescent="0.15">
      <c r="C389" s="382"/>
      <c r="D389" s="675">
        <v>6.2</v>
      </c>
    </row>
    <row r="390" spans="3:7" hidden="1" x14ac:dyDescent="0.15">
      <c r="C390" s="382"/>
      <c r="D390" s="675">
        <v>6.8</v>
      </c>
    </row>
    <row r="391" spans="3:7" hidden="1" x14ac:dyDescent="0.15">
      <c r="C391" s="382"/>
      <c r="D391" s="675">
        <v>7.5</v>
      </c>
    </row>
    <row r="392" spans="3:7" hidden="1" x14ac:dyDescent="0.15">
      <c r="C392" s="382"/>
      <c r="D392" s="675">
        <v>8.1999999999999993</v>
      </c>
    </row>
    <row r="393" spans="3:7" hidden="1" x14ac:dyDescent="0.15">
      <c r="C393" s="382"/>
      <c r="D393" s="675">
        <v>9.1</v>
      </c>
    </row>
    <row r="394" spans="3:7" x14ac:dyDescent="0.15">
      <c r="C394" s="382"/>
      <c r="D394" s="382"/>
    </row>
    <row r="395" spans="3:7" x14ac:dyDescent="0.15">
      <c r="C395" s="382"/>
      <c r="D395" s="382"/>
    </row>
    <row r="396" spans="3:7" x14ac:dyDescent="0.15">
      <c r="C396" s="382"/>
      <c r="D396" s="382"/>
    </row>
    <row r="397" spans="3:7" x14ac:dyDescent="0.15">
      <c r="C397" s="382"/>
      <c r="D397" s="382"/>
    </row>
    <row r="398" spans="3:7" x14ac:dyDescent="0.15">
      <c r="C398" s="382"/>
      <c r="D398" s="382"/>
    </row>
    <row r="399" spans="3:7" x14ac:dyDescent="0.15">
      <c r="C399" s="382"/>
      <c r="D399" s="382"/>
    </row>
    <row r="400" spans="3:7" x14ac:dyDescent="0.15">
      <c r="C400" s="382"/>
      <c r="D400" s="382"/>
    </row>
    <row r="401" spans="3:4" x14ac:dyDescent="0.15">
      <c r="C401" s="382"/>
      <c r="D401" s="382"/>
    </row>
    <row r="402" spans="3:4" x14ac:dyDescent="0.15">
      <c r="C402" s="382"/>
      <c r="D402" s="382"/>
    </row>
    <row r="403" spans="3:4" x14ac:dyDescent="0.15">
      <c r="C403" s="382"/>
      <c r="D403" s="382"/>
    </row>
    <row r="404" spans="3:4" x14ac:dyDescent="0.15">
      <c r="C404" s="382"/>
      <c r="D404" s="382"/>
    </row>
    <row r="405" spans="3:4" x14ac:dyDescent="0.15">
      <c r="C405" s="382"/>
      <c r="D405" s="382"/>
    </row>
    <row r="406" spans="3:4" x14ac:dyDescent="0.15">
      <c r="C406" s="382"/>
      <c r="D406" s="382"/>
    </row>
    <row r="407" spans="3:4" x14ac:dyDescent="0.15">
      <c r="C407" s="382"/>
      <c r="D407" s="382"/>
    </row>
    <row r="408" spans="3:4" x14ac:dyDescent="0.15">
      <c r="C408" s="382"/>
      <c r="D408" s="382"/>
    </row>
    <row r="409" spans="3:4" x14ac:dyDescent="0.15">
      <c r="C409" s="382"/>
      <c r="D409" s="382"/>
    </row>
    <row r="410" spans="3:4" x14ac:dyDescent="0.15">
      <c r="C410" s="382"/>
      <c r="D410" s="382"/>
    </row>
    <row r="411" spans="3:4" x14ac:dyDescent="0.15">
      <c r="C411" s="382"/>
      <c r="D411" s="382"/>
    </row>
    <row r="412" spans="3:4" x14ac:dyDescent="0.15">
      <c r="C412" s="382"/>
      <c r="D412" s="382"/>
    </row>
    <row r="413" spans="3:4" x14ac:dyDescent="0.15">
      <c r="C413" s="382"/>
      <c r="D413" s="382"/>
    </row>
    <row r="414" spans="3:4" x14ac:dyDescent="0.15">
      <c r="C414" s="382"/>
      <c r="D414" s="382"/>
    </row>
    <row r="415" spans="3:4" x14ac:dyDescent="0.15">
      <c r="C415" s="382"/>
      <c r="D415" s="382"/>
    </row>
    <row r="416" spans="3:4" x14ac:dyDescent="0.15">
      <c r="C416" s="382"/>
      <c r="D416" s="382"/>
    </row>
    <row r="417" spans="3:4" x14ac:dyDescent="0.15">
      <c r="C417" s="382"/>
      <c r="D417" s="382"/>
    </row>
    <row r="418" spans="3:4" x14ac:dyDescent="0.15">
      <c r="C418" s="382"/>
      <c r="D418" s="382"/>
    </row>
    <row r="419" spans="3:4" x14ac:dyDescent="0.15">
      <c r="C419" s="382"/>
      <c r="D419" s="382"/>
    </row>
    <row r="420" spans="3:4" x14ac:dyDescent="0.15">
      <c r="C420" s="382"/>
      <c r="D420" s="382"/>
    </row>
    <row r="421" spans="3:4" x14ac:dyDescent="0.15">
      <c r="C421" s="382"/>
      <c r="D421" s="382"/>
    </row>
    <row r="422" spans="3:4" x14ac:dyDescent="0.15">
      <c r="C422" s="382"/>
      <c r="D422" s="382"/>
    </row>
    <row r="423" spans="3:4" x14ac:dyDescent="0.15">
      <c r="C423" s="382"/>
      <c r="D423" s="382"/>
    </row>
    <row r="424" spans="3:4" x14ac:dyDescent="0.15">
      <c r="C424" s="382"/>
      <c r="D424" s="382"/>
    </row>
    <row r="425" spans="3:4" x14ac:dyDescent="0.15">
      <c r="C425" s="382"/>
      <c r="D425" s="382"/>
    </row>
    <row r="426" spans="3:4" x14ac:dyDescent="0.15">
      <c r="C426" s="382"/>
      <c r="D426" s="382"/>
    </row>
    <row r="427" spans="3:4" x14ac:dyDescent="0.15">
      <c r="C427" s="382"/>
      <c r="D427" s="382"/>
    </row>
    <row r="428" spans="3:4" x14ac:dyDescent="0.15">
      <c r="C428" s="382"/>
      <c r="D428" s="382"/>
    </row>
    <row r="429" spans="3:4" x14ac:dyDescent="0.15">
      <c r="C429" s="382"/>
      <c r="D429" s="382"/>
    </row>
    <row r="430" spans="3:4" x14ac:dyDescent="0.15">
      <c r="C430" s="382"/>
      <c r="D430" s="382"/>
    </row>
    <row r="431" spans="3:4" x14ac:dyDescent="0.15">
      <c r="C431" s="382"/>
      <c r="D431" s="382"/>
    </row>
    <row r="432" spans="3:4" x14ac:dyDescent="0.15">
      <c r="C432" s="382"/>
      <c r="D432" s="382"/>
    </row>
    <row r="433" spans="3:4" x14ac:dyDescent="0.15">
      <c r="C433" s="382"/>
      <c r="D433" s="382"/>
    </row>
    <row r="434" spans="3:4" x14ac:dyDescent="0.15">
      <c r="C434" s="382"/>
      <c r="D434" s="382"/>
    </row>
    <row r="435" spans="3:4" x14ac:dyDescent="0.15">
      <c r="C435" s="382"/>
      <c r="D435" s="382"/>
    </row>
    <row r="436" spans="3:4" x14ac:dyDescent="0.15">
      <c r="C436" s="382"/>
      <c r="D436" s="382"/>
    </row>
    <row r="437" spans="3:4" x14ac:dyDescent="0.15">
      <c r="C437" s="382"/>
      <c r="D437" s="382"/>
    </row>
    <row r="438" spans="3:4" x14ac:dyDescent="0.15">
      <c r="C438" s="382"/>
      <c r="D438" s="382"/>
    </row>
    <row r="439" spans="3:4" x14ac:dyDescent="0.15">
      <c r="C439" s="382"/>
      <c r="D439" s="382"/>
    </row>
    <row r="440" spans="3:4" x14ac:dyDescent="0.15">
      <c r="C440" s="382"/>
      <c r="D440" s="382"/>
    </row>
    <row r="441" spans="3:4" x14ac:dyDescent="0.15">
      <c r="C441" s="382"/>
      <c r="D441" s="382"/>
    </row>
    <row r="442" spans="3:4" x14ac:dyDescent="0.15">
      <c r="C442" s="382"/>
      <c r="D442" s="382"/>
    </row>
    <row r="443" spans="3:4" x14ac:dyDescent="0.15">
      <c r="C443" s="382"/>
      <c r="D443" s="382"/>
    </row>
    <row r="444" spans="3:4" x14ac:dyDescent="0.15">
      <c r="C444" s="382"/>
      <c r="D444" s="382"/>
    </row>
    <row r="445" spans="3:4" x14ac:dyDescent="0.15">
      <c r="C445" s="382"/>
      <c r="D445" s="382"/>
    </row>
    <row r="446" spans="3:4" x14ac:dyDescent="0.15">
      <c r="C446" s="382"/>
      <c r="D446" s="382"/>
    </row>
    <row r="447" spans="3:4" x14ac:dyDescent="0.15">
      <c r="C447" s="382"/>
      <c r="D447" s="382"/>
    </row>
    <row r="448" spans="3:4" x14ac:dyDescent="0.15">
      <c r="C448" s="382"/>
      <c r="D448" s="382"/>
    </row>
    <row r="449" spans="3:4" x14ac:dyDescent="0.15">
      <c r="C449" s="382"/>
      <c r="D449" s="382"/>
    </row>
    <row r="450" spans="3:4" x14ac:dyDescent="0.15">
      <c r="C450" s="382"/>
      <c r="D450" s="382"/>
    </row>
  </sheetData>
  <sheetProtection sheet="1" objects="1" scenarios="1"/>
  <mergeCells count="3">
    <mergeCell ref="P4:S4"/>
    <mergeCell ref="E6:E7"/>
    <mergeCell ref="E14:E15"/>
  </mergeCells>
  <phoneticPr fontId="121"/>
  <dataValidations count="15">
    <dataValidation type="decimal" allowBlank="1" showInputMessage="1" showErrorMessage="1" sqref="D7">
      <formula1>0</formula1>
      <formula2>D6</formula2>
    </dataValidation>
    <dataValidation type="whole" allowBlank="1" showInputMessage="1" showErrorMessage="1" error="The number of positions must be an integer multiple of 4." sqref="D8 D11">
      <formula1>4</formula1>
      <formula2>1000</formula2>
    </dataValidation>
    <dataValidation type="list" allowBlank="1" showInputMessage="1" showErrorMessage="1" sqref="E6:E7">
      <formula1>"mm,inch"</formula1>
    </dataValidation>
    <dataValidation type="decimal" allowBlank="1" showInputMessage="1" showErrorMessage="1" sqref="D6">
      <formula1>C379</formula1>
      <formula2>C380</formula2>
    </dataValidation>
    <dataValidation type="decimal" errorStyle="warning" allowBlank="1" showInputMessage="1" showErrorMessage="1" error="This is an Extreme value. Please check." sqref="D21:D22">
      <formula1>C385</formula1>
      <formula2>C386</formula2>
    </dataValidation>
    <dataValidation type="decimal" allowBlank="1" showInputMessage="1" showErrorMessage="1" sqref="D20 D14:D18">
      <formula1>0.001</formula1>
      <formula2>2000</formula2>
    </dataValidation>
    <dataValidation type="list" allowBlank="1" showInputMessage="1" showErrorMessage="1" sqref="D19">
      <formula1>"1,2,4"</formula1>
    </dataValidation>
    <dataValidation type="decimal" allowBlank="1" showInputMessage="1" showErrorMessage="1" error="The number of positions must be an integer multiple of 4." sqref="D12 D9">
      <formula1>0.01</formula1>
      <formula2>1000</formula2>
    </dataValidation>
    <dataValidation type="list" allowBlank="1" showInputMessage="1" showErrorMessage="1" sqref="E9 E12:E16">
      <formula1>"µm,mm,mil"</formula1>
    </dataValidation>
    <dataValidation type="list" allowBlank="1" showInputMessage="1" showErrorMessage="1" sqref="E20">
      <formula1>"oz-Cu,µm,mil"</formula1>
    </dataValidation>
    <dataValidation type="list" allowBlank="1" showInputMessage="1" showErrorMessage="1" sqref="E10">
      <formula1>"RPM,SPS"</formula1>
    </dataValidation>
    <dataValidation type="decimal" errorStyle="warning" allowBlank="1" showInputMessage="1" showErrorMessage="1" error="Extreme RP requirement. Please verify." sqref="D10">
      <formula1>0.01</formula1>
      <formula2>10000</formula2>
    </dataValidation>
    <dataValidation type="list" allowBlank="1" showInputMessage="1" showErrorMessage="1" error="Not a LDC0851 characterized supply voltage." sqref="D353">
      <formula1>"1.8,3.3"</formula1>
    </dataValidation>
    <dataValidation allowBlank="1" showInputMessage="1" sqref="E17:E18"/>
    <dataValidation type="decimal" allowBlank="1" showInputMessage="1" showErrorMessage="1" sqref="D13">
      <formula1>0</formula1>
      <formula2>2000</formula2>
    </dataValidation>
  </dataValidations>
  <hyperlinks>
    <hyperlink ref="D2" location="Contents!A1" display="Return to Main Page"/>
  </hyperlinks>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97281" r:id="rId4">
          <objectPr locked="0" defaultSize="0" r:id="rId5">
            <anchor moveWithCells="1">
              <from>
                <xdr:col>4</xdr:col>
                <xdr:colOff>257175</xdr:colOff>
                <xdr:row>0</xdr:row>
                <xdr:rowOff>142875</xdr:rowOff>
              </from>
              <to>
                <xdr:col>6</xdr:col>
                <xdr:colOff>466725</xdr:colOff>
                <xdr:row>4</xdr:row>
                <xdr:rowOff>104775</xdr:rowOff>
              </to>
            </anchor>
          </objectPr>
        </oleObject>
      </mc:Choice>
      <mc:Fallback>
        <oleObject progId="Acrobat Document" dvAspect="DVASPECT_ICON" shapeId="97281"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X181"/>
  <sheetViews>
    <sheetView showGridLines="0" showRowColHeaders="0" zoomScaleNormal="100" workbookViewId="0">
      <selection activeCell="S54" sqref="S54"/>
    </sheetView>
  </sheetViews>
  <sheetFormatPr defaultRowHeight="13.5" x14ac:dyDescent="0.15"/>
  <cols>
    <col min="2" max="2" width="21.5" customWidth="1"/>
    <col min="3" max="3" width="10.875" customWidth="1"/>
    <col min="4" max="4" width="9.125" customWidth="1"/>
    <col min="9" max="9" width="3.125" customWidth="1"/>
    <col min="11" max="11" width="8.75" customWidth="1"/>
    <col min="12" max="12" width="1.875" customWidth="1"/>
    <col min="13" max="13" width="8" customWidth="1"/>
    <col min="14" max="14" width="7.5" customWidth="1"/>
    <col min="15" max="15" width="3.5" customWidth="1"/>
    <col min="16" max="17" width="10.875" bestFit="1" customWidth="1"/>
    <col min="18" max="18" width="2.75" customWidth="1"/>
    <col min="19" max="19" width="13.125" customWidth="1"/>
    <col min="20" max="20" width="2.875" customWidth="1"/>
    <col min="21" max="21" width="12.5" customWidth="1"/>
  </cols>
  <sheetData>
    <row r="1" spans="2:19" x14ac:dyDescent="0.15">
      <c r="G1" s="330"/>
      <c r="H1" s="330"/>
      <c r="I1" s="330"/>
      <c r="J1" s="330"/>
      <c r="K1" s="330"/>
      <c r="L1" s="330"/>
      <c r="M1" s="330"/>
      <c r="N1" s="330"/>
      <c r="O1" s="330"/>
      <c r="P1" s="330"/>
      <c r="Q1" s="330"/>
      <c r="R1" s="330"/>
      <c r="S1" s="330"/>
    </row>
    <row r="2" spans="2:19" ht="15" x14ac:dyDescent="0.15">
      <c r="B2" s="793" t="s">
        <v>1496</v>
      </c>
      <c r="E2" s="20" t="s">
        <v>199</v>
      </c>
      <c r="G2" s="330"/>
      <c r="H2" s="330"/>
      <c r="I2" s="330"/>
      <c r="J2" s="330"/>
      <c r="K2" s="330"/>
      <c r="L2" s="330"/>
      <c r="M2" s="330"/>
      <c r="N2" s="330"/>
      <c r="O2" s="330"/>
      <c r="P2" s="330"/>
      <c r="Q2" s="330"/>
      <c r="R2" s="330"/>
      <c r="S2" s="330"/>
    </row>
    <row r="3" spans="2:19" x14ac:dyDescent="0.15">
      <c r="G3" s="330"/>
      <c r="H3" s="330"/>
      <c r="I3" s="330"/>
      <c r="J3" s="330"/>
      <c r="K3" s="330"/>
      <c r="L3" s="330"/>
      <c r="M3" s="330"/>
      <c r="N3" s="330"/>
      <c r="O3" s="330"/>
      <c r="P3" s="330"/>
      <c r="Q3" s="330"/>
      <c r="R3" s="330"/>
      <c r="S3" s="330"/>
    </row>
    <row r="4" spans="2:19" x14ac:dyDescent="0.15">
      <c r="B4" s="9" t="s">
        <v>1461</v>
      </c>
      <c r="C4" s="309" t="s">
        <v>1446</v>
      </c>
      <c r="D4" s="309" t="s">
        <v>1447</v>
      </c>
      <c r="E4" s="309" t="s">
        <v>1448</v>
      </c>
      <c r="F4" s="309" t="s">
        <v>1449</v>
      </c>
      <c r="G4" s="330"/>
      <c r="H4" s="330"/>
      <c r="I4" s="330"/>
      <c r="J4" s="330"/>
      <c r="K4" s="330"/>
      <c r="L4" s="330"/>
      <c r="M4" s="330"/>
      <c r="N4" s="330"/>
      <c r="O4" s="330"/>
      <c r="P4" s="330"/>
      <c r="Q4" s="330"/>
      <c r="R4" s="330"/>
      <c r="S4" s="330"/>
    </row>
    <row r="5" spans="2:19" ht="15" x14ac:dyDescent="0.25">
      <c r="B5" s="309" t="s">
        <v>1450</v>
      </c>
      <c r="C5" s="152">
        <v>1670</v>
      </c>
      <c r="D5" s="152">
        <v>0</v>
      </c>
      <c r="E5" s="152">
        <v>-35</v>
      </c>
      <c r="F5" s="152">
        <v>0</v>
      </c>
      <c r="G5" s="330"/>
      <c r="H5" s="330"/>
      <c r="I5" s="330"/>
      <c r="J5" s="330"/>
      <c r="K5" s="330"/>
      <c r="L5" s="330"/>
      <c r="M5" s="330"/>
      <c r="N5" s="330"/>
      <c r="O5" s="330"/>
      <c r="P5" s="330"/>
      <c r="Q5" s="330"/>
      <c r="R5" s="330"/>
      <c r="S5" s="330"/>
    </row>
    <row r="6" spans="2:19" ht="15" x14ac:dyDescent="0.25">
      <c r="B6" s="309" t="s">
        <v>1451</v>
      </c>
      <c r="C6" s="152">
        <v>-30</v>
      </c>
      <c r="D6" s="152">
        <v>0</v>
      </c>
      <c r="E6" s="152">
        <v>1615</v>
      </c>
      <c r="F6" s="152">
        <v>0</v>
      </c>
      <c r="G6" s="330"/>
      <c r="H6" s="330"/>
      <c r="I6" s="330"/>
      <c r="J6" s="330"/>
      <c r="K6" s="330"/>
      <c r="L6" s="330"/>
      <c r="M6" s="330"/>
      <c r="N6" s="330"/>
      <c r="O6" s="330"/>
      <c r="P6" s="330"/>
      <c r="Q6" s="330"/>
      <c r="R6" s="330"/>
      <c r="S6" s="330"/>
    </row>
    <row r="7" spans="2:19" ht="15" x14ac:dyDescent="0.25">
      <c r="B7" s="309" t="s">
        <v>1452</v>
      </c>
      <c r="C7" s="152">
        <v>-1730</v>
      </c>
      <c r="D7" s="152">
        <v>0</v>
      </c>
      <c r="E7" s="152">
        <v>-35</v>
      </c>
      <c r="F7" s="152">
        <v>0</v>
      </c>
      <c r="G7" s="330"/>
      <c r="H7" s="330"/>
      <c r="I7" s="330"/>
      <c r="J7" s="330"/>
      <c r="K7" s="330"/>
      <c r="L7" s="330"/>
      <c r="M7" s="330"/>
      <c r="N7" s="330"/>
      <c r="O7" s="330"/>
      <c r="P7" s="330"/>
      <c r="Q7" s="330"/>
      <c r="R7" s="330"/>
      <c r="S7" s="330"/>
    </row>
    <row r="8" spans="2:19" ht="15" x14ac:dyDescent="0.25">
      <c r="B8" s="309" t="s">
        <v>1525</v>
      </c>
      <c r="C8" s="152">
        <v>-30</v>
      </c>
      <c r="D8" s="152">
        <v>0</v>
      </c>
      <c r="E8" s="152">
        <v>-1685</v>
      </c>
      <c r="F8" s="152">
        <v>0</v>
      </c>
      <c r="G8" s="330"/>
      <c r="H8" s="330"/>
      <c r="I8" s="330"/>
      <c r="J8" s="330"/>
      <c r="K8" s="330"/>
      <c r="L8" s="330"/>
      <c r="M8" s="330"/>
      <c r="N8" s="330"/>
      <c r="O8" s="330"/>
      <c r="P8" s="330"/>
      <c r="Q8" s="330"/>
      <c r="R8" s="330"/>
      <c r="S8" s="330"/>
    </row>
    <row r="9" spans="2:19" x14ac:dyDescent="0.15">
      <c r="B9" s="12"/>
      <c r="G9" s="330"/>
      <c r="H9" s="330"/>
      <c r="I9" s="330"/>
      <c r="J9" s="330"/>
      <c r="K9" s="330"/>
      <c r="L9" s="330"/>
      <c r="M9" s="330"/>
      <c r="N9" s="330"/>
      <c r="O9" s="330"/>
      <c r="P9" s="330"/>
      <c r="Q9" s="330"/>
      <c r="R9" s="330"/>
      <c r="S9" s="330"/>
    </row>
    <row r="10" spans="2:19" x14ac:dyDescent="0.15">
      <c r="B10" s="58" t="s">
        <v>1520</v>
      </c>
      <c r="C10" s="309" t="s">
        <v>1454</v>
      </c>
      <c r="D10" s="309" t="s">
        <v>83</v>
      </c>
      <c r="G10" s="330"/>
      <c r="H10" s="330"/>
      <c r="I10" s="330"/>
      <c r="J10" s="330"/>
      <c r="K10" s="330"/>
      <c r="L10" s="330"/>
      <c r="M10" s="330"/>
      <c r="N10" s="330"/>
      <c r="O10" s="330"/>
      <c r="P10" s="330"/>
      <c r="Q10" s="330"/>
      <c r="R10" s="330"/>
      <c r="S10" s="330"/>
    </row>
    <row r="11" spans="2:19" ht="15" x14ac:dyDescent="0.25">
      <c r="B11" s="309" t="s">
        <v>1450</v>
      </c>
      <c r="C11" s="54">
        <f>C5-D5</f>
        <v>1670</v>
      </c>
      <c r="D11" s="54">
        <f>E5-F5</f>
        <v>-35</v>
      </c>
      <c r="G11" s="330"/>
      <c r="H11" s="330"/>
      <c r="I11" s="330"/>
      <c r="J11" s="330"/>
      <c r="K11" s="330"/>
      <c r="L11" s="330"/>
      <c r="M11" s="330"/>
      <c r="N11" s="330"/>
      <c r="O11" s="330"/>
      <c r="P11" s="330"/>
      <c r="Q11" s="330"/>
      <c r="R11" s="330"/>
      <c r="S11" s="330"/>
    </row>
    <row r="12" spans="2:19" ht="15" x14ac:dyDescent="0.25">
      <c r="B12" s="309" t="s">
        <v>1451</v>
      </c>
      <c r="C12" s="54">
        <f>C6-D6</f>
        <v>-30</v>
      </c>
      <c r="D12" s="54">
        <f>E6-F6</f>
        <v>1615</v>
      </c>
      <c r="G12" s="330"/>
      <c r="H12" s="330"/>
      <c r="I12" s="330"/>
      <c r="J12" s="330"/>
      <c r="K12" s="330"/>
      <c r="L12" s="330"/>
      <c r="M12" s="330"/>
      <c r="N12" s="330"/>
      <c r="O12" s="330"/>
      <c r="P12" s="330"/>
      <c r="Q12" s="330"/>
      <c r="R12" s="330"/>
      <c r="S12" s="330"/>
    </row>
    <row r="13" spans="2:19" ht="15" x14ac:dyDescent="0.25">
      <c r="B13" s="309" t="s">
        <v>1452</v>
      </c>
      <c r="C13" s="54">
        <f>C7-D7</f>
        <v>-1730</v>
      </c>
      <c r="D13" s="54">
        <f>E7-F7</f>
        <v>-35</v>
      </c>
      <c r="G13" s="330"/>
      <c r="H13" s="330"/>
      <c r="I13" s="330"/>
      <c r="J13" s="330"/>
      <c r="K13" s="330"/>
      <c r="L13" s="330"/>
      <c r="M13" s="330"/>
      <c r="N13" s="330"/>
      <c r="O13" s="330"/>
      <c r="P13" s="330"/>
      <c r="Q13" s="330"/>
      <c r="R13" s="330"/>
      <c r="S13" s="330"/>
    </row>
    <row r="14" spans="2:19" ht="15" x14ac:dyDescent="0.25">
      <c r="B14" s="309" t="s">
        <v>1453</v>
      </c>
      <c r="C14" s="54">
        <f>C8-D8</f>
        <v>-30</v>
      </c>
      <c r="D14" s="54">
        <f>E8-F8</f>
        <v>-1685</v>
      </c>
      <c r="G14" s="330"/>
      <c r="H14" s="330"/>
      <c r="I14" s="330"/>
      <c r="J14" s="330"/>
      <c r="K14" s="330"/>
      <c r="L14" s="330"/>
      <c r="M14" s="330"/>
      <c r="N14" s="330"/>
      <c r="O14" s="330"/>
      <c r="P14" s="330"/>
      <c r="Q14" s="330"/>
      <c r="R14" s="330"/>
      <c r="S14" s="330"/>
    </row>
    <row r="15" spans="2:19" x14ac:dyDescent="0.15">
      <c r="B15" s="12"/>
      <c r="G15" s="330"/>
      <c r="H15" s="330"/>
      <c r="I15" s="330"/>
      <c r="J15" s="330"/>
      <c r="K15" s="330"/>
      <c r="L15" s="330"/>
      <c r="M15" s="330"/>
      <c r="N15" s="330"/>
      <c r="O15" s="330"/>
      <c r="P15" s="330"/>
      <c r="Q15" s="330"/>
      <c r="R15" s="330"/>
      <c r="S15" s="330"/>
    </row>
    <row r="16" spans="2:19" x14ac:dyDescent="0.15">
      <c r="B16" s="58" t="s">
        <v>1457</v>
      </c>
      <c r="C16" s="309" t="s">
        <v>1454</v>
      </c>
      <c r="D16" s="309" t="s">
        <v>83</v>
      </c>
      <c r="G16" s="330"/>
      <c r="H16" s="330"/>
      <c r="I16" s="330"/>
      <c r="J16" s="330"/>
      <c r="K16" s="330"/>
      <c r="L16" s="330"/>
      <c r="M16" s="330"/>
      <c r="N16" s="330"/>
      <c r="O16" s="330"/>
      <c r="P16" s="330"/>
      <c r="Q16" s="330"/>
      <c r="R16" s="330"/>
      <c r="S16" s="330"/>
    </row>
    <row r="17" spans="2:19" x14ac:dyDescent="0.15">
      <c r="B17" s="309" t="s">
        <v>1457</v>
      </c>
      <c r="C17" s="54">
        <f>AVERAGE(C12,C14)</f>
        <v>-30</v>
      </c>
      <c r="D17" s="54">
        <f>AVERAGE(D11,D13)</f>
        <v>-35</v>
      </c>
      <c r="F17" t="s">
        <v>1458</v>
      </c>
      <c r="G17" s="330"/>
      <c r="H17" s="330"/>
      <c r="I17" s="330"/>
      <c r="J17" s="330"/>
      <c r="K17" s="330"/>
      <c r="L17" s="330"/>
      <c r="M17" s="330"/>
      <c r="N17" s="330"/>
      <c r="O17" s="330"/>
      <c r="P17" s="330"/>
      <c r="Q17" s="330"/>
      <c r="R17" s="330"/>
      <c r="S17" s="330"/>
    </row>
    <row r="18" spans="2:19" x14ac:dyDescent="0.15">
      <c r="B18" s="309" t="s">
        <v>1456</v>
      </c>
      <c r="C18" s="54">
        <f>(C11-C13)/2</f>
        <v>1700</v>
      </c>
      <c r="D18" s="54">
        <f>(D12-D14)/2</f>
        <v>1650</v>
      </c>
      <c r="G18" s="330"/>
      <c r="H18" s="330"/>
      <c r="I18" s="330"/>
      <c r="J18" s="330"/>
      <c r="K18" s="330"/>
      <c r="L18" s="330"/>
      <c r="M18" s="330"/>
      <c r="N18" s="330"/>
      <c r="O18" s="330"/>
      <c r="P18" s="330"/>
      <c r="Q18" s="330"/>
      <c r="R18" s="330"/>
      <c r="S18" s="330"/>
    </row>
    <row r="19" spans="2:19" x14ac:dyDescent="0.15">
      <c r="B19" s="12"/>
      <c r="G19" s="330"/>
      <c r="H19" s="330"/>
      <c r="I19" s="330"/>
      <c r="J19" s="330"/>
      <c r="K19" s="330"/>
      <c r="L19" s="330"/>
      <c r="M19" s="330"/>
      <c r="N19" s="330"/>
      <c r="O19" s="330"/>
      <c r="P19" s="330"/>
      <c r="Q19" s="330"/>
      <c r="R19" s="330"/>
      <c r="S19" s="330"/>
    </row>
    <row r="20" spans="2:19" x14ac:dyDescent="0.15">
      <c r="B20" s="58" t="s">
        <v>1460</v>
      </c>
      <c r="C20" s="309" t="s">
        <v>1454</v>
      </c>
      <c r="D20" s="309" t="s">
        <v>83</v>
      </c>
      <c r="G20" s="330"/>
      <c r="H20" s="330"/>
      <c r="I20" s="330"/>
      <c r="J20" s="330"/>
      <c r="K20" s="330"/>
      <c r="L20" s="330"/>
      <c r="M20" s="330"/>
      <c r="N20" s="330"/>
      <c r="O20" s="330"/>
      <c r="P20" s="330"/>
      <c r="Q20" s="330"/>
      <c r="R20" s="330"/>
      <c r="S20" s="330"/>
    </row>
    <row r="21" spans="2:19" ht="15" x14ac:dyDescent="0.25">
      <c r="B21" s="309" t="s">
        <v>1450</v>
      </c>
      <c r="C21" s="54">
        <f>(C11-C$17)/C$18</f>
        <v>1</v>
      </c>
      <c r="D21" s="54">
        <f>(D11-D$17)/D$18</f>
        <v>0</v>
      </c>
      <c r="G21" s="330"/>
      <c r="H21" s="330"/>
      <c r="I21" s="330"/>
      <c r="J21" s="330"/>
      <c r="K21" s="330"/>
      <c r="L21" s="330"/>
      <c r="M21" s="330"/>
      <c r="N21" s="330"/>
      <c r="O21" s="330"/>
      <c r="P21" s="330"/>
      <c r="Q21" s="330"/>
      <c r="R21" s="330"/>
      <c r="S21" s="330"/>
    </row>
    <row r="22" spans="2:19" ht="15" x14ac:dyDescent="0.25">
      <c r="B22" s="309" t="s">
        <v>1451</v>
      </c>
      <c r="C22" s="54">
        <f t="shared" ref="C22:D24" si="0">(C12-C$17)/C$18</f>
        <v>0</v>
      </c>
      <c r="D22" s="54">
        <f t="shared" si="0"/>
        <v>1</v>
      </c>
      <c r="G22" s="330"/>
      <c r="H22" s="330"/>
      <c r="I22" s="330"/>
      <c r="J22" s="330"/>
      <c r="K22" s="330"/>
      <c r="L22" s="330"/>
      <c r="M22" s="330"/>
      <c r="N22" s="330"/>
      <c r="O22" s="330"/>
      <c r="P22" s="330"/>
      <c r="Q22" s="330"/>
      <c r="R22" s="330"/>
      <c r="S22" s="330"/>
    </row>
    <row r="23" spans="2:19" ht="15" x14ac:dyDescent="0.25">
      <c r="B23" s="309" t="s">
        <v>1452</v>
      </c>
      <c r="C23" s="54">
        <f t="shared" si="0"/>
        <v>-1</v>
      </c>
      <c r="D23" s="54">
        <f t="shared" si="0"/>
        <v>0</v>
      </c>
      <c r="G23" s="330"/>
      <c r="H23" s="330"/>
      <c r="I23" s="330"/>
      <c r="J23" s="330"/>
      <c r="K23" s="330"/>
      <c r="L23" s="330"/>
      <c r="M23" s="330"/>
      <c r="N23" s="330"/>
      <c r="O23" s="330"/>
      <c r="P23" s="330"/>
      <c r="Q23" s="330"/>
      <c r="R23" s="330"/>
      <c r="S23" s="330"/>
    </row>
    <row r="24" spans="2:19" ht="15" x14ac:dyDescent="0.25">
      <c r="B24" s="309" t="s">
        <v>1453</v>
      </c>
      <c r="C24" s="54">
        <f t="shared" si="0"/>
        <v>0</v>
      </c>
      <c r="D24" s="54">
        <f t="shared" si="0"/>
        <v>-1</v>
      </c>
      <c r="G24" s="330"/>
      <c r="H24" s="330"/>
      <c r="I24" s="330"/>
      <c r="J24" s="330"/>
      <c r="K24" s="330"/>
      <c r="L24" s="330"/>
      <c r="M24" s="330"/>
      <c r="N24" s="330"/>
      <c r="O24" s="330"/>
      <c r="P24" s="330"/>
      <c r="Q24" s="330"/>
      <c r="R24" s="330"/>
      <c r="S24" s="330"/>
    </row>
    <row r="25" spans="2:19" x14ac:dyDescent="0.15">
      <c r="B25" s="12"/>
      <c r="G25" s="330"/>
      <c r="H25" s="330"/>
      <c r="I25" s="330"/>
      <c r="J25" s="330"/>
      <c r="K25" s="330"/>
      <c r="L25" s="330"/>
      <c r="M25" s="330"/>
      <c r="N25" s="330"/>
      <c r="O25" s="330"/>
      <c r="P25" s="330"/>
      <c r="Q25" s="330"/>
      <c r="R25" s="330"/>
      <c r="S25" s="330"/>
    </row>
    <row r="26" spans="2:19" x14ac:dyDescent="0.15">
      <c r="B26" s="57" t="s">
        <v>1455</v>
      </c>
      <c r="C26" s="309" t="s">
        <v>1446</v>
      </c>
      <c r="D26" s="309" t="s">
        <v>1447</v>
      </c>
      <c r="E26" s="309" t="s">
        <v>1448</v>
      </c>
      <c r="F26" s="309" t="s">
        <v>1449</v>
      </c>
      <c r="G26" s="330"/>
      <c r="H26" s="330"/>
      <c r="I26" s="330"/>
      <c r="J26" s="330"/>
      <c r="K26" s="330"/>
      <c r="L26" s="330"/>
      <c r="M26" s="330"/>
      <c r="N26" s="330"/>
      <c r="O26" s="330"/>
      <c r="P26" s="330"/>
      <c r="Q26" s="330"/>
      <c r="R26" s="330"/>
      <c r="S26" s="330"/>
    </row>
    <row r="27" spans="2:19" ht="15" x14ac:dyDescent="0.25">
      <c r="B27" s="309" t="s">
        <v>1450</v>
      </c>
      <c r="C27" s="152">
        <v>1410.16</v>
      </c>
      <c r="D27" s="152">
        <f t="shared" ref="D27:F27" si="1">D7</f>
        <v>0</v>
      </c>
      <c r="E27" s="152">
        <v>-1251.6400000000001</v>
      </c>
      <c r="F27" s="152">
        <f t="shared" si="1"/>
        <v>0</v>
      </c>
      <c r="G27" s="330"/>
      <c r="H27" s="330"/>
      <c r="I27" s="330"/>
      <c r="J27" s="330"/>
      <c r="K27" s="330"/>
      <c r="L27" s="330"/>
      <c r="M27" s="330"/>
      <c r="N27" s="330"/>
      <c r="O27" s="330"/>
      <c r="P27" s="330"/>
      <c r="Q27" s="330"/>
      <c r="R27" s="330"/>
      <c r="S27" s="330"/>
    </row>
    <row r="28" spans="2:19" x14ac:dyDescent="0.15">
      <c r="B28" s="58"/>
      <c r="C28" s="98"/>
      <c r="D28" s="98"/>
      <c r="E28" s="98"/>
      <c r="F28" s="98"/>
      <c r="G28" s="330"/>
      <c r="H28" s="330"/>
      <c r="I28" s="330"/>
      <c r="J28" s="330"/>
      <c r="K28" s="330"/>
      <c r="L28" s="330"/>
      <c r="M28" s="330"/>
      <c r="N28" s="330"/>
      <c r="O28" s="330"/>
      <c r="P28" s="330"/>
      <c r="Q28" s="330"/>
      <c r="R28" s="330"/>
      <c r="S28" s="330"/>
    </row>
    <row r="29" spans="2:19" x14ac:dyDescent="0.15">
      <c r="B29" s="57" t="s">
        <v>1463</v>
      </c>
      <c r="D29" s="98"/>
      <c r="E29" s="98"/>
      <c r="F29" s="98"/>
      <c r="G29" s="330"/>
      <c r="H29" s="330"/>
      <c r="I29" s="330"/>
      <c r="J29" s="330"/>
      <c r="K29" s="330"/>
      <c r="L29" s="330"/>
      <c r="M29" s="330"/>
      <c r="N29" s="330"/>
      <c r="O29" s="330"/>
      <c r="P29" s="330"/>
      <c r="Q29" s="330"/>
      <c r="R29" s="330"/>
      <c r="S29" s="330"/>
    </row>
    <row r="30" spans="2:19" x14ac:dyDescent="0.15">
      <c r="B30" s="309" t="s">
        <v>1454</v>
      </c>
      <c r="C30" s="54">
        <f>C27-D27</f>
        <v>1410.16</v>
      </c>
      <c r="D30" s="98"/>
      <c r="E30" s="98"/>
      <c r="F30" s="98"/>
      <c r="G30" s="330"/>
      <c r="H30" s="330"/>
      <c r="I30" s="330"/>
      <c r="J30" s="330"/>
      <c r="K30" s="330"/>
      <c r="L30" s="330"/>
      <c r="M30" s="330"/>
      <c r="N30" s="330"/>
      <c r="O30" s="330"/>
      <c r="P30" s="330"/>
      <c r="Q30" s="330"/>
      <c r="R30" s="330"/>
      <c r="S30" s="330"/>
    </row>
    <row r="31" spans="2:19" x14ac:dyDescent="0.15">
      <c r="B31" s="309" t="s">
        <v>83</v>
      </c>
      <c r="C31" s="54">
        <f>E27-F27</f>
        <v>-1251.6400000000001</v>
      </c>
      <c r="D31" s="98"/>
      <c r="E31" s="98"/>
      <c r="F31" s="98"/>
      <c r="G31" s="330"/>
      <c r="H31" s="330"/>
      <c r="I31" s="330"/>
      <c r="J31" s="330"/>
      <c r="K31" s="330"/>
      <c r="L31" s="330"/>
      <c r="M31" s="330"/>
      <c r="N31" s="330"/>
      <c r="O31" s="330"/>
      <c r="P31" s="330"/>
      <c r="Q31" s="330"/>
      <c r="R31" s="330"/>
      <c r="S31" s="330"/>
    </row>
    <row r="32" spans="2:19" x14ac:dyDescent="0.15">
      <c r="B32" s="58"/>
      <c r="C32" s="98"/>
      <c r="D32" s="98"/>
      <c r="E32" s="98"/>
      <c r="F32" s="98"/>
      <c r="G32" s="330"/>
      <c r="H32" s="330"/>
      <c r="I32" s="330"/>
      <c r="J32" s="330"/>
      <c r="K32" s="330"/>
      <c r="L32" s="330"/>
      <c r="M32" s="330"/>
      <c r="N32" s="330"/>
      <c r="O32" s="330"/>
      <c r="P32" s="330"/>
      <c r="Q32" s="330"/>
      <c r="R32" s="330"/>
      <c r="S32" s="330"/>
    </row>
    <row r="33" spans="2:19" x14ac:dyDescent="0.15">
      <c r="B33" s="9" t="s">
        <v>1459</v>
      </c>
      <c r="G33" s="330"/>
      <c r="H33" s="330"/>
      <c r="I33" s="330"/>
      <c r="J33" s="330"/>
      <c r="K33" s="330"/>
      <c r="L33" s="330"/>
      <c r="M33" s="330"/>
      <c r="N33" s="330"/>
      <c r="O33" s="330"/>
      <c r="P33" s="330"/>
      <c r="Q33" s="330"/>
      <c r="R33" s="330"/>
      <c r="S33" s="330"/>
    </row>
    <row r="34" spans="2:19" x14ac:dyDescent="0.15">
      <c r="B34" s="309" t="s">
        <v>1454</v>
      </c>
      <c r="C34" s="730">
        <f>(C30-C17)/C18</f>
        <v>0.84715294117647066</v>
      </c>
      <c r="G34" s="330"/>
      <c r="H34" s="330"/>
      <c r="I34" s="330"/>
      <c r="J34" s="330"/>
      <c r="K34" s="330"/>
      <c r="L34" s="330"/>
      <c r="M34" s="330"/>
      <c r="N34" s="330"/>
      <c r="O34" s="330"/>
      <c r="P34" s="330"/>
      <c r="Q34" s="330"/>
      <c r="R34" s="330"/>
      <c r="S34" s="330"/>
    </row>
    <row r="35" spans="2:19" x14ac:dyDescent="0.15">
      <c r="B35" s="309" t="s">
        <v>83</v>
      </c>
      <c r="C35" s="730">
        <f>(C31-D17)/D18</f>
        <v>-0.73735757575757577</v>
      </c>
      <c r="G35" s="330"/>
      <c r="H35" s="330"/>
      <c r="I35" s="330"/>
      <c r="J35" s="330"/>
      <c r="K35" s="330"/>
      <c r="L35" s="330"/>
      <c r="M35" s="330"/>
      <c r="N35" s="330"/>
      <c r="O35" s="330"/>
      <c r="P35" s="330"/>
      <c r="Q35" s="330"/>
      <c r="R35" s="330"/>
      <c r="S35" s="330"/>
    </row>
    <row r="36" spans="2:19" x14ac:dyDescent="0.15">
      <c r="B36" s="12"/>
      <c r="G36" s="330"/>
      <c r="H36" s="330"/>
      <c r="I36" s="330"/>
      <c r="J36" s="330"/>
      <c r="K36" s="330"/>
      <c r="L36" s="330"/>
      <c r="M36" s="330"/>
      <c r="N36" s="330"/>
      <c r="O36" s="330"/>
      <c r="P36" s="330"/>
      <c r="Q36" s="330"/>
      <c r="R36" s="330"/>
      <c r="S36" s="330"/>
    </row>
    <row r="37" spans="2:19" x14ac:dyDescent="0.15">
      <c r="B37" s="57" t="s">
        <v>1462</v>
      </c>
      <c r="G37" s="330"/>
      <c r="H37" s="330"/>
      <c r="I37" s="330"/>
      <c r="J37" s="330"/>
      <c r="K37" s="330"/>
      <c r="L37" s="330"/>
      <c r="M37" s="330"/>
      <c r="N37" s="330"/>
      <c r="O37" s="330"/>
      <c r="P37" s="330"/>
      <c r="Q37" s="330"/>
      <c r="R37" s="330"/>
      <c r="S37" s="330"/>
    </row>
    <row r="38" spans="2:19" x14ac:dyDescent="0.15">
      <c r="B38" s="57" t="s">
        <v>1464</v>
      </c>
      <c r="C38" s="45">
        <v>1.5209999999999999</v>
      </c>
      <c r="E38" t="s">
        <v>1558</v>
      </c>
      <c r="G38" s="330"/>
      <c r="H38" s="330"/>
      <c r="I38" s="330"/>
      <c r="J38" s="330"/>
      <c r="K38" s="330"/>
      <c r="L38" s="330"/>
      <c r="M38" s="330"/>
      <c r="N38" s="330"/>
      <c r="O38" s="330"/>
      <c r="P38" s="330"/>
      <c r="Q38" s="330"/>
      <c r="R38" s="330"/>
      <c r="S38" s="330"/>
    </row>
    <row r="39" spans="2:19" x14ac:dyDescent="0.15">
      <c r="B39" s="309" t="s">
        <v>1454</v>
      </c>
      <c r="C39" s="730">
        <f>SIGN(C34)*(ABS(C34)^C38)</f>
        <v>0.77701594818808206</v>
      </c>
      <c r="G39" s="330"/>
      <c r="H39" s="330"/>
      <c r="I39" s="330"/>
      <c r="J39" s="330"/>
      <c r="K39" s="330"/>
      <c r="L39" s="330"/>
      <c r="M39" s="330"/>
      <c r="N39" s="330"/>
      <c r="O39" s="330"/>
      <c r="P39" s="330"/>
      <c r="Q39" s="330"/>
      <c r="R39" s="330"/>
      <c r="S39" s="330"/>
    </row>
    <row r="40" spans="2:19" x14ac:dyDescent="0.15">
      <c r="B40" s="309" t="s">
        <v>83</v>
      </c>
      <c r="C40" s="730">
        <f>SIGN(C35)*(ABS(C35)^C38)</f>
        <v>-0.62912719845973908</v>
      </c>
      <c r="G40" s="330"/>
      <c r="H40" s="330"/>
      <c r="I40" s="330"/>
      <c r="J40" s="330"/>
      <c r="K40" s="330"/>
      <c r="L40" s="330"/>
      <c r="M40" s="330"/>
      <c r="N40" s="330"/>
      <c r="O40" s="330"/>
      <c r="P40" s="330"/>
      <c r="Q40" s="330"/>
      <c r="R40" s="330"/>
      <c r="S40" s="330"/>
    </row>
    <row r="41" spans="2:19" x14ac:dyDescent="0.15">
      <c r="B41" s="12"/>
      <c r="G41" s="330"/>
      <c r="H41" s="330"/>
      <c r="I41" s="330"/>
      <c r="J41" s="330"/>
      <c r="K41" s="330"/>
      <c r="L41" s="330"/>
      <c r="M41" s="330"/>
      <c r="N41" s="330"/>
      <c r="O41" s="330"/>
      <c r="P41" s="330"/>
      <c r="Q41" s="330"/>
      <c r="R41" s="330"/>
      <c r="S41" s="330"/>
    </row>
    <row r="42" spans="2:19" ht="15" x14ac:dyDescent="0.25">
      <c r="B42" s="309" t="s">
        <v>1488</v>
      </c>
      <c r="C42" s="54">
        <f>IF(C39&lt;0,180,IF(C40&lt;0,360,0))</f>
        <v>360</v>
      </c>
      <c r="D42" s="19" t="s">
        <v>539</v>
      </c>
      <c r="G42" s="330"/>
      <c r="H42" s="330"/>
      <c r="I42" s="330"/>
      <c r="J42" s="330"/>
      <c r="K42" s="330"/>
      <c r="L42" s="330"/>
      <c r="M42" s="330"/>
      <c r="N42" s="330"/>
      <c r="O42" s="330"/>
      <c r="P42" s="330"/>
      <c r="Q42" s="330"/>
      <c r="R42" s="330"/>
      <c r="S42" s="330"/>
    </row>
    <row r="43" spans="2:19" ht="15" x14ac:dyDescent="0.25">
      <c r="B43" s="309" t="s">
        <v>1465</v>
      </c>
      <c r="C43" s="730">
        <f>ATAN2(C39,C40)</f>
        <v>-0.68061007422545483</v>
      </c>
      <c r="D43" s="19" t="s">
        <v>1466</v>
      </c>
      <c r="G43" s="330"/>
      <c r="H43" s="330"/>
      <c r="I43" s="330"/>
      <c r="J43" s="330"/>
      <c r="K43" s="330"/>
      <c r="L43" s="330"/>
      <c r="M43" s="330"/>
      <c r="N43" s="330"/>
      <c r="O43" s="330"/>
      <c r="P43" s="330"/>
      <c r="Q43" s="330"/>
      <c r="R43" s="330"/>
      <c r="S43" s="330"/>
    </row>
    <row r="44" spans="2:19" ht="15" x14ac:dyDescent="0.25">
      <c r="B44" s="309" t="s">
        <v>1465</v>
      </c>
      <c r="C44" s="54">
        <f>DEGREES(C43)</f>
        <v>-38.996084747204257</v>
      </c>
      <c r="D44" s="19" t="s">
        <v>539</v>
      </c>
      <c r="G44" s="330"/>
      <c r="H44" s="330"/>
      <c r="I44" s="330"/>
      <c r="J44" s="330"/>
      <c r="K44" s="330"/>
      <c r="L44" s="330"/>
      <c r="M44" s="330"/>
      <c r="N44" s="330"/>
      <c r="O44" s="330"/>
      <c r="P44" s="330"/>
      <c r="Q44" s="330"/>
      <c r="R44" s="330"/>
      <c r="S44" s="330"/>
    </row>
    <row r="45" spans="2:19" x14ac:dyDescent="0.15">
      <c r="B45" s="12"/>
      <c r="G45" s="330"/>
      <c r="H45" s="330"/>
      <c r="I45" s="330"/>
      <c r="J45" s="330"/>
      <c r="K45" s="330"/>
      <c r="L45" s="330"/>
      <c r="M45" s="330"/>
      <c r="N45" s="330"/>
      <c r="O45" s="330"/>
      <c r="P45" s="330"/>
      <c r="Q45" s="330"/>
      <c r="R45" s="330"/>
      <c r="S45" s="330"/>
    </row>
    <row r="46" spans="2:19" x14ac:dyDescent="0.15">
      <c r="B46" s="58" t="s">
        <v>1489</v>
      </c>
    </row>
    <row r="47" spans="2:19" x14ac:dyDescent="0.15">
      <c r="B47" s="58" t="s">
        <v>1460</v>
      </c>
      <c r="C47" s="309" t="s">
        <v>1454</v>
      </c>
      <c r="D47" s="309" t="s">
        <v>83</v>
      </c>
    </row>
    <row r="48" spans="2:19" ht="15" x14ac:dyDescent="0.25">
      <c r="B48" s="309" t="s">
        <v>1528</v>
      </c>
      <c r="C48" s="715">
        <f>SIGN(C21)*ABS(C21)^$C$38</f>
        <v>1</v>
      </c>
      <c r="D48" s="715">
        <f>SIGN(D21)*ABS(D21)^$C$38</f>
        <v>0</v>
      </c>
    </row>
    <row r="49" spans="2:4" ht="15" x14ac:dyDescent="0.25">
      <c r="B49" s="309" t="s">
        <v>1529</v>
      </c>
      <c r="C49" s="715">
        <f t="shared" ref="C49:D51" si="2">SIGN(C22)*ABS(C22)^$C$38</f>
        <v>0</v>
      </c>
      <c r="D49" s="715">
        <f t="shared" si="2"/>
        <v>1</v>
      </c>
    </row>
    <row r="50" spans="2:4" ht="15" x14ac:dyDescent="0.25">
      <c r="B50" s="309" t="s">
        <v>1530</v>
      </c>
      <c r="C50" s="715">
        <f t="shared" si="2"/>
        <v>-1</v>
      </c>
      <c r="D50" s="715">
        <f t="shared" si="2"/>
        <v>0</v>
      </c>
    </row>
    <row r="51" spans="2:4" ht="15" x14ac:dyDescent="0.25">
      <c r="B51" s="741" t="s">
        <v>1531</v>
      </c>
      <c r="C51" s="742">
        <f t="shared" si="2"/>
        <v>0</v>
      </c>
      <c r="D51" s="715">
        <f t="shared" si="2"/>
        <v>-1</v>
      </c>
    </row>
    <row r="52" spans="2:4" x14ac:dyDescent="0.15">
      <c r="B52" s="745"/>
      <c r="C52" s="746"/>
      <c r="D52" s="740"/>
    </row>
    <row r="53" spans="2:4" x14ac:dyDescent="0.15">
      <c r="B53" s="743" t="s">
        <v>1521</v>
      </c>
      <c r="C53" s="744">
        <f>DEGREES(ATAN2(C48,D48))</f>
        <v>0</v>
      </c>
    </row>
    <row r="54" spans="2:4" x14ac:dyDescent="0.15">
      <c r="B54" s="309" t="s">
        <v>1522</v>
      </c>
      <c r="C54" s="715">
        <f t="shared" ref="C54:C56" si="3">DEGREES(ATAN2(C49,D49))</f>
        <v>90</v>
      </c>
    </row>
    <row r="55" spans="2:4" x14ac:dyDescent="0.15">
      <c r="B55" s="309" t="s">
        <v>1523</v>
      </c>
      <c r="C55" s="715">
        <f t="shared" si="3"/>
        <v>180</v>
      </c>
    </row>
    <row r="56" spans="2:4" x14ac:dyDescent="0.15">
      <c r="B56" s="309" t="s">
        <v>1524</v>
      </c>
      <c r="C56" s="715">
        <f t="shared" si="3"/>
        <v>-90</v>
      </c>
    </row>
    <row r="57" spans="2:4" ht="15" x14ac:dyDescent="0.25">
      <c r="B57" s="309" t="s">
        <v>1493</v>
      </c>
      <c r="C57" s="715">
        <f>-C53</f>
        <v>0</v>
      </c>
      <c r="D57" s="19" t="s">
        <v>539</v>
      </c>
    </row>
    <row r="58" spans="2:4" ht="15" x14ac:dyDescent="0.25">
      <c r="B58" s="735" t="s">
        <v>1494</v>
      </c>
      <c r="C58" s="715">
        <f>180-C55</f>
        <v>0</v>
      </c>
      <c r="D58" s="19" t="s">
        <v>539</v>
      </c>
    </row>
    <row r="59" spans="2:4" ht="15" x14ac:dyDescent="0.25">
      <c r="B59" s="309" t="s">
        <v>1490</v>
      </c>
      <c r="C59" s="715">
        <f>C54-90</f>
        <v>0</v>
      </c>
      <c r="D59" s="19" t="s">
        <v>539</v>
      </c>
    </row>
    <row r="60" spans="2:4" ht="15" x14ac:dyDescent="0.25">
      <c r="B60" s="735" t="s">
        <v>1491</v>
      </c>
      <c r="C60" s="715">
        <f>90+C56</f>
        <v>0</v>
      </c>
      <c r="D60" s="19" t="s">
        <v>539</v>
      </c>
    </row>
    <row r="61" spans="2:4" ht="15" x14ac:dyDescent="0.25">
      <c r="B61" s="735" t="s">
        <v>1495</v>
      </c>
      <c r="C61" s="715">
        <f>IF(C40&lt;0,C58,C57)</f>
        <v>0</v>
      </c>
      <c r="D61" s="19" t="s">
        <v>539</v>
      </c>
    </row>
    <row r="62" spans="2:4" ht="15" x14ac:dyDescent="0.25">
      <c r="B62" s="735" t="s">
        <v>1492</v>
      </c>
      <c r="C62" s="715">
        <f>IF(C39&lt;0,C59,C60)</f>
        <v>0</v>
      </c>
      <c r="D62" s="19" t="s">
        <v>539</v>
      </c>
    </row>
    <row r="63" spans="2:4" ht="15" x14ac:dyDescent="0.25">
      <c r="B63" s="735" t="s">
        <v>1526</v>
      </c>
      <c r="C63" s="715">
        <f>-C62*(C39^2)-C61*(C40^2)</f>
        <v>0</v>
      </c>
      <c r="D63" s="19" t="s">
        <v>539</v>
      </c>
    </row>
    <row r="64" spans="2:4" x14ac:dyDescent="0.15">
      <c r="B64" s="12"/>
    </row>
    <row r="65" spans="2:10" ht="15.75" x14ac:dyDescent="0.25">
      <c r="B65" s="738" t="s">
        <v>1527</v>
      </c>
      <c r="C65" s="47">
        <f>C44-C63</f>
        <v>-38.996084747204257</v>
      </c>
      <c r="D65" s="739" t="s">
        <v>539</v>
      </c>
    </row>
    <row r="68" spans="2:10" ht="17.25" x14ac:dyDescent="0.2">
      <c r="B68" s="770" t="s">
        <v>1559</v>
      </c>
    </row>
    <row r="69" spans="2:10" x14ac:dyDescent="0.15">
      <c r="B69" s="7" t="s">
        <v>1560</v>
      </c>
    </row>
    <row r="70" spans="2:10" x14ac:dyDescent="0.15">
      <c r="B70" s="9" t="s">
        <v>1487</v>
      </c>
      <c r="C70" t="s">
        <v>1561</v>
      </c>
    </row>
    <row r="71" spans="2:10" x14ac:dyDescent="0.15">
      <c r="B71" s="9" t="s">
        <v>1487</v>
      </c>
      <c r="C71" t="s">
        <v>1562</v>
      </c>
    </row>
    <row r="72" spans="2:10" ht="15" x14ac:dyDescent="0.25">
      <c r="B72" s="9" t="s">
        <v>1554</v>
      </c>
      <c r="C72" t="s">
        <v>1563</v>
      </c>
    </row>
    <row r="73" spans="2:10" x14ac:dyDescent="0.15">
      <c r="B73" s="9" t="s">
        <v>1555</v>
      </c>
      <c r="C73" t="s">
        <v>1557</v>
      </c>
    </row>
    <row r="74" spans="2:10" x14ac:dyDescent="0.15">
      <c r="B74" s="9" t="s">
        <v>1556</v>
      </c>
      <c r="C74" t="s">
        <v>1564</v>
      </c>
    </row>
    <row r="75" spans="2:10" x14ac:dyDescent="0.15">
      <c r="D75" s="330"/>
      <c r="E75" s="330"/>
      <c r="F75" s="330"/>
      <c r="G75" s="330"/>
      <c r="H75" s="330"/>
      <c r="I75" s="330"/>
      <c r="J75" s="330"/>
    </row>
    <row r="76" spans="2:10" x14ac:dyDescent="0.15">
      <c r="B76" s="28" t="s">
        <v>1476</v>
      </c>
      <c r="C76" s="788">
        <v>1.52</v>
      </c>
      <c r="D76" s="330"/>
      <c r="E76" s="330"/>
      <c r="F76" s="330"/>
      <c r="G76" s="330"/>
      <c r="H76" s="330"/>
      <c r="I76" s="330"/>
      <c r="J76" s="330"/>
    </row>
    <row r="77" spans="2:10" x14ac:dyDescent="0.15">
      <c r="B77" s="65" t="s">
        <v>1565</v>
      </c>
      <c r="C77" s="732">
        <f>1/C76</f>
        <v>0.65789473684210531</v>
      </c>
      <c r="D77" s="330"/>
      <c r="E77" s="330"/>
      <c r="F77" s="330"/>
      <c r="G77" s="330"/>
      <c r="H77" s="330"/>
      <c r="I77" s="330"/>
      <c r="J77" s="330"/>
    </row>
    <row r="78" spans="2:10" x14ac:dyDescent="0.15">
      <c r="B78" s="65" t="s">
        <v>1566</v>
      </c>
      <c r="C78" s="789">
        <v>1700</v>
      </c>
      <c r="D78" s="330"/>
      <c r="E78" s="330"/>
      <c r="F78" s="330"/>
      <c r="G78" s="330"/>
      <c r="H78" s="330"/>
      <c r="I78" s="330"/>
      <c r="J78" s="330"/>
    </row>
    <row r="79" spans="2:10" x14ac:dyDescent="0.15">
      <c r="B79" s="65" t="s">
        <v>1567</v>
      </c>
      <c r="C79" s="789">
        <v>-30</v>
      </c>
      <c r="D79" s="330"/>
      <c r="E79" s="330"/>
      <c r="F79" s="330"/>
      <c r="G79" s="330"/>
      <c r="H79" s="330"/>
      <c r="I79" s="330"/>
      <c r="J79" s="330"/>
    </row>
    <row r="80" spans="2:10" x14ac:dyDescent="0.15">
      <c r="B80" s="65" t="s">
        <v>1568</v>
      </c>
      <c r="C80" s="789">
        <v>1650</v>
      </c>
      <c r="D80" s="330"/>
      <c r="E80" s="330"/>
      <c r="F80" s="330"/>
      <c r="G80" s="330"/>
      <c r="H80" s="330"/>
      <c r="I80" s="330"/>
      <c r="J80" s="330"/>
    </row>
    <row r="81" spans="1:21" x14ac:dyDescent="0.15">
      <c r="B81" s="65" t="s">
        <v>1569</v>
      </c>
      <c r="C81" s="789">
        <v>-35</v>
      </c>
      <c r="D81" s="330"/>
      <c r="E81" s="330"/>
      <c r="F81" s="330"/>
      <c r="G81" s="330"/>
      <c r="H81" s="330"/>
      <c r="I81" s="330"/>
      <c r="J81" s="330"/>
    </row>
    <row r="82" spans="1:21" x14ac:dyDescent="0.15">
      <c r="D82" s="330"/>
      <c r="E82" s="330"/>
      <c r="F82" s="330"/>
      <c r="G82" s="330"/>
      <c r="H82" s="330"/>
      <c r="I82" s="330"/>
      <c r="J82" s="330"/>
    </row>
    <row r="83" spans="1:21" x14ac:dyDescent="0.15">
      <c r="B83" s="9" t="s">
        <v>1553</v>
      </c>
      <c r="D83" s="330"/>
      <c r="E83" s="330"/>
      <c r="F83" s="330"/>
      <c r="G83" s="330"/>
      <c r="H83" s="330"/>
      <c r="I83" s="330"/>
      <c r="J83" s="778" t="s">
        <v>1485</v>
      </c>
      <c r="M83" s="9" t="s">
        <v>1479</v>
      </c>
    </row>
    <row r="84" spans="1:21" ht="15" x14ac:dyDescent="0.25">
      <c r="A84" s="330"/>
      <c r="B84" s="330"/>
      <c r="C84" s="729" t="s">
        <v>1468</v>
      </c>
      <c r="D84" s="729" t="s">
        <v>1469</v>
      </c>
      <c r="E84" s="729" t="s">
        <v>1470</v>
      </c>
      <c r="F84" s="729" t="s">
        <v>1471</v>
      </c>
      <c r="G84" s="729" t="s">
        <v>1474</v>
      </c>
      <c r="H84" s="729" t="s">
        <v>1475</v>
      </c>
      <c r="I84" s="9"/>
      <c r="J84" s="729" t="s">
        <v>1472</v>
      </c>
      <c r="K84" s="729" t="s">
        <v>1473</v>
      </c>
      <c r="M84" s="729" t="s">
        <v>1454</v>
      </c>
      <c r="N84" s="729" t="s">
        <v>83</v>
      </c>
      <c r="P84" s="729" t="s">
        <v>1482</v>
      </c>
      <c r="Q84" s="729" t="s">
        <v>1483</v>
      </c>
      <c r="S84" s="536" t="s">
        <v>1570</v>
      </c>
      <c r="U84" s="771" t="s">
        <v>1484</v>
      </c>
    </row>
    <row r="85" spans="1:21" x14ac:dyDescent="0.15">
      <c r="A85" s="330"/>
      <c r="B85" s="330"/>
      <c r="C85" s="264">
        <f>0</f>
        <v>0</v>
      </c>
      <c r="D85" s="732">
        <f>RADIANS(C85)</f>
        <v>0</v>
      </c>
      <c r="E85" s="152">
        <f>(SIGN(COS(D85))*(ABS(COS(D85))^C$77))*C$78+C$79</f>
        <v>1670</v>
      </c>
      <c r="F85" s="152"/>
      <c r="G85" s="152">
        <f>(SIGN(SIN(D85))*(ABS(SIN(D85))^C$77))*C$80+C$81</f>
        <v>-35</v>
      </c>
      <c r="H85" s="152"/>
      <c r="J85" s="732">
        <f>((E85-F85)-C$79)/C$78</f>
        <v>1</v>
      </c>
      <c r="K85" s="732">
        <f>((G85-H85)-C$81)/C$80</f>
        <v>0</v>
      </c>
      <c r="M85" s="732">
        <f>(SIGN(COS(D85))*ABS(COS(D85))^U$85)</f>
        <v>1</v>
      </c>
      <c r="N85" s="732">
        <f>(SIGN(SIN(D85))*ABS(SIN(D85))^U$85)</f>
        <v>0</v>
      </c>
      <c r="P85" s="732">
        <f>(J85-M85)^2</f>
        <v>0</v>
      </c>
      <c r="Q85" s="732">
        <f>(K85-N85)^2</f>
        <v>0</v>
      </c>
      <c r="S85" s="772">
        <f>SUM(P85:Q96)</f>
        <v>4.9304591730170647E-32</v>
      </c>
      <c r="U85" s="734">
        <f>IF(U88&lt;0.2,0.2,U88)</f>
        <v>0.6578947368421052</v>
      </c>
    </row>
    <row r="86" spans="1:21" x14ac:dyDescent="0.15">
      <c r="A86" s="330"/>
      <c r="B86" s="330"/>
      <c r="C86" s="264">
        <v>30</v>
      </c>
      <c r="D86" s="732">
        <f t="shared" ref="D86:D96" si="4">RADIANS(C86)</f>
        <v>0.52359877559829882</v>
      </c>
      <c r="E86" s="152">
        <f t="shared" ref="E86:E96" si="5">(SIGN(COS(D86))*(ABS(COS(D86))^C$77))*C$78+C$79</f>
        <v>1516.502593860416</v>
      </c>
      <c r="F86" s="152"/>
      <c r="G86" s="152">
        <f t="shared" ref="G86:G96" si="6">(SIGN(SIN(D86))*(ABS(SIN(D86))^C$77))*C$80+C$81</f>
        <v>1010.7741305674799</v>
      </c>
      <c r="H86" s="152"/>
      <c r="J86" s="732">
        <f t="shared" ref="J86:J96" si="7">((E86-F86)-C$79)/C$78</f>
        <v>0.90970740815318585</v>
      </c>
      <c r="K86" s="732">
        <f t="shared" ref="K86:K96" si="8">((G86-H86)-C$81)/C$80</f>
        <v>0.63380250337423027</v>
      </c>
      <c r="M86" s="732">
        <f t="shared" ref="M86:M96" si="9">(SIGN(COS(D86))*ABS(COS(D86))^U$85)</f>
        <v>0.90970740815318585</v>
      </c>
      <c r="N86" s="732">
        <f t="shared" ref="N86:N96" si="10">(SIGN(SIN(D86))*ABS(SIN(D86))^U$85)</f>
        <v>0.63380250337423027</v>
      </c>
      <c r="P86" s="732">
        <f t="shared" ref="P86:Q96" si="11">(J86-M86)^2</f>
        <v>0</v>
      </c>
      <c r="Q86" s="732">
        <f t="shared" si="11"/>
        <v>0</v>
      </c>
    </row>
    <row r="87" spans="1:21" x14ac:dyDescent="0.15">
      <c r="A87" s="330"/>
      <c r="B87" s="330"/>
      <c r="C87" s="264">
        <v>60</v>
      </c>
      <c r="D87" s="732">
        <f t="shared" si="4"/>
        <v>1.0471975511965976</v>
      </c>
      <c r="E87" s="152">
        <f t="shared" si="5"/>
        <v>1047.4642557361917</v>
      </c>
      <c r="F87" s="152"/>
      <c r="G87" s="152">
        <f t="shared" si="6"/>
        <v>1466.0172234527568</v>
      </c>
      <c r="H87" s="152"/>
      <c r="J87" s="732">
        <f t="shared" si="7"/>
        <v>0.63380250337423039</v>
      </c>
      <c r="K87" s="732">
        <f t="shared" si="8"/>
        <v>0.90970740815318596</v>
      </c>
      <c r="M87" s="732">
        <f t="shared" si="9"/>
        <v>0.63380250337423039</v>
      </c>
      <c r="N87" s="732">
        <f t="shared" si="10"/>
        <v>0.90970740815318585</v>
      </c>
      <c r="P87" s="732">
        <f t="shared" si="11"/>
        <v>0</v>
      </c>
      <c r="Q87" s="732">
        <f t="shared" si="11"/>
        <v>1.2325951644078309E-32</v>
      </c>
      <c r="U87" s="28" t="s">
        <v>1486</v>
      </c>
    </row>
    <row r="88" spans="1:21" x14ac:dyDescent="0.15">
      <c r="A88" s="330"/>
      <c r="B88" s="330"/>
      <c r="C88" s="264">
        <v>90</v>
      </c>
      <c r="D88" s="732">
        <f t="shared" si="4"/>
        <v>1.5707963267948966</v>
      </c>
      <c r="E88" s="152">
        <f t="shared" si="5"/>
        <v>-29.9999999633473</v>
      </c>
      <c r="F88" s="152"/>
      <c r="G88" s="152">
        <f t="shared" si="6"/>
        <v>1615</v>
      </c>
      <c r="H88" s="152"/>
      <c r="J88" s="732">
        <f t="shared" si="7"/>
        <v>2.1560412017820721E-11</v>
      </c>
      <c r="K88" s="732">
        <f t="shared" si="8"/>
        <v>1</v>
      </c>
      <c r="M88" s="732">
        <f t="shared" si="9"/>
        <v>2.1560411886447721E-11</v>
      </c>
      <c r="N88" s="732">
        <f t="shared" si="10"/>
        <v>1</v>
      </c>
      <c r="P88" s="732">
        <f t="shared" si="11"/>
        <v>1.7258864963228903E-38</v>
      </c>
      <c r="Q88" s="732">
        <f t="shared" si="11"/>
        <v>0</v>
      </c>
      <c r="U88" s="773">
        <v>0.6578947368421052</v>
      </c>
    </row>
    <row r="89" spans="1:21" x14ac:dyDescent="0.15">
      <c r="A89" s="330"/>
      <c r="B89" s="330"/>
      <c r="C89" s="264">
        <f>C88+30</f>
        <v>120</v>
      </c>
      <c r="D89" s="732">
        <f t="shared" si="4"/>
        <v>2.0943951023931953</v>
      </c>
      <c r="E89" s="152">
        <f t="shared" si="5"/>
        <v>-1107.4642557361913</v>
      </c>
      <c r="F89" s="152"/>
      <c r="G89" s="152">
        <f t="shared" si="6"/>
        <v>1466.0172234527568</v>
      </c>
      <c r="H89" s="152"/>
      <c r="J89" s="732">
        <f t="shared" si="7"/>
        <v>-0.63380250337423016</v>
      </c>
      <c r="K89" s="732">
        <f t="shared" si="8"/>
        <v>0.90970740815318596</v>
      </c>
      <c r="M89" s="732">
        <f t="shared" si="9"/>
        <v>-0.63380250337423016</v>
      </c>
      <c r="N89" s="732">
        <f t="shared" si="10"/>
        <v>0.90970740815318585</v>
      </c>
      <c r="P89" s="732">
        <f t="shared" si="11"/>
        <v>0</v>
      </c>
      <c r="Q89" s="732">
        <f t="shared" si="11"/>
        <v>1.2325951644078309E-32</v>
      </c>
    </row>
    <row r="90" spans="1:21" x14ac:dyDescent="0.15">
      <c r="A90" s="330"/>
      <c r="B90" s="330"/>
      <c r="C90" s="264">
        <f t="shared" ref="C90:C96" si="12">C89+30</f>
        <v>150</v>
      </c>
      <c r="D90" s="732">
        <f t="shared" si="4"/>
        <v>2.6179938779914944</v>
      </c>
      <c r="E90" s="152">
        <f t="shared" si="5"/>
        <v>-1576.502593860416</v>
      </c>
      <c r="F90" s="152"/>
      <c r="G90" s="152">
        <f t="shared" si="6"/>
        <v>1010.7741305674799</v>
      </c>
      <c r="H90" s="152"/>
      <c r="J90" s="732">
        <f t="shared" si="7"/>
        <v>-0.90970740815318585</v>
      </c>
      <c r="K90" s="732">
        <f t="shared" si="8"/>
        <v>0.63380250337423027</v>
      </c>
      <c r="M90" s="732">
        <f t="shared" si="9"/>
        <v>-0.90970740815318585</v>
      </c>
      <c r="N90" s="732">
        <f t="shared" si="10"/>
        <v>0.63380250337423027</v>
      </c>
      <c r="P90" s="732">
        <f t="shared" si="11"/>
        <v>0</v>
      </c>
      <c r="Q90" s="732">
        <f t="shared" si="11"/>
        <v>0</v>
      </c>
      <c r="U90" s="729" t="s">
        <v>1571</v>
      </c>
    </row>
    <row r="91" spans="1:21" ht="14.25" x14ac:dyDescent="0.15">
      <c r="A91" s="330"/>
      <c r="B91" s="330"/>
      <c r="C91" s="264">
        <f t="shared" si="12"/>
        <v>180</v>
      </c>
      <c r="D91" s="732">
        <f t="shared" si="4"/>
        <v>3.1415926535897931</v>
      </c>
      <c r="E91" s="152">
        <f t="shared" si="5"/>
        <v>-1730</v>
      </c>
      <c r="F91" s="152"/>
      <c r="G91" s="152">
        <f t="shared" si="6"/>
        <v>-34.999999943871032</v>
      </c>
      <c r="H91" s="152"/>
      <c r="J91" s="732">
        <f t="shared" si="7"/>
        <v>-1</v>
      </c>
      <c r="K91" s="732">
        <f t="shared" si="8"/>
        <v>3.4017556448485599E-11</v>
      </c>
      <c r="M91" s="732">
        <f t="shared" si="9"/>
        <v>-1</v>
      </c>
      <c r="N91" s="732">
        <f t="shared" si="10"/>
        <v>3.4017555581848556E-11</v>
      </c>
      <c r="P91" s="732">
        <f t="shared" si="11"/>
        <v>0</v>
      </c>
      <c r="Q91" s="732">
        <f t="shared" si="11"/>
        <v>7.51059765619284E-37</v>
      </c>
      <c r="U91" s="774">
        <f>1/U88</f>
        <v>1.5200000000000002</v>
      </c>
    </row>
    <row r="92" spans="1:21" x14ac:dyDescent="0.15">
      <c r="A92" s="330"/>
      <c r="B92" s="330"/>
      <c r="C92" s="264">
        <f t="shared" si="12"/>
        <v>210</v>
      </c>
      <c r="D92" s="732">
        <f t="shared" si="4"/>
        <v>3.6651914291880923</v>
      </c>
      <c r="E92" s="152">
        <f t="shared" si="5"/>
        <v>-1576.502593860416</v>
      </c>
      <c r="F92" s="152"/>
      <c r="G92" s="152">
        <f t="shared" si="6"/>
        <v>-1080.7741305674801</v>
      </c>
      <c r="H92" s="152"/>
      <c r="J92" s="732">
        <f t="shared" si="7"/>
        <v>-0.90970740815318585</v>
      </c>
      <c r="K92" s="732">
        <f t="shared" si="8"/>
        <v>-0.63380250337423039</v>
      </c>
      <c r="M92" s="732">
        <f t="shared" si="9"/>
        <v>-0.90970740815318585</v>
      </c>
      <c r="N92" s="732">
        <f t="shared" si="10"/>
        <v>-0.63380250337423039</v>
      </c>
      <c r="P92" s="732">
        <f t="shared" si="11"/>
        <v>0</v>
      </c>
      <c r="Q92" s="732">
        <f t="shared" si="11"/>
        <v>0</v>
      </c>
    </row>
    <row r="93" spans="1:21" x14ac:dyDescent="0.15">
      <c r="A93" s="330"/>
      <c r="B93" s="330"/>
      <c r="C93" s="264">
        <f t="shared" si="12"/>
        <v>240</v>
      </c>
      <c r="D93" s="732">
        <f t="shared" si="4"/>
        <v>4.1887902047863905</v>
      </c>
      <c r="E93" s="152">
        <f t="shared" si="5"/>
        <v>-1107.4642557361919</v>
      </c>
      <c r="F93" s="152"/>
      <c r="G93" s="152">
        <f t="shared" si="6"/>
        <v>-1536.0172234527563</v>
      </c>
      <c r="H93" s="152"/>
      <c r="J93" s="732">
        <f t="shared" si="7"/>
        <v>-0.63380250337423061</v>
      </c>
      <c r="K93" s="732">
        <f t="shared" si="8"/>
        <v>-0.90970740815318563</v>
      </c>
      <c r="M93" s="732">
        <f t="shared" si="9"/>
        <v>-0.63380250337423072</v>
      </c>
      <c r="N93" s="732">
        <f t="shared" si="10"/>
        <v>-0.90970740815318563</v>
      </c>
      <c r="P93" s="732">
        <f t="shared" si="11"/>
        <v>1.2325951644078309E-32</v>
      </c>
      <c r="Q93" s="732">
        <f t="shared" si="11"/>
        <v>0</v>
      </c>
    </row>
    <row r="94" spans="1:21" x14ac:dyDescent="0.15">
      <c r="A94" s="330"/>
      <c r="B94" s="330"/>
      <c r="C94" s="264">
        <f t="shared" si="12"/>
        <v>270</v>
      </c>
      <c r="D94" s="732">
        <f t="shared" si="4"/>
        <v>4.7123889803846897</v>
      </c>
      <c r="E94" s="152">
        <f t="shared" si="5"/>
        <v>-30.00000007550949</v>
      </c>
      <c r="F94" s="152"/>
      <c r="G94" s="152">
        <f t="shared" si="6"/>
        <v>-1685</v>
      </c>
      <c r="H94" s="152"/>
      <c r="J94" s="732">
        <f t="shared" si="7"/>
        <v>-4.4417347185919745E-11</v>
      </c>
      <c r="K94" s="732">
        <f t="shared" si="8"/>
        <v>-1</v>
      </c>
      <c r="M94" s="732">
        <f t="shared" si="9"/>
        <v>-4.4417347056169112E-11</v>
      </c>
      <c r="N94" s="732">
        <f t="shared" si="10"/>
        <v>-1</v>
      </c>
      <c r="P94" s="732">
        <f t="shared" si="11"/>
        <v>1.6835226823994921E-38</v>
      </c>
      <c r="Q94" s="732">
        <f t="shared" si="11"/>
        <v>0</v>
      </c>
    </row>
    <row r="95" spans="1:21" x14ac:dyDescent="0.15">
      <c r="A95" s="330"/>
      <c r="B95" s="330"/>
      <c r="C95" s="264">
        <f t="shared" si="12"/>
        <v>300</v>
      </c>
      <c r="D95" s="732">
        <f t="shared" si="4"/>
        <v>5.2359877559829888</v>
      </c>
      <c r="E95" s="152">
        <f t="shared" si="5"/>
        <v>1047.4642557361917</v>
      </c>
      <c r="F95" s="152"/>
      <c r="G95" s="152">
        <f t="shared" si="6"/>
        <v>-1536.0172234527568</v>
      </c>
      <c r="H95" s="152"/>
      <c r="J95" s="732">
        <f t="shared" si="7"/>
        <v>0.63380250337423039</v>
      </c>
      <c r="K95" s="732">
        <f t="shared" si="8"/>
        <v>-0.90970740815318596</v>
      </c>
      <c r="M95" s="732">
        <f t="shared" si="9"/>
        <v>0.63380250337423039</v>
      </c>
      <c r="N95" s="732">
        <f t="shared" si="10"/>
        <v>-0.90970740815318585</v>
      </c>
      <c r="P95" s="732">
        <f t="shared" si="11"/>
        <v>0</v>
      </c>
      <c r="Q95" s="732">
        <f t="shared" si="11"/>
        <v>1.2325951644078309E-32</v>
      </c>
    </row>
    <row r="96" spans="1:21" x14ac:dyDescent="0.15">
      <c r="A96" s="330"/>
      <c r="B96" s="330"/>
      <c r="C96" s="264">
        <f t="shared" si="12"/>
        <v>330</v>
      </c>
      <c r="D96" s="732">
        <f t="shared" si="4"/>
        <v>5.7595865315812871</v>
      </c>
      <c r="E96" s="152">
        <f t="shared" si="5"/>
        <v>1516.5025938604156</v>
      </c>
      <c r="F96" s="152"/>
      <c r="G96" s="152">
        <f t="shared" si="6"/>
        <v>-1080.7741305674806</v>
      </c>
      <c r="H96" s="152"/>
      <c r="J96" s="732">
        <f t="shared" si="7"/>
        <v>0.90970740815318563</v>
      </c>
      <c r="K96" s="732">
        <f t="shared" si="8"/>
        <v>-0.63380250337423072</v>
      </c>
      <c r="M96" s="732">
        <f t="shared" si="9"/>
        <v>0.90970740815318563</v>
      </c>
      <c r="N96" s="732">
        <f t="shared" si="10"/>
        <v>-0.63380250337423072</v>
      </c>
      <c r="P96" s="732">
        <f t="shared" si="11"/>
        <v>0</v>
      </c>
      <c r="Q96" s="732">
        <f t="shared" si="11"/>
        <v>0</v>
      </c>
    </row>
    <row r="97" spans="1:9" x14ac:dyDescent="0.15">
      <c r="A97" s="330"/>
      <c r="B97" s="330"/>
      <c r="C97" s="790"/>
      <c r="D97" s="792"/>
      <c r="E97" s="791"/>
      <c r="F97" s="791"/>
      <c r="G97" s="791"/>
      <c r="H97" s="791"/>
      <c r="I97" s="330"/>
    </row>
    <row r="98" spans="1:9" x14ac:dyDescent="0.15">
      <c r="A98" s="330"/>
      <c r="B98" s="330"/>
      <c r="C98" s="330"/>
      <c r="D98" s="330"/>
      <c r="E98" s="330"/>
      <c r="F98" s="330"/>
      <c r="G98" s="330"/>
      <c r="H98" s="330"/>
      <c r="I98" s="330"/>
    </row>
    <row r="99" spans="1:9" x14ac:dyDescent="0.15">
      <c r="A99" s="330"/>
      <c r="B99" s="330"/>
      <c r="C99" s="330"/>
      <c r="D99" s="330"/>
      <c r="E99" s="330"/>
      <c r="F99" s="330"/>
      <c r="G99" s="330"/>
      <c r="H99" s="330"/>
      <c r="I99" s="330"/>
    </row>
    <row r="100" spans="1:9" x14ac:dyDescent="0.15">
      <c r="A100" s="330"/>
      <c r="B100" s="330"/>
      <c r="C100" s="330"/>
      <c r="D100" s="330"/>
      <c r="E100" s="330"/>
      <c r="F100" s="330"/>
      <c r="G100" s="330"/>
      <c r="H100" s="330"/>
      <c r="I100" s="330"/>
    </row>
    <row r="101" spans="1:9" x14ac:dyDescent="0.15">
      <c r="A101" s="330"/>
      <c r="B101" s="330"/>
      <c r="C101" s="330"/>
      <c r="D101" s="330"/>
      <c r="E101" s="330"/>
      <c r="F101" s="330"/>
      <c r="G101" s="330"/>
      <c r="H101" s="330"/>
      <c r="I101" s="330"/>
    </row>
    <row r="102" spans="1:9" x14ac:dyDescent="0.15">
      <c r="A102" s="330"/>
      <c r="B102" s="330"/>
      <c r="C102" s="330"/>
      <c r="D102" s="330"/>
      <c r="E102" s="330"/>
      <c r="F102" s="330"/>
      <c r="G102" s="330"/>
      <c r="H102" s="330"/>
      <c r="I102" s="330"/>
    </row>
    <row r="103" spans="1:9" x14ac:dyDescent="0.15">
      <c r="A103" s="330"/>
      <c r="B103" s="330"/>
      <c r="C103" s="330"/>
      <c r="D103" s="330"/>
      <c r="E103" s="330"/>
      <c r="F103" s="330"/>
      <c r="G103" s="330"/>
      <c r="H103" s="330"/>
      <c r="I103" s="330"/>
    </row>
    <row r="104" spans="1:9" x14ac:dyDescent="0.15">
      <c r="A104" s="330"/>
      <c r="B104" s="330"/>
      <c r="C104" s="330"/>
      <c r="D104" s="330"/>
      <c r="E104" s="330"/>
      <c r="F104" s="330"/>
      <c r="G104" s="330"/>
      <c r="H104" s="330"/>
      <c r="I104" s="330"/>
    </row>
    <row r="132" spans="1:21" ht="14.25" x14ac:dyDescent="0.15">
      <c r="B132" s="22" t="s">
        <v>1499</v>
      </c>
    </row>
    <row r="134" spans="1:21" ht="15" x14ac:dyDescent="0.25">
      <c r="B134" s="118" t="s">
        <v>1498</v>
      </c>
      <c r="C134" s="152">
        <v>3</v>
      </c>
      <c r="D134" s="19" t="s">
        <v>539</v>
      </c>
    </row>
    <row r="136" spans="1:21" x14ac:dyDescent="0.15">
      <c r="B136" s="28" t="s">
        <v>1476</v>
      </c>
      <c r="C136" s="788">
        <v>1.2</v>
      </c>
    </row>
    <row r="137" spans="1:21" x14ac:dyDescent="0.15">
      <c r="B137" s="731" t="s">
        <v>1476</v>
      </c>
      <c r="C137" s="733">
        <f>1/C136</f>
        <v>0.83333333333333337</v>
      </c>
    </row>
    <row r="139" spans="1:21" x14ac:dyDescent="0.15">
      <c r="B139" s="9" t="s">
        <v>1467</v>
      </c>
      <c r="J139" s="9" t="s">
        <v>1485</v>
      </c>
      <c r="M139" s="9" t="s">
        <v>1479</v>
      </c>
    </row>
    <row r="140" spans="1:21" x14ac:dyDescent="0.15">
      <c r="A140" s="9" t="s">
        <v>1497</v>
      </c>
      <c r="C140" s="729" t="s">
        <v>1468</v>
      </c>
      <c r="D140" s="729" t="s">
        <v>1469</v>
      </c>
      <c r="E140" s="729" t="s">
        <v>1470</v>
      </c>
      <c r="F140" s="729" t="s">
        <v>1471</v>
      </c>
      <c r="G140" s="729" t="s">
        <v>1474</v>
      </c>
      <c r="H140" s="729" t="s">
        <v>1475</v>
      </c>
      <c r="I140" s="9"/>
      <c r="J140" s="729" t="s">
        <v>1472</v>
      </c>
      <c r="K140" s="729" t="s">
        <v>1473</v>
      </c>
      <c r="M140" s="729" t="s">
        <v>1477</v>
      </c>
      <c r="N140" s="729" t="s">
        <v>1478</v>
      </c>
      <c r="P140" s="729" t="s">
        <v>1482</v>
      </c>
      <c r="Q140" s="729" t="s">
        <v>1483</v>
      </c>
      <c r="S140" s="729" t="s">
        <v>1572</v>
      </c>
      <c r="U140" s="771" t="s">
        <v>1484</v>
      </c>
    </row>
    <row r="141" spans="1:21" x14ac:dyDescent="0.15">
      <c r="A141" s="423"/>
      <c r="B141" s="382"/>
      <c r="C141" s="264">
        <f>0</f>
        <v>0</v>
      </c>
      <c r="D141" s="732">
        <f>C141*PI()/180</f>
        <v>0</v>
      </c>
      <c r="E141" s="45">
        <f t="shared" ref="E141:E152" si="13">(SIGN(SIN(D141+B141))*ABS(SIN(D141+B141))^C$137)*C$18+C$17</f>
        <v>-30</v>
      </c>
      <c r="F141" s="45"/>
      <c r="G141" s="45">
        <f t="shared" ref="G141:G152" si="14">(SIGN(COS(D141+B141))*ABS(COS(D141+B141))^C$137)*D$18+D$17</f>
        <v>1615</v>
      </c>
      <c r="H141" s="45"/>
      <c r="J141" s="732">
        <f>((E141-F141)-C$17)/C$18</f>
        <v>0</v>
      </c>
      <c r="K141" s="732">
        <f>((G141-H141)-D$17)/D$18</f>
        <v>1</v>
      </c>
      <c r="M141" s="732">
        <f>(SIGN(SIN(D141))*ABS(SIN(D141))^U$141)</f>
        <v>0</v>
      </c>
      <c r="N141" s="732">
        <f>(SIGN(COS(D141))*ABS(COS(D141))^U$141)</f>
        <v>1</v>
      </c>
      <c r="P141" s="732">
        <f>(J141-M141)^2</f>
        <v>0</v>
      </c>
      <c r="Q141" s="732">
        <f>(K141-N141)^2</f>
        <v>0</v>
      </c>
      <c r="S141" s="772">
        <f>SUM(P141:Q152)</f>
        <v>1.2510050670666667E-4</v>
      </c>
      <c r="U141" s="734">
        <f>IF(U144&lt;0.2,0.2,U144)</f>
        <v>0.82370409709871439</v>
      </c>
    </row>
    <row r="142" spans="1:21" x14ac:dyDescent="0.15">
      <c r="A142" s="423"/>
      <c r="B142" s="382"/>
      <c r="C142" s="264">
        <v>30</v>
      </c>
      <c r="D142" s="732">
        <f t="shared" ref="D142:D152" si="15">C142*PI()/180</f>
        <v>0.52359877559829882</v>
      </c>
      <c r="E142" s="45">
        <f t="shared" si="13"/>
        <v>924.09274106296687</v>
      </c>
      <c r="F142" s="45"/>
      <c r="G142" s="45">
        <f t="shared" si="14"/>
        <v>1428.6125922265353</v>
      </c>
      <c r="H142" s="45"/>
      <c r="J142" s="732">
        <f t="shared" ref="J142:J152" si="16">((E142-F142)-C$17)/C$18</f>
        <v>0.5612310241546864</v>
      </c>
      <c r="K142" s="732">
        <f t="shared" ref="K142:K152" si="17">((G142-H142)-D$17)/D$18</f>
        <v>0.88703793468274872</v>
      </c>
      <c r="M142" s="732">
        <f t="shared" ref="M142:M152" si="18">(SIGN(SIN(D142))*ABS(SIN(D142))^U$141)</f>
        <v>0.56498947715155912</v>
      </c>
      <c r="N142" s="732">
        <f t="shared" ref="N142:N152" si="19">(SIGN(COS(D142))*ABS(COS(D142))^U$141)</f>
        <v>0.88826740384000002</v>
      </c>
      <c r="P142" s="732">
        <f t="shared" ref="P142:Q152" si="20">(J142-M142)^2</f>
        <v>1.4125968929701521E-5</v>
      </c>
      <c r="Q142" s="732">
        <f t="shared" si="20"/>
        <v>1.5115944086322369E-6</v>
      </c>
    </row>
    <row r="143" spans="1:21" x14ac:dyDescent="0.15">
      <c r="A143" s="423"/>
      <c r="B143" s="382"/>
      <c r="C143" s="264">
        <v>60</v>
      </c>
      <c r="D143" s="732">
        <f t="shared" si="15"/>
        <v>1.0471975511965976</v>
      </c>
      <c r="E143" s="45">
        <f t="shared" si="13"/>
        <v>1477.9644889606725</v>
      </c>
      <c r="F143" s="45"/>
      <c r="G143" s="45">
        <f t="shared" si="14"/>
        <v>891.03118985523292</v>
      </c>
      <c r="H143" s="45"/>
      <c r="J143" s="732">
        <f t="shared" si="16"/>
        <v>0.8870379346827485</v>
      </c>
      <c r="K143" s="732">
        <f t="shared" si="17"/>
        <v>0.56123102415468662</v>
      </c>
      <c r="M143" s="732">
        <f t="shared" si="18"/>
        <v>0.88826740383999991</v>
      </c>
      <c r="N143" s="732">
        <f t="shared" si="19"/>
        <v>0.56498947715155923</v>
      </c>
      <c r="P143" s="732">
        <f t="shared" si="20"/>
        <v>1.5115944086325099E-6</v>
      </c>
      <c r="Q143" s="732">
        <f t="shared" si="20"/>
        <v>1.4125968929700685E-5</v>
      </c>
      <c r="U143" s="28" t="s">
        <v>1486</v>
      </c>
    </row>
    <row r="144" spans="1:21" x14ac:dyDescent="0.15">
      <c r="A144" s="423"/>
      <c r="B144" s="382"/>
      <c r="C144" s="264">
        <v>90</v>
      </c>
      <c r="D144" s="732">
        <f t="shared" si="15"/>
        <v>1.5707963267948966</v>
      </c>
      <c r="E144" s="45">
        <f t="shared" si="13"/>
        <v>1670</v>
      </c>
      <c r="F144" s="45"/>
      <c r="G144" s="45">
        <f t="shared" si="14"/>
        <v>-34.99999999994909</v>
      </c>
      <c r="H144" s="45"/>
      <c r="J144" s="732">
        <f t="shared" si="16"/>
        <v>1</v>
      </c>
      <c r="K144" s="732">
        <f t="shared" si="17"/>
        <v>3.0854780010431019E-14</v>
      </c>
      <c r="M144" s="732">
        <f t="shared" si="18"/>
        <v>1</v>
      </c>
      <c r="N144" s="732">
        <f t="shared" si="19"/>
        <v>4.4199383610325401E-14</v>
      </c>
      <c r="P144" s="732">
        <f t="shared" si="20"/>
        <v>0</v>
      </c>
      <c r="Q144" s="732">
        <f t="shared" si="20"/>
        <v>1.7807844523831409E-28</v>
      </c>
      <c r="U144" s="773">
        <v>0.82370409709871439</v>
      </c>
    </row>
    <row r="145" spans="1:24" x14ac:dyDescent="0.15">
      <c r="A145" s="423"/>
      <c r="B145" s="382"/>
      <c r="C145" s="264">
        <f>C144+30</f>
        <v>120</v>
      </c>
      <c r="D145" s="732">
        <f t="shared" si="15"/>
        <v>2.0943951023931953</v>
      </c>
      <c r="E145" s="45">
        <f t="shared" si="13"/>
        <v>1477.9644889606727</v>
      </c>
      <c r="F145" s="45"/>
      <c r="G145" s="45">
        <f t="shared" si="14"/>
        <v>-961.03118985523236</v>
      </c>
      <c r="H145" s="45"/>
      <c r="J145" s="732">
        <f t="shared" si="16"/>
        <v>0.88703793468274861</v>
      </c>
      <c r="K145" s="732">
        <f t="shared" si="17"/>
        <v>-0.56123102415468629</v>
      </c>
      <c r="M145" s="732">
        <f t="shared" si="18"/>
        <v>0.88826740384000002</v>
      </c>
      <c r="N145" s="732">
        <f t="shared" si="19"/>
        <v>-0.56498947715155889</v>
      </c>
      <c r="P145" s="732">
        <f t="shared" si="20"/>
        <v>1.5115944086325099E-6</v>
      </c>
      <c r="Q145" s="732">
        <f t="shared" si="20"/>
        <v>1.4125968929700685E-5</v>
      </c>
    </row>
    <row r="146" spans="1:24" x14ac:dyDescent="0.15">
      <c r="A146" s="423"/>
      <c r="B146" s="382"/>
      <c r="C146" s="264">
        <f t="shared" ref="C146:C152" si="21">C145+30</f>
        <v>150</v>
      </c>
      <c r="D146" s="732">
        <f t="shared" si="15"/>
        <v>2.6179938779914944</v>
      </c>
      <c r="E146" s="45">
        <f t="shared" si="13"/>
        <v>924.09274106296687</v>
      </c>
      <c r="F146" s="45"/>
      <c r="G146" s="45">
        <f t="shared" si="14"/>
        <v>-1498.6125922265353</v>
      </c>
      <c r="H146" s="45"/>
      <c r="J146" s="732">
        <f t="shared" si="16"/>
        <v>0.5612310241546864</v>
      </c>
      <c r="K146" s="732">
        <f t="shared" si="17"/>
        <v>-0.88703793468274872</v>
      </c>
      <c r="M146" s="732">
        <f t="shared" si="18"/>
        <v>0.56498947715155912</v>
      </c>
      <c r="N146" s="732">
        <f t="shared" si="19"/>
        <v>-0.88826740384000002</v>
      </c>
      <c r="P146" s="732">
        <f t="shared" si="20"/>
        <v>1.4125968929701521E-5</v>
      </c>
      <c r="Q146" s="732">
        <f t="shared" si="20"/>
        <v>1.5115944086322369E-6</v>
      </c>
    </row>
    <row r="147" spans="1:24" x14ac:dyDescent="0.15">
      <c r="A147" s="423"/>
      <c r="B147" s="382"/>
      <c r="C147" s="264">
        <f t="shared" si="21"/>
        <v>180</v>
      </c>
      <c r="D147" s="732">
        <f t="shared" si="15"/>
        <v>3.1415926535897931</v>
      </c>
      <c r="E147" s="45">
        <f t="shared" si="13"/>
        <v>-29.999999999906546</v>
      </c>
      <c r="F147" s="45"/>
      <c r="G147" s="45">
        <f t="shared" si="14"/>
        <v>-1685</v>
      </c>
      <c r="H147" s="45"/>
      <c r="J147" s="732">
        <f t="shared" si="16"/>
        <v>5.4973019600498337E-14</v>
      </c>
      <c r="K147" s="732">
        <f t="shared" si="17"/>
        <v>-1</v>
      </c>
      <c r="M147" s="732">
        <f t="shared" si="18"/>
        <v>7.8230454544321653E-14</v>
      </c>
      <c r="N147" s="732">
        <f t="shared" si="19"/>
        <v>-1</v>
      </c>
      <c r="P147" s="732">
        <f t="shared" si="20"/>
        <v>5.4090828016617391E-28</v>
      </c>
      <c r="Q147" s="732">
        <f t="shared" si="20"/>
        <v>0</v>
      </c>
    </row>
    <row r="148" spans="1:24" x14ac:dyDescent="0.15">
      <c r="A148" s="423"/>
      <c r="B148" s="382"/>
      <c r="C148" s="264">
        <f t="shared" si="21"/>
        <v>210</v>
      </c>
      <c r="D148" s="732">
        <f t="shared" si="15"/>
        <v>3.6651914291880923</v>
      </c>
      <c r="E148" s="45">
        <f t="shared" si="13"/>
        <v>-984.09274106296721</v>
      </c>
      <c r="F148" s="45"/>
      <c r="G148" s="45">
        <f t="shared" si="14"/>
        <v>-1498.6125922265351</v>
      </c>
      <c r="H148" s="45"/>
      <c r="J148" s="732">
        <f t="shared" si="16"/>
        <v>-0.56123102415468662</v>
      </c>
      <c r="K148" s="732">
        <f t="shared" si="17"/>
        <v>-0.8870379346827485</v>
      </c>
      <c r="M148" s="732">
        <f t="shared" si="18"/>
        <v>-0.56498947715155923</v>
      </c>
      <c r="N148" s="732">
        <f t="shared" si="19"/>
        <v>-0.88826740383999991</v>
      </c>
      <c r="P148" s="732">
        <f t="shared" si="20"/>
        <v>1.4125968929700685E-5</v>
      </c>
      <c r="Q148" s="732">
        <f t="shared" si="20"/>
        <v>1.5115944086325099E-6</v>
      </c>
    </row>
    <row r="149" spans="1:24" x14ac:dyDescent="0.15">
      <c r="A149" s="423"/>
      <c r="B149" s="382"/>
      <c r="C149" s="264">
        <f t="shared" si="21"/>
        <v>240</v>
      </c>
      <c r="D149" s="732">
        <f t="shared" si="15"/>
        <v>4.1887902047863905</v>
      </c>
      <c r="E149" s="45">
        <f t="shared" si="13"/>
        <v>-1537.9644889606723</v>
      </c>
      <c r="F149" s="45"/>
      <c r="G149" s="45">
        <f t="shared" si="14"/>
        <v>-961.03118985523349</v>
      </c>
      <c r="H149" s="45"/>
      <c r="J149" s="732">
        <f t="shared" si="16"/>
        <v>-0.88703793468274839</v>
      </c>
      <c r="K149" s="732">
        <f t="shared" si="17"/>
        <v>-0.56123102415468695</v>
      </c>
      <c r="M149" s="732">
        <f t="shared" si="18"/>
        <v>-0.8882674038399998</v>
      </c>
      <c r="N149" s="732">
        <f t="shared" si="19"/>
        <v>-0.56498947715155956</v>
      </c>
      <c r="P149" s="732">
        <f t="shared" si="20"/>
        <v>1.5115944086325099E-6</v>
      </c>
      <c r="Q149" s="732">
        <f t="shared" si="20"/>
        <v>1.4125968929700685E-5</v>
      </c>
    </row>
    <row r="150" spans="1:24" x14ac:dyDescent="0.15">
      <c r="A150" s="423"/>
      <c r="B150" s="382"/>
      <c r="C150" s="264">
        <f t="shared" si="21"/>
        <v>270</v>
      </c>
      <c r="D150" s="732">
        <f t="shared" si="15"/>
        <v>4.7123889803846897</v>
      </c>
      <c r="E150" s="45">
        <f t="shared" si="13"/>
        <v>-1730</v>
      </c>
      <c r="F150" s="45"/>
      <c r="G150" s="45">
        <f t="shared" si="14"/>
        <v>-35.000000000127173</v>
      </c>
      <c r="H150" s="45"/>
      <c r="J150" s="732">
        <f t="shared" si="16"/>
        <v>-1</v>
      </c>
      <c r="K150" s="732">
        <f t="shared" si="17"/>
        <v>-7.707450839172287E-14</v>
      </c>
      <c r="M150" s="732">
        <f t="shared" si="18"/>
        <v>-1</v>
      </c>
      <c r="N150" s="732">
        <f t="shared" si="19"/>
        <v>-1.0925037722362623E-13</v>
      </c>
      <c r="P150" s="732">
        <f t="shared" si="20"/>
        <v>0</v>
      </c>
      <c r="Q150" s="732">
        <f t="shared" si="20"/>
        <v>1.03528653508785E-27</v>
      </c>
    </row>
    <row r="151" spans="1:24" x14ac:dyDescent="0.15">
      <c r="A151" s="423"/>
      <c r="B151" s="382"/>
      <c r="C151" s="264">
        <f t="shared" si="21"/>
        <v>300</v>
      </c>
      <c r="D151" s="732">
        <f t="shared" si="15"/>
        <v>5.2359877559829888</v>
      </c>
      <c r="E151" s="45">
        <f t="shared" si="13"/>
        <v>-1537.9644889606725</v>
      </c>
      <c r="F151" s="45"/>
      <c r="G151" s="45">
        <f t="shared" si="14"/>
        <v>891.03118985523292</v>
      </c>
      <c r="H151" s="45"/>
      <c r="J151" s="732">
        <f t="shared" si="16"/>
        <v>-0.8870379346827485</v>
      </c>
      <c r="K151" s="732">
        <f t="shared" si="17"/>
        <v>0.56123102415468662</v>
      </c>
      <c r="M151" s="732">
        <f t="shared" si="18"/>
        <v>-0.88826740383999991</v>
      </c>
      <c r="N151" s="732">
        <f t="shared" si="19"/>
        <v>0.56498947715155923</v>
      </c>
      <c r="P151" s="732">
        <f t="shared" si="20"/>
        <v>1.5115944086325099E-6</v>
      </c>
      <c r="Q151" s="732">
        <f t="shared" si="20"/>
        <v>1.4125968929700685E-5</v>
      </c>
    </row>
    <row r="152" spans="1:24" x14ac:dyDescent="0.15">
      <c r="A152" s="423"/>
      <c r="B152" s="382"/>
      <c r="C152" s="264">
        <f t="shared" si="21"/>
        <v>330</v>
      </c>
      <c r="D152" s="732">
        <f t="shared" si="15"/>
        <v>5.7595865315812871</v>
      </c>
      <c r="E152" s="45">
        <f t="shared" si="13"/>
        <v>-984.09274106296778</v>
      </c>
      <c r="F152" s="45"/>
      <c r="G152" s="45">
        <f t="shared" si="14"/>
        <v>1428.6125922265348</v>
      </c>
      <c r="H152" s="45"/>
      <c r="J152" s="732">
        <f t="shared" si="16"/>
        <v>-0.56123102415468695</v>
      </c>
      <c r="K152" s="732">
        <f t="shared" si="17"/>
        <v>0.88703793468274839</v>
      </c>
      <c r="M152" s="732">
        <f t="shared" si="18"/>
        <v>-0.56498947715155956</v>
      </c>
      <c r="N152" s="732">
        <f t="shared" si="19"/>
        <v>0.8882674038399998</v>
      </c>
      <c r="P152" s="732">
        <f t="shared" si="20"/>
        <v>1.4125968929700685E-5</v>
      </c>
      <c r="Q152" s="732">
        <f t="shared" si="20"/>
        <v>1.5115944086325099E-6</v>
      </c>
    </row>
    <row r="153" spans="1:24" x14ac:dyDescent="0.15">
      <c r="E153" s="330"/>
      <c r="F153" s="330"/>
      <c r="G153" s="330"/>
      <c r="H153" s="330"/>
    </row>
    <row r="155" spans="1:24" x14ac:dyDescent="0.15">
      <c r="B155" t="s">
        <v>1500</v>
      </c>
    </row>
    <row r="156" spans="1:24" ht="15" x14ac:dyDescent="0.25">
      <c r="C156" s="729" t="s">
        <v>1468</v>
      </c>
      <c r="D156" s="729" t="s">
        <v>1469</v>
      </c>
      <c r="E156" s="729" t="s">
        <v>1470</v>
      </c>
      <c r="F156" s="729" t="s">
        <v>1471</v>
      </c>
      <c r="G156" s="729" t="s">
        <v>1474</v>
      </c>
      <c r="H156" s="729" t="s">
        <v>1475</v>
      </c>
      <c r="I156" s="9"/>
      <c r="J156" s="729" t="s">
        <v>1472</v>
      </c>
      <c r="K156" s="729" t="s">
        <v>1473</v>
      </c>
      <c r="M156" s="729" t="s">
        <v>1477</v>
      </c>
      <c r="N156" s="729" t="s">
        <v>1478</v>
      </c>
      <c r="P156" s="729" t="s">
        <v>1480</v>
      </c>
      <c r="Q156" s="729" t="s">
        <v>1481</v>
      </c>
      <c r="S156" s="58" t="s">
        <v>1501</v>
      </c>
      <c r="T156" s="58"/>
      <c r="U156" s="9" t="s">
        <v>1502</v>
      </c>
      <c r="V156" s="9" t="s">
        <v>1503</v>
      </c>
      <c r="W156" s="58" t="s">
        <v>1501</v>
      </c>
      <c r="X156" s="58" t="s">
        <v>1504</v>
      </c>
    </row>
    <row r="157" spans="1:24" x14ac:dyDescent="0.15">
      <c r="C157" s="264">
        <f>0</f>
        <v>0</v>
      </c>
      <c r="D157" s="732">
        <f>C157*PI()/180</f>
        <v>0</v>
      </c>
      <c r="E157" s="45">
        <f>(SIGN(SIN(D157))*ABS(SIN(D157))^(1/C$137))</f>
        <v>0</v>
      </c>
      <c r="F157" s="45"/>
      <c r="G157" s="45">
        <f>(SIGN(COS(D157))*ABS(COS(D157))^(1/C$137))</f>
        <v>1</v>
      </c>
      <c r="H157" s="45"/>
      <c r="J157" s="732">
        <f>E157</f>
        <v>0</v>
      </c>
      <c r="K157" s="732">
        <f>G157</f>
        <v>1</v>
      </c>
      <c r="M157" s="732">
        <f>(SIGN(SIN(D157))*ABS(SIN(D157))^U$141)</f>
        <v>0</v>
      </c>
      <c r="N157" s="732">
        <f>(SIGN(COS(D157))*ABS(COS(D157))^U$141)</f>
        <v>1</v>
      </c>
      <c r="P157" s="732">
        <f>(J157-M157)</f>
        <v>0</v>
      </c>
      <c r="Q157" s="732">
        <f>(K157-N157)</f>
        <v>0</v>
      </c>
      <c r="S157" s="98">
        <f>IF(K157&lt;0,PI(),IF(J157&lt;0,2*PI(),0))</f>
        <v>0</v>
      </c>
      <c r="T157" s="25"/>
      <c r="U157" s="423">
        <f>SIGN(J157)*(ABS(J157)^U$144)+0.000000001</f>
        <v>1.0000000000000001E-9</v>
      </c>
      <c r="V157" s="423">
        <f>SIGN(K157)*(ABS(K157)^U$144)</f>
        <v>1</v>
      </c>
      <c r="W157" s="422">
        <f>DEGREES(ATAN(U157/V157)+S157)</f>
        <v>5.7295779513082324E-8</v>
      </c>
      <c r="X157" s="422">
        <f>W157-C157</f>
        <v>5.7295779513082324E-8</v>
      </c>
    </row>
    <row r="158" spans="1:24" x14ac:dyDescent="0.15">
      <c r="C158" s="264">
        <f>C157+15</f>
        <v>15</v>
      </c>
      <c r="D158" s="732">
        <f t="shared" ref="D158:D181" si="22">C158*PI()/180</f>
        <v>0.26179938779914941</v>
      </c>
      <c r="E158" s="45">
        <f t="shared" ref="E158:E181" si="23">(SIGN(SIN(D158))*ABS(SIN(D158))^(1/C$137))</f>
        <v>0.1975129050348936</v>
      </c>
      <c r="F158" s="45"/>
      <c r="G158" s="45">
        <f t="shared" ref="G158:G181" si="24">(SIGN(COS(D158))*ABS(COS(D158))^(1/C$137))</f>
        <v>0.95925160323234604</v>
      </c>
      <c r="H158" s="45"/>
      <c r="J158" s="732">
        <f t="shared" ref="J158:J181" si="25">E158</f>
        <v>0.1975129050348936</v>
      </c>
      <c r="K158" s="732">
        <f t="shared" ref="K158:K181" si="26">G158</f>
        <v>0.95925160323234604</v>
      </c>
      <c r="M158" s="732">
        <f t="shared" ref="M158:M181" si="27">(SIGN(SIN(D158))*ABS(SIN(D158))^U$141)</f>
        <v>0.32846007681081807</v>
      </c>
      <c r="N158" s="732">
        <f t="shared" ref="N158:N181" si="28">(SIGN(COS(D158))*ABS(COS(D158))^U$141)</f>
        <v>0.97184751459413465</v>
      </c>
      <c r="P158" s="732">
        <f t="shared" ref="P158:Q181" si="29">(J158-M158)</f>
        <v>-0.13094717177592446</v>
      </c>
      <c r="Q158" s="732">
        <f t="shared" si="29"/>
        <v>-1.2595911361788614E-2</v>
      </c>
      <c r="S158" s="98">
        <f t="shared" ref="S158:S181" si="30">IF(K158&lt;0,PI(),IF(J158&lt;0,2*PI(),0))</f>
        <v>0</v>
      </c>
      <c r="T158" s="25"/>
      <c r="U158" s="423">
        <f t="shared" ref="U158:U181" si="31">SIGN(J158)*(ABS(J158)^U$144)</f>
        <v>0.26289305190262524</v>
      </c>
      <c r="V158" s="423">
        <f t="shared" ref="V158:V181" si="32">SIGN(K158)*(ABS(K158)^U$144)</f>
        <v>0.96631284819901342</v>
      </c>
      <c r="W158" s="422">
        <f t="shared" ref="W158:W181" si="33">DEGREES(ATAN(U158/V158)+S158)</f>
        <v>15.219415987337387</v>
      </c>
      <c r="X158" s="422">
        <f t="shared" ref="X158:X181" si="34">W158-C158</f>
        <v>0.21941598733738665</v>
      </c>
    </row>
    <row r="159" spans="1:24" x14ac:dyDescent="0.15">
      <c r="C159" s="264">
        <f t="shared" ref="C159:C181" si="35">C158+15</f>
        <v>30</v>
      </c>
      <c r="D159" s="732">
        <f t="shared" si="22"/>
        <v>0.52359877559829882</v>
      </c>
      <c r="E159" s="45">
        <f t="shared" si="23"/>
        <v>0.43527528164806201</v>
      </c>
      <c r="F159" s="45"/>
      <c r="G159" s="45">
        <f t="shared" si="24"/>
        <v>0.84146635908464973</v>
      </c>
      <c r="H159" s="45"/>
      <c r="J159" s="732">
        <f t="shared" si="25"/>
        <v>0.43527528164806201</v>
      </c>
      <c r="K159" s="732">
        <f t="shared" si="26"/>
        <v>0.84146635908464973</v>
      </c>
      <c r="M159" s="732">
        <f t="shared" si="27"/>
        <v>0.56498947715155912</v>
      </c>
      <c r="N159" s="732">
        <f t="shared" si="28"/>
        <v>0.88826740384000002</v>
      </c>
      <c r="P159" s="732">
        <f t="shared" si="29"/>
        <v>-0.12971419550349711</v>
      </c>
      <c r="Q159" s="732">
        <f t="shared" si="29"/>
        <v>-4.6801044755350296E-2</v>
      </c>
      <c r="S159" s="98">
        <f t="shared" si="30"/>
        <v>0</v>
      </c>
      <c r="T159" s="25"/>
      <c r="U159" s="423">
        <f t="shared" si="31"/>
        <v>0.50402076718698485</v>
      </c>
      <c r="V159" s="423">
        <f t="shared" si="32"/>
        <v>0.86746601732202677</v>
      </c>
      <c r="W159" s="422">
        <f t="shared" si="33"/>
        <v>30.157724060710844</v>
      </c>
      <c r="X159" s="422">
        <f t="shared" si="34"/>
        <v>0.15772406071084433</v>
      </c>
    </row>
    <row r="160" spans="1:24" x14ac:dyDescent="0.15">
      <c r="C160" s="264">
        <f t="shared" si="35"/>
        <v>45</v>
      </c>
      <c r="D160" s="732">
        <f t="shared" si="22"/>
        <v>0.78539816339744828</v>
      </c>
      <c r="E160" s="45">
        <f t="shared" si="23"/>
        <v>0.6597539553864471</v>
      </c>
      <c r="F160" s="45"/>
      <c r="G160" s="45">
        <f t="shared" si="24"/>
        <v>0.65975395538644721</v>
      </c>
      <c r="H160" s="45"/>
      <c r="J160" s="732">
        <f t="shared" si="25"/>
        <v>0.6597539553864471</v>
      </c>
      <c r="K160" s="732">
        <f t="shared" si="26"/>
        <v>0.65975395538644721</v>
      </c>
      <c r="M160" s="732">
        <f t="shared" si="27"/>
        <v>0.75165781919139174</v>
      </c>
      <c r="N160" s="732">
        <f t="shared" si="28"/>
        <v>0.75165781919139185</v>
      </c>
      <c r="P160" s="732">
        <f t="shared" si="29"/>
        <v>-9.1903863804944641E-2</v>
      </c>
      <c r="Q160" s="732">
        <f t="shared" si="29"/>
        <v>-9.1903863804944641E-2</v>
      </c>
      <c r="S160" s="98">
        <f t="shared" si="30"/>
        <v>0</v>
      </c>
      <c r="T160" s="25"/>
      <c r="U160" s="423">
        <f t="shared" si="31"/>
        <v>0.70994420005165537</v>
      </c>
      <c r="V160" s="423">
        <f t="shared" si="32"/>
        <v>0.70994420005165548</v>
      </c>
      <c r="W160" s="422">
        <f t="shared" si="33"/>
        <v>45</v>
      </c>
      <c r="X160" s="422">
        <f t="shared" si="34"/>
        <v>0</v>
      </c>
    </row>
    <row r="161" spans="3:24" x14ac:dyDescent="0.15">
      <c r="C161" s="264">
        <f t="shared" si="35"/>
        <v>60</v>
      </c>
      <c r="D161" s="732">
        <f t="shared" si="22"/>
        <v>1.0471975511965976</v>
      </c>
      <c r="E161" s="45">
        <f t="shared" si="23"/>
        <v>0.84146635908464951</v>
      </c>
      <c r="F161" s="45"/>
      <c r="G161" s="45">
        <f t="shared" si="24"/>
        <v>0.43527528164806223</v>
      </c>
      <c r="H161" s="45"/>
      <c r="J161" s="732">
        <f t="shared" si="25"/>
        <v>0.84146635908464951</v>
      </c>
      <c r="K161" s="732">
        <f t="shared" si="26"/>
        <v>0.43527528164806223</v>
      </c>
      <c r="M161" s="732">
        <f t="shared" si="27"/>
        <v>0.88826740383999991</v>
      </c>
      <c r="N161" s="732">
        <f t="shared" si="28"/>
        <v>0.56498947715155923</v>
      </c>
      <c r="P161" s="732">
        <f t="shared" si="29"/>
        <v>-4.6801044755350407E-2</v>
      </c>
      <c r="Q161" s="732">
        <f t="shared" si="29"/>
        <v>-0.129714195503497</v>
      </c>
      <c r="S161" s="98">
        <f t="shared" si="30"/>
        <v>0</v>
      </c>
      <c r="U161" s="423">
        <f t="shared" si="31"/>
        <v>0.86746601732202666</v>
      </c>
      <c r="V161" s="423">
        <f t="shared" si="32"/>
        <v>0.50402076718698507</v>
      </c>
      <c r="W161" s="422">
        <f t="shared" si="33"/>
        <v>59.842275939289138</v>
      </c>
      <c r="X161" s="422">
        <f t="shared" si="34"/>
        <v>-0.15772406071086209</v>
      </c>
    </row>
    <row r="162" spans="3:24" x14ac:dyDescent="0.15">
      <c r="C162" s="264">
        <f t="shared" si="35"/>
        <v>75</v>
      </c>
      <c r="D162" s="732">
        <f t="shared" si="22"/>
        <v>1.3089969389957472</v>
      </c>
      <c r="E162" s="45">
        <f t="shared" si="23"/>
        <v>0.95925160323234604</v>
      </c>
      <c r="F162" s="45"/>
      <c r="G162" s="45">
        <f t="shared" si="24"/>
        <v>0.1975129050348936</v>
      </c>
      <c r="H162" s="45"/>
      <c r="J162" s="732">
        <f t="shared" si="25"/>
        <v>0.95925160323234604</v>
      </c>
      <c r="K162" s="732">
        <f t="shared" si="26"/>
        <v>0.1975129050348936</v>
      </c>
      <c r="M162" s="732">
        <f t="shared" si="27"/>
        <v>0.97184751459413465</v>
      </c>
      <c r="N162" s="732">
        <f t="shared" si="28"/>
        <v>0.32846007681081807</v>
      </c>
      <c r="P162" s="732">
        <f t="shared" si="29"/>
        <v>-1.2595911361788614E-2</v>
      </c>
      <c r="Q162" s="732">
        <f t="shared" si="29"/>
        <v>-0.13094717177592446</v>
      </c>
      <c r="S162" s="98">
        <f t="shared" si="30"/>
        <v>0</v>
      </c>
      <c r="U162" s="423">
        <f t="shared" si="31"/>
        <v>0.96631284819901342</v>
      </c>
      <c r="V162" s="423">
        <f t="shared" si="32"/>
        <v>0.26289305190262524</v>
      </c>
      <c r="W162" s="422">
        <f t="shared" si="33"/>
        <v>74.780584012662615</v>
      </c>
      <c r="X162" s="422">
        <f t="shared" si="34"/>
        <v>-0.21941598733738488</v>
      </c>
    </row>
    <row r="163" spans="3:24" x14ac:dyDescent="0.15">
      <c r="C163" s="264">
        <f t="shared" si="35"/>
        <v>90</v>
      </c>
      <c r="D163" s="732">
        <f t="shared" si="22"/>
        <v>1.5707963267948966</v>
      </c>
      <c r="E163" s="45">
        <f t="shared" si="23"/>
        <v>1</v>
      </c>
      <c r="F163" s="45"/>
      <c r="G163" s="45">
        <f t="shared" si="24"/>
        <v>3.5042127477909315E-20</v>
      </c>
      <c r="H163" s="45"/>
      <c r="J163" s="732">
        <f t="shared" si="25"/>
        <v>1</v>
      </c>
      <c r="K163" s="732">
        <f t="shared" si="26"/>
        <v>3.5042127477909315E-20</v>
      </c>
      <c r="M163" s="732">
        <f t="shared" si="27"/>
        <v>1</v>
      </c>
      <c r="N163" s="732">
        <f t="shared" si="28"/>
        <v>4.4199383610325401E-14</v>
      </c>
      <c r="P163" s="732">
        <f t="shared" si="29"/>
        <v>0</v>
      </c>
      <c r="Q163" s="732">
        <f t="shared" si="29"/>
        <v>-4.4199348568197925E-14</v>
      </c>
      <c r="S163" s="98">
        <f t="shared" si="30"/>
        <v>0</v>
      </c>
      <c r="U163" s="423">
        <f t="shared" si="31"/>
        <v>1</v>
      </c>
      <c r="V163" s="423">
        <f t="shared" si="32"/>
        <v>9.4297342907010488E-17</v>
      </c>
      <c r="W163" s="422">
        <f t="shared" si="33"/>
        <v>90</v>
      </c>
      <c r="X163" s="422">
        <f t="shared" si="34"/>
        <v>0</v>
      </c>
    </row>
    <row r="164" spans="3:24" x14ac:dyDescent="0.15">
      <c r="C164" s="264">
        <f t="shared" si="35"/>
        <v>105</v>
      </c>
      <c r="D164" s="732">
        <f t="shared" si="22"/>
        <v>1.8325957145940461</v>
      </c>
      <c r="E164" s="45">
        <f t="shared" si="23"/>
        <v>0.95925160323234604</v>
      </c>
      <c r="F164" s="45"/>
      <c r="G164" s="45">
        <f t="shared" si="24"/>
        <v>-0.19751290503489369</v>
      </c>
      <c r="H164" s="45"/>
      <c r="J164" s="732">
        <f t="shared" si="25"/>
        <v>0.95925160323234604</v>
      </c>
      <c r="K164" s="732">
        <f t="shared" si="26"/>
        <v>-0.19751290503489369</v>
      </c>
      <c r="M164" s="732">
        <f t="shared" si="27"/>
        <v>0.97184751459413465</v>
      </c>
      <c r="N164" s="732">
        <f t="shared" si="28"/>
        <v>-0.32846007681081824</v>
      </c>
      <c r="P164" s="732">
        <f t="shared" si="29"/>
        <v>-1.2595911361788614E-2</v>
      </c>
      <c r="Q164" s="732">
        <f t="shared" si="29"/>
        <v>0.13094717177592455</v>
      </c>
      <c r="S164" s="98">
        <f t="shared" si="30"/>
        <v>3.1415926535897931</v>
      </c>
      <c r="U164" s="423">
        <f t="shared" si="31"/>
        <v>0.96631284819901342</v>
      </c>
      <c r="V164" s="423">
        <f t="shared" si="32"/>
        <v>-0.26289305190262535</v>
      </c>
      <c r="W164" s="422">
        <f t="shared" si="33"/>
        <v>105.21941598733738</v>
      </c>
      <c r="X164" s="422">
        <f t="shared" si="34"/>
        <v>0.21941598733738488</v>
      </c>
    </row>
    <row r="165" spans="3:24" x14ac:dyDescent="0.15">
      <c r="C165" s="264">
        <f t="shared" si="35"/>
        <v>120</v>
      </c>
      <c r="D165" s="732">
        <f t="shared" si="22"/>
        <v>2.0943951023931953</v>
      </c>
      <c r="E165" s="45">
        <f t="shared" si="23"/>
        <v>0.84146635908464973</v>
      </c>
      <c r="F165" s="45"/>
      <c r="G165" s="45">
        <f t="shared" si="24"/>
        <v>-0.4352752816480619</v>
      </c>
      <c r="H165" s="45"/>
      <c r="J165" s="732">
        <f t="shared" si="25"/>
        <v>0.84146635908464973</v>
      </c>
      <c r="K165" s="732">
        <f t="shared" si="26"/>
        <v>-0.4352752816480619</v>
      </c>
      <c r="M165" s="732">
        <f t="shared" si="27"/>
        <v>0.88826740384000002</v>
      </c>
      <c r="N165" s="732">
        <f t="shared" si="28"/>
        <v>-0.56498947715155889</v>
      </c>
      <c r="P165" s="732">
        <f t="shared" si="29"/>
        <v>-4.6801044755350296E-2</v>
      </c>
      <c r="Q165" s="732">
        <f t="shared" si="29"/>
        <v>0.129714195503497</v>
      </c>
      <c r="S165" s="98">
        <f t="shared" si="30"/>
        <v>3.1415926535897931</v>
      </c>
      <c r="U165" s="423">
        <f t="shared" si="31"/>
        <v>0.86746601732202677</v>
      </c>
      <c r="V165" s="423">
        <f t="shared" si="32"/>
        <v>-0.50402076718698474</v>
      </c>
      <c r="W165" s="422">
        <f t="shared" si="33"/>
        <v>120.15772406071085</v>
      </c>
      <c r="X165" s="422">
        <f t="shared" si="34"/>
        <v>0.15772406071084788</v>
      </c>
    </row>
    <row r="166" spans="3:24" x14ac:dyDescent="0.15">
      <c r="C166" s="264">
        <f t="shared" si="35"/>
        <v>135</v>
      </c>
      <c r="D166" s="732">
        <f t="shared" si="22"/>
        <v>2.3561944901923448</v>
      </c>
      <c r="E166" s="45">
        <f t="shared" si="23"/>
        <v>0.65975395538644721</v>
      </c>
      <c r="F166" s="45"/>
      <c r="G166" s="45">
        <f t="shared" si="24"/>
        <v>-0.6597539553864471</v>
      </c>
      <c r="H166" s="45"/>
      <c r="J166" s="732">
        <f t="shared" si="25"/>
        <v>0.65975395538644721</v>
      </c>
      <c r="K166" s="732">
        <f t="shared" si="26"/>
        <v>-0.6597539553864471</v>
      </c>
      <c r="M166" s="732">
        <f t="shared" si="27"/>
        <v>0.75165781919139185</v>
      </c>
      <c r="N166" s="732">
        <f t="shared" si="28"/>
        <v>-0.75165781919139174</v>
      </c>
      <c r="P166" s="732">
        <f t="shared" si="29"/>
        <v>-9.1903863804944641E-2</v>
      </c>
      <c r="Q166" s="732">
        <f t="shared" si="29"/>
        <v>9.1903863804944641E-2</v>
      </c>
      <c r="S166" s="98">
        <f t="shared" si="30"/>
        <v>3.1415926535897931</v>
      </c>
      <c r="U166" s="423">
        <f t="shared" si="31"/>
        <v>0.70994420005165548</v>
      </c>
      <c r="V166" s="423">
        <f t="shared" si="32"/>
        <v>-0.70994420005165537</v>
      </c>
      <c r="W166" s="422">
        <f t="shared" si="33"/>
        <v>135</v>
      </c>
      <c r="X166" s="422">
        <f t="shared" si="34"/>
        <v>0</v>
      </c>
    </row>
    <row r="167" spans="3:24" x14ac:dyDescent="0.15">
      <c r="C167" s="264">
        <f t="shared" si="35"/>
        <v>150</v>
      </c>
      <c r="D167" s="732">
        <f t="shared" si="22"/>
        <v>2.6179938779914944</v>
      </c>
      <c r="E167" s="45">
        <f t="shared" si="23"/>
        <v>0.43527528164806201</v>
      </c>
      <c r="F167" s="45"/>
      <c r="G167" s="45">
        <f t="shared" si="24"/>
        <v>-0.84146635908464973</v>
      </c>
      <c r="H167" s="45"/>
      <c r="J167" s="732">
        <f t="shared" si="25"/>
        <v>0.43527528164806201</v>
      </c>
      <c r="K167" s="732">
        <f t="shared" si="26"/>
        <v>-0.84146635908464973</v>
      </c>
      <c r="M167" s="732">
        <f t="shared" si="27"/>
        <v>0.56498947715155912</v>
      </c>
      <c r="N167" s="732">
        <f t="shared" si="28"/>
        <v>-0.88826740384000002</v>
      </c>
      <c r="P167" s="732">
        <f t="shared" si="29"/>
        <v>-0.12971419550349711</v>
      </c>
      <c r="Q167" s="732">
        <f t="shared" si="29"/>
        <v>4.6801044755350296E-2</v>
      </c>
      <c r="S167" s="98">
        <f t="shared" si="30"/>
        <v>3.1415926535897931</v>
      </c>
      <c r="U167" s="423">
        <f t="shared" si="31"/>
        <v>0.50402076718698485</v>
      </c>
      <c r="V167" s="423">
        <f t="shared" si="32"/>
        <v>-0.86746601732202677</v>
      </c>
      <c r="W167" s="422">
        <f t="shared" si="33"/>
        <v>149.84227593928915</v>
      </c>
      <c r="X167" s="422">
        <f t="shared" si="34"/>
        <v>-0.15772406071084788</v>
      </c>
    </row>
    <row r="168" spans="3:24" x14ac:dyDescent="0.15">
      <c r="C168" s="264">
        <f t="shared" si="35"/>
        <v>165</v>
      </c>
      <c r="D168" s="732">
        <f t="shared" si="22"/>
        <v>2.8797932657906435</v>
      </c>
      <c r="E168" s="45">
        <f t="shared" si="23"/>
        <v>0.19751290503489385</v>
      </c>
      <c r="F168" s="45"/>
      <c r="G168" s="45">
        <f t="shared" si="24"/>
        <v>-0.95925160323234582</v>
      </c>
      <c r="H168" s="45"/>
      <c r="J168" s="732">
        <f t="shared" si="25"/>
        <v>0.19751290503489385</v>
      </c>
      <c r="K168" s="732">
        <f t="shared" si="26"/>
        <v>-0.95925160323234582</v>
      </c>
      <c r="M168" s="732">
        <f t="shared" si="27"/>
        <v>0.3284600768108184</v>
      </c>
      <c r="N168" s="732">
        <f t="shared" si="28"/>
        <v>-0.97184751459413454</v>
      </c>
      <c r="P168" s="732">
        <f t="shared" si="29"/>
        <v>-0.13094717177592455</v>
      </c>
      <c r="Q168" s="732">
        <f t="shared" si="29"/>
        <v>1.2595911361788725E-2</v>
      </c>
      <c r="S168" s="98">
        <f t="shared" si="30"/>
        <v>3.1415926535897931</v>
      </c>
      <c r="U168" s="423">
        <f t="shared" si="31"/>
        <v>0.26289305190262552</v>
      </c>
      <c r="V168" s="423">
        <f t="shared" si="32"/>
        <v>-0.9663128481990132</v>
      </c>
      <c r="W168" s="422">
        <f t="shared" si="33"/>
        <v>164.78058401266259</v>
      </c>
      <c r="X168" s="422">
        <f t="shared" si="34"/>
        <v>-0.2194159873374133</v>
      </c>
    </row>
    <row r="169" spans="3:24" x14ac:dyDescent="0.15">
      <c r="C169" s="264">
        <f t="shared" si="35"/>
        <v>180</v>
      </c>
      <c r="D169" s="732">
        <f t="shared" si="22"/>
        <v>3.1415926535897931</v>
      </c>
      <c r="E169" s="45">
        <f t="shared" si="23"/>
        <v>8.050566837894138E-20</v>
      </c>
      <c r="F169" s="45"/>
      <c r="G169" s="45">
        <f t="shared" si="24"/>
        <v>-1</v>
      </c>
      <c r="H169" s="45"/>
      <c r="J169" s="732">
        <f t="shared" si="25"/>
        <v>8.050566837894138E-20</v>
      </c>
      <c r="K169" s="732">
        <f t="shared" si="26"/>
        <v>-1</v>
      </c>
      <c r="M169" s="732">
        <f t="shared" si="27"/>
        <v>7.8230454544321653E-14</v>
      </c>
      <c r="N169" s="732">
        <f t="shared" si="28"/>
        <v>-1</v>
      </c>
      <c r="P169" s="732">
        <f t="shared" si="29"/>
        <v>-7.823037403865327E-14</v>
      </c>
      <c r="Q169" s="732">
        <f t="shared" si="29"/>
        <v>0</v>
      </c>
      <c r="S169" s="98">
        <f t="shared" si="30"/>
        <v>3.1415926535897931</v>
      </c>
      <c r="U169" s="423">
        <f t="shared" si="31"/>
        <v>1.8709019359122324E-16</v>
      </c>
      <c r="V169" s="423">
        <f t="shared" si="32"/>
        <v>-1</v>
      </c>
      <c r="W169" s="422">
        <f t="shared" si="33"/>
        <v>180</v>
      </c>
      <c r="X169" s="422">
        <f t="shared" si="34"/>
        <v>0</v>
      </c>
    </row>
    <row r="170" spans="3:24" x14ac:dyDescent="0.15">
      <c r="C170" s="264">
        <f t="shared" si="35"/>
        <v>195</v>
      </c>
      <c r="D170" s="732">
        <f t="shared" si="22"/>
        <v>3.4033920413889422</v>
      </c>
      <c r="E170" s="45">
        <f t="shared" si="23"/>
        <v>-0.19751290503489322</v>
      </c>
      <c r="F170" s="45"/>
      <c r="G170" s="45">
        <f t="shared" si="24"/>
        <v>-0.95925160323234615</v>
      </c>
      <c r="H170" s="45"/>
      <c r="J170" s="732">
        <f t="shared" si="25"/>
        <v>-0.19751290503489322</v>
      </c>
      <c r="K170" s="732">
        <f t="shared" si="26"/>
        <v>-0.95925160323234615</v>
      </c>
      <c r="M170" s="732">
        <f t="shared" si="27"/>
        <v>-0.32846007681081774</v>
      </c>
      <c r="N170" s="732">
        <f t="shared" si="28"/>
        <v>-0.97184751459413476</v>
      </c>
      <c r="P170" s="732">
        <f t="shared" si="29"/>
        <v>0.13094717177592452</v>
      </c>
      <c r="Q170" s="732">
        <f t="shared" si="29"/>
        <v>1.2595911361788614E-2</v>
      </c>
      <c r="S170" s="98">
        <f t="shared" si="30"/>
        <v>3.1415926535897931</v>
      </c>
      <c r="U170" s="423">
        <f t="shared" si="31"/>
        <v>-0.26289305190262474</v>
      </c>
      <c r="V170" s="423">
        <f t="shared" si="32"/>
        <v>-0.96631284819901353</v>
      </c>
      <c r="W170" s="422">
        <f t="shared" si="33"/>
        <v>195.21941598733738</v>
      </c>
      <c r="X170" s="422">
        <f t="shared" si="34"/>
        <v>0.21941598733738488</v>
      </c>
    </row>
    <row r="171" spans="3:24" x14ac:dyDescent="0.15">
      <c r="C171" s="264">
        <f t="shared" si="35"/>
        <v>210</v>
      </c>
      <c r="D171" s="732">
        <f t="shared" si="22"/>
        <v>3.6651914291880923</v>
      </c>
      <c r="E171" s="45">
        <f t="shared" si="23"/>
        <v>-0.43527528164806223</v>
      </c>
      <c r="F171" s="45"/>
      <c r="G171" s="45">
        <f t="shared" si="24"/>
        <v>-0.84146635908464951</v>
      </c>
      <c r="H171" s="45"/>
      <c r="J171" s="732">
        <f t="shared" si="25"/>
        <v>-0.43527528164806223</v>
      </c>
      <c r="K171" s="732">
        <f t="shared" si="26"/>
        <v>-0.84146635908464951</v>
      </c>
      <c r="M171" s="732">
        <f t="shared" si="27"/>
        <v>-0.56498947715155923</v>
      </c>
      <c r="N171" s="732">
        <f t="shared" si="28"/>
        <v>-0.88826740383999991</v>
      </c>
      <c r="P171" s="732">
        <f t="shared" si="29"/>
        <v>0.129714195503497</v>
      </c>
      <c r="Q171" s="732">
        <f t="shared" si="29"/>
        <v>4.6801044755350407E-2</v>
      </c>
      <c r="S171" s="98">
        <f t="shared" si="30"/>
        <v>3.1415926535897931</v>
      </c>
      <c r="U171" s="423">
        <f t="shared" si="31"/>
        <v>-0.50402076718698507</v>
      </c>
      <c r="V171" s="423">
        <f t="shared" si="32"/>
        <v>-0.86746601732202666</v>
      </c>
      <c r="W171" s="422">
        <f t="shared" si="33"/>
        <v>210.15772406071085</v>
      </c>
      <c r="X171" s="422">
        <f t="shared" si="34"/>
        <v>0.15772406071084788</v>
      </c>
    </row>
    <row r="172" spans="3:24" x14ac:dyDescent="0.15">
      <c r="C172" s="264">
        <f t="shared" si="35"/>
        <v>225</v>
      </c>
      <c r="D172" s="732">
        <f t="shared" si="22"/>
        <v>3.9269908169872414</v>
      </c>
      <c r="E172" s="45">
        <f t="shared" si="23"/>
        <v>-0.6597539553864471</v>
      </c>
      <c r="F172" s="45"/>
      <c r="G172" s="45">
        <f t="shared" si="24"/>
        <v>-0.65975395538644732</v>
      </c>
      <c r="H172" s="45"/>
      <c r="J172" s="732">
        <f t="shared" si="25"/>
        <v>-0.6597539553864471</v>
      </c>
      <c r="K172" s="732">
        <f t="shared" si="26"/>
        <v>-0.65975395538644732</v>
      </c>
      <c r="M172" s="732">
        <f t="shared" si="27"/>
        <v>-0.75165781919139174</v>
      </c>
      <c r="N172" s="732">
        <f t="shared" si="28"/>
        <v>-0.75165781919139196</v>
      </c>
      <c r="P172" s="732">
        <f t="shared" si="29"/>
        <v>9.1903863804944641E-2</v>
      </c>
      <c r="Q172" s="732">
        <f t="shared" si="29"/>
        <v>9.1903863804944641E-2</v>
      </c>
      <c r="S172" s="98">
        <f t="shared" si="30"/>
        <v>3.1415926535897931</v>
      </c>
      <c r="U172" s="423">
        <f t="shared" si="31"/>
        <v>-0.70994420005165537</v>
      </c>
      <c r="V172" s="423">
        <f t="shared" si="32"/>
        <v>-0.70994420005165548</v>
      </c>
      <c r="W172" s="422">
        <f t="shared" si="33"/>
        <v>225</v>
      </c>
      <c r="X172" s="422">
        <f t="shared" si="34"/>
        <v>0</v>
      </c>
    </row>
    <row r="173" spans="3:24" x14ac:dyDescent="0.15">
      <c r="C173" s="264">
        <f t="shared" si="35"/>
        <v>240</v>
      </c>
      <c r="D173" s="732">
        <f t="shared" si="22"/>
        <v>4.1887902047863905</v>
      </c>
      <c r="E173" s="45">
        <f t="shared" si="23"/>
        <v>-0.84146635908464928</v>
      </c>
      <c r="F173" s="45"/>
      <c r="G173" s="45">
        <f t="shared" si="24"/>
        <v>-0.43527528164806256</v>
      </c>
      <c r="H173" s="45"/>
      <c r="J173" s="732">
        <f t="shared" si="25"/>
        <v>-0.84146635908464928</v>
      </c>
      <c r="K173" s="732">
        <f t="shared" si="26"/>
        <v>-0.43527528164806256</v>
      </c>
      <c r="M173" s="732">
        <f t="shared" si="27"/>
        <v>-0.8882674038399998</v>
      </c>
      <c r="N173" s="732">
        <f t="shared" si="28"/>
        <v>-0.56498947715155956</v>
      </c>
      <c r="P173" s="732">
        <f t="shared" si="29"/>
        <v>4.6801044755350518E-2</v>
      </c>
      <c r="Q173" s="732">
        <f t="shared" si="29"/>
        <v>0.129714195503497</v>
      </c>
      <c r="S173" s="98">
        <f t="shared" si="30"/>
        <v>3.1415926535897931</v>
      </c>
      <c r="U173" s="423">
        <f t="shared" si="31"/>
        <v>-0.86746601732202644</v>
      </c>
      <c r="V173" s="423">
        <f t="shared" si="32"/>
        <v>-0.5040207671869853</v>
      </c>
      <c r="W173" s="422">
        <f t="shared" si="33"/>
        <v>239.84227593928915</v>
      </c>
      <c r="X173" s="422">
        <f t="shared" si="34"/>
        <v>-0.15772406071084788</v>
      </c>
    </row>
    <row r="174" spans="3:24" x14ac:dyDescent="0.15">
      <c r="C174" s="264">
        <f t="shared" si="35"/>
        <v>255</v>
      </c>
      <c r="D174" s="732">
        <f t="shared" si="22"/>
        <v>4.4505895925855405</v>
      </c>
      <c r="E174" s="45">
        <f t="shared" si="23"/>
        <v>-0.95925160323234604</v>
      </c>
      <c r="F174" s="45"/>
      <c r="G174" s="45">
        <f t="shared" si="24"/>
        <v>-0.19751290503489347</v>
      </c>
      <c r="H174" s="45"/>
      <c r="J174" s="732">
        <f t="shared" si="25"/>
        <v>-0.95925160323234604</v>
      </c>
      <c r="K174" s="732">
        <f t="shared" si="26"/>
        <v>-0.19751290503489347</v>
      </c>
      <c r="M174" s="732">
        <f t="shared" si="27"/>
        <v>-0.97184751459413465</v>
      </c>
      <c r="N174" s="732">
        <f t="shared" si="28"/>
        <v>-0.32846007681081801</v>
      </c>
      <c r="P174" s="732">
        <f t="shared" si="29"/>
        <v>1.2595911361788614E-2</v>
      </c>
      <c r="Q174" s="732">
        <f t="shared" si="29"/>
        <v>0.13094717177592455</v>
      </c>
      <c r="S174" s="98">
        <f t="shared" si="30"/>
        <v>3.1415926535897931</v>
      </c>
      <c r="U174" s="423">
        <f t="shared" si="31"/>
        <v>-0.96631284819901342</v>
      </c>
      <c r="V174" s="423">
        <f t="shared" si="32"/>
        <v>-0.26289305190262507</v>
      </c>
      <c r="W174" s="422">
        <f t="shared" si="33"/>
        <v>254.78058401266262</v>
      </c>
      <c r="X174" s="422">
        <f t="shared" si="34"/>
        <v>-0.21941598733738488</v>
      </c>
    </row>
    <row r="175" spans="3:24" x14ac:dyDescent="0.15">
      <c r="C175" s="264">
        <f t="shared" si="35"/>
        <v>270</v>
      </c>
      <c r="D175" s="732">
        <f t="shared" si="22"/>
        <v>4.7123889803846897</v>
      </c>
      <c r="E175" s="45">
        <f t="shared" si="23"/>
        <v>-1</v>
      </c>
      <c r="F175" s="45"/>
      <c r="G175" s="45">
        <f t="shared" si="24"/>
        <v>-1.3095918716754812E-19</v>
      </c>
      <c r="H175" s="45"/>
      <c r="J175" s="732">
        <f t="shared" si="25"/>
        <v>-1</v>
      </c>
      <c r="K175" s="732">
        <f t="shared" si="26"/>
        <v>-1.3095918716754812E-19</v>
      </c>
      <c r="M175" s="732">
        <f t="shared" si="27"/>
        <v>-1</v>
      </c>
      <c r="N175" s="732">
        <f t="shared" si="28"/>
        <v>-1.0925037722362623E-13</v>
      </c>
      <c r="P175" s="732">
        <f t="shared" si="29"/>
        <v>0</v>
      </c>
      <c r="Q175" s="732">
        <f t="shared" si="29"/>
        <v>1.0925024626443906E-13</v>
      </c>
      <c r="S175" s="98">
        <f t="shared" si="30"/>
        <v>3.1415926535897931</v>
      </c>
      <c r="U175" s="423">
        <f t="shared" si="31"/>
        <v>-1</v>
      </c>
      <c r="V175" s="423">
        <f t="shared" si="32"/>
        <v>-2.7932353794630134E-16</v>
      </c>
      <c r="W175" s="422">
        <f t="shared" si="33"/>
        <v>270</v>
      </c>
      <c r="X175" s="422">
        <f t="shared" si="34"/>
        <v>0</v>
      </c>
    </row>
    <row r="176" spans="3:24" x14ac:dyDescent="0.15">
      <c r="C176" s="264">
        <f>C175+15</f>
        <v>285</v>
      </c>
      <c r="D176" s="732">
        <f t="shared" si="22"/>
        <v>4.9741883681838397</v>
      </c>
      <c r="E176" s="45">
        <f t="shared" si="23"/>
        <v>-0.95925160323234582</v>
      </c>
      <c r="F176" s="45"/>
      <c r="G176" s="45">
        <f t="shared" si="24"/>
        <v>0.19751290503489391</v>
      </c>
      <c r="H176" s="45"/>
      <c r="J176" s="732">
        <f t="shared" si="25"/>
        <v>-0.95925160323234582</v>
      </c>
      <c r="K176" s="732">
        <f t="shared" si="26"/>
        <v>0.19751290503489391</v>
      </c>
      <c r="M176" s="732">
        <f t="shared" si="27"/>
        <v>-0.97184751459413454</v>
      </c>
      <c r="N176" s="732">
        <f t="shared" si="28"/>
        <v>0.32846007681081846</v>
      </c>
      <c r="P176" s="732">
        <f t="shared" si="29"/>
        <v>1.2595911361788725E-2</v>
      </c>
      <c r="Q176" s="732">
        <f t="shared" si="29"/>
        <v>-0.13094717177592455</v>
      </c>
      <c r="S176" s="98">
        <f t="shared" si="30"/>
        <v>6.2831853071795862</v>
      </c>
      <c r="U176" s="423">
        <f t="shared" si="31"/>
        <v>-0.9663128481990132</v>
      </c>
      <c r="V176" s="423">
        <f t="shared" si="32"/>
        <v>0.26289305190262557</v>
      </c>
      <c r="W176" s="422">
        <f t="shared" si="33"/>
        <v>285.21941598733741</v>
      </c>
      <c r="X176" s="422">
        <f t="shared" si="34"/>
        <v>0.2194159873374133</v>
      </c>
    </row>
    <row r="177" spans="3:24" x14ac:dyDescent="0.15">
      <c r="C177" s="264">
        <f t="shared" si="35"/>
        <v>300</v>
      </c>
      <c r="D177" s="732">
        <f t="shared" si="22"/>
        <v>5.2359877559829888</v>
      </c>
      <c r="E177" s="45">
        <f t="shared" si="23"/>
        <v>-0.84146635908464951</v>
      </c>
      <c r="F177" s="45"/>
      <c r="G177" s="45">
        <f t="shared" si="24"/>
        <v>0.43527528164806223</v>
      </c>
      <c r="H177" s="45"/>
      <c r="J177" s="732">
        <f t="shared" si="25"/>
        <v>-0.84146635908464951</v>
      </c>
      <c r="K177" s="732">
        <f t="shared" si="26"/>
        <v>0.43527528164806223</v>
      </c>
      <c r="M177" s="732">
        <f t="shared" si="27"/>
        <v>-0.88826740383999991</v>
      </c>
      <c r="N177" s="732">
        <f t="shared" si="28"/>
        <v>0.56498947715155923</v>
      </c>
      <c r="P177" s="732">
        <f t="shared" si="29"/>
        <v>4.6801044755350407E-2</v>
      </c>
      <c r="Q177" s="732">
        <f t="shared" si="29"/>
        <v>-0.129714195503497</v>
      </c>
      <c r="S177" s="98">
        <f t="shared" si="30"/>
        <v>6.2831853071795862</v>
      </c>
      <c r="U177" s="423">
        <f t="shared" si="31"/>
        <v>-0.86746601732202666</v>
      </c>
      <c r="V177" s="423">
        <f t="shared" si="32"/>
        <v>0.50402076718698507</v>
      </c>
      <c r="W177" s="422">
        <f t="shared" si="33"/>
        <v>300.15772406071085</v>
      </c>
      <c r="X177" s="422">
        <f t="shared" si="34"/>
        <v>0.15772406071084788</v>
      </c>
    </row>
    <row r="178" spans="3:24" x14ac:dyDescent="0.15">
      <c r="C178" s="264">
        <f t="shared" si="35"/>
        <v>315</v>
      </c>
      <c r="D178" s="732">
        <f t="shared" si="22"/>
        <v>5.497787143782138</v>
      </c>
      <c r="E178" s="45">
        <f t="shared" si="23"/>
        <v>-0.65975395538644732</v>
      </c>
      <c r="F178" s="45"/>
      <c r="G178" s="45">
        <f t="shared" si="24"/>
        <v>0.65975395538644688</v>
      </c>
      <c r="H178" s="45"/>
      <c r="J178" s="732">
        <f t="shared" si="25"/>
        <v>-0.65975395538644732</v>
      </c>
      <c r="K178" s="732">
        <f t="shared" si="26"/>
        <v>0.65975395538644688</v>
      </c>
      <c r="M178" s="732">
        <f t="shared" si="27"/>
        <v>-0.75165781919139196</v>
      </c>
      <c r="N178" s="732">
        <f t="shared" si="28"/>
        <v>0.75165781919139163</v>
      </c>
      <c r="P178" s="732">
        <f t="shared" si="29"/>
        <v>9.1903863804944641E-2</v>
      </c>
      <c r="Q178" s="732">
        <f t="shared" si="29"/>
        <v>-9.1903863804944752E-2</v>
      </c>
      <c r="S178" s="98">
        <f t="shared" si="30"/>
        <v>6.2831853071795862</v>
      </c>
      <c r="U178" s="423">
        <f t="shared" si="31"/>
        <v>-0.70994420005165548</v>
      </c>
      <c r="V178" s="423">
        <f t="shared" si="32"/>
        <v>0.70994420005165515</v>
      </c>
      <c r="W178" s="422">
        <f t="shared" si="33"/>
        <v>315</v>
      </c>
      <c r="X178" s="422">
        <f t="shared" si="34"/>
        <v>0</v>
      </c>
    </row>
    <row r="179" spans="3:24" x14ac:dyDescent="0.15">
      <c r="C179" s="264">
        <f t="shared" si="35"/>
        <v>330</v>
      </c>
      <c r="D179" s="732">
        <f t="shared" si="22"/>
        <v>5.7595865315812871</v>
      </c>
      <c r="E179" s="45">
        <f t="shared" si="23"/>
        <v>-0.43527528164806256</v>
      </c>
      <c r="F179" s="45"/>
      <c r="G179" s="45">
        <f t="shared" si="24"/>
        <v>0.84146635908464928</v>
      </c>
      <c r="H179" s="45"/>
      <c r="J179" s="732">
        <f t="shared" si="25"/>
        <v>-0.43527528164806256</v>
      </c>
      <c r="K179" s="732">
        <f t="shared" si="26"/>
        <v>0.84146635908464928</v>
      </c>
      <c r="M179" s="732">
        <f t="shared" si="27"/>
        <v>-0.56498947715155956</v>
      </c>
      <c r="N179" s="732">
        <f t="shared" si="28"/>
        <v>0.8882674038399998</v>
      </c>
      <c r="P179" s="732">
        <f t="shared" si="29"/>
        <v>0.129714195503497</v>
      </c>
      <c r="Q179" s="732">
        <f t="shared" si="29"/>
        <v>-4.6801044755350518E-2</v>
      </c>
      <c r="S179" s="98">
        <f t="shared" si="30"/>
        <v>6.2831853071795862</v>
      </c>
      <c r="U179" s="423">
        <f t="shared" si="31"/>
        <v>-0.5040207671869853</v>
      </c>
      <c r="V179" s="423">
        <f t="shared" si="32"/>
        <v>0.86746601732202644</v>
      </c>
      <c r="W179" s="422">
        <f t="shared" si="33"/>
        <v>329.84227593928915</v>
      </c>
      <c r="X179" s="422">
        <f t="shared" si="34"/>
        <v>-0.15772406071084788</v>
      </c>
    </row>
    <row r="180" spans="3:24" x14ac:dyDescent="0.15">
      <c r="C180" s="264">
        <f>C179+15</f>
        <v>345</v>
      </c>
      <c r="D180" s="732">
        <f t="shared" si="22"/>
        <v>6.0213859193804371</v>
      </c>
      <c r="E180" s="45">
        <f t="shared" si="23"/>
        <v>-0.19751290503489352</v>
      </c>
      <c r="F180" s="45"/>
      <c r="G180" s="45">
        <f t="shared" si="24"/>
        <v>0.95925160323234604</v>
      </c>
      <c r="H180" s="45"/>
      <c r="J180" s="732">
        <f t="shared" si="25"/>
        <v>-0.19751290503489352</v>
      </c>
      <c r="K180" s="732">
        <f t="shared" si="26"/>
        <v>0.95925160323234604</v>
      </c>
      <c r="M180" s="732">
        <f t="shared" si="27"/>
        <v>-0.32846007681081801</v>
      </c>
      <c r="N180" s="732">
        <f t="shared" si="28"/>
        <v>0.97184751459413465</v>
      </c>
      <c r="P180" s="732">
        <f t="shared" si="29"/>
        <v>0.13094717177592449</v>
      </c>
      <c r="Q180" s="732">
        <f t="shared" si="29"/>
        <v>-1.2595911361788614E-2</v>
      </c>
      <c r="S180" s="98">
        <f t="shared" si="30"/>
        <v>6.2831853071795862</v>
      </c>
      <c r="U180" s="423">
        <f t="shared" si="31"/>
        <v>-0.26289305190262513</v>
      </c>
      <c r="V180" s="423">
        <f t="shared" si="32"/>
        <v>0.96631284819901342</v>
      </c>
      <c r="W180" s="422">
        <f t="shared" si="33"/>
        <v>344.78058401266264</v>
      </c>
      <c r="X180" s="422">
        <f t="shared" si="34"/>
        <v>-0.21941598733735646</v>
      </c>
    </row>
    <row r="181" spans="3:24" x14ac:dyDescent="0.15">
      <c r="C181" s="264">
        <f t="shared" si="35"/>
        <v>360</v>
      </c>
      <c r="D181" s="732">
        <f t="shared" si="22"/>
        <v>6.2831853071795862</v>
      </c>
      <c r="E181" s="45">
        <f t="shared" si="23"/>
        <v>-1.8495345766965423E-19</v>
      </c>
      <c r="F181" s="45"/>
      <c r="G181" s="45">
        <f t="shared" si="24"/>
        <v>1</v>
      </c>
      <c r="H181" s="45"/>
      <c r="J181" s="732">
        <f t="shared" si="25"/>
        <v>-1.8495345766965423E-19</v>
      </c>
      <c r="K181" s="732">
        <f t="shared" si="26"/>
        <v>1</v>
      </c>
      <c r="M181" s="732">
        <f t="shared" si="27"/>
        <v>-1.3846356031041006E-13</v>
      </c>
      <c r="N181" s="732">
        <f t="shared" si="28"/>
        <v>1</v>
      </c>
      <c r="P181" s="732">
        <f t="shared" si="29"/>
        <v>1.3846337535695239E-13</v>
      </c>
      <c r="Q181" s="732">
        <f t="shared" si="29"/>
        <v>0</v>
      </c>
      <c r="S181" s="98">
        <f t="shared" si="30"/>
        <v>6.2831853071795862</v>
      </c>
      <c r="U181" s="423">
        <f t="shared" si="31"/>
        <v>-3.711954065611283E-16</v>
      </c>
      <c r="V181" s="423">
        <f t="shared" si="32"/>
        <v>1</v>
      </c>
      <c r="W181" s="422">
        <f t="shared" si="33"/>
        <v>360</v>
      </c>
      <c r="X181" s="422">
        <f t="shared" si="34"/>
        <v>0</v>
      </c>
    </row>
  </sheetData>
  <sheetProtection sheet="1" objects="1" scenarios="1"/>
  <phoneticPr fontId="121"/>
  <hyperlinks>
    <hyperlink ref="E2" location="Contents!A1" display="Return to Main page"/>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4" tint="0.59999389629810485"/>
  </sheetPr>
  <dimension ref="B1:N216"/>
  <sheetViews>
    <sheetView showGridLines="0" showRowColHeaders="0" zoomScaleNormal="100" workbookViewId="0">
      <selection activeCell="D6" sqref="D6"/>
    </sheetView>
  </sheetViews>
  <sheetFormatPr defaultRowHeight="13.5" x14ac:dyDescent="0.15"/>
  <cols>
    <col min="1" max="1" width="3.875" customWidth="1"/>
    <col min="2" max="2" width="5.5" customWidth="1"/>
    <col min="3" max="3" width="35" customWidth="1"/>
    <col min="4" max="4" width="11.125" style="424" customWidth="1"/>
    <col min="5" max="5" width="7.125" style="424" customWidth="1"/>
    <col min="6" max="6" width="10.5" style="424" customWidth="1"/>
    <col min="8" max="8" width="7.5" customWidth="1"/>
    <col min="9" max="9" width="18.5" style="424" customWidth="1"/>
    <col min="10" max="10" width="6.5" style="424" customWidth="1"/>
    <col min="11" max="11" width="10.75" style="424" customWidth="1"/>
  </cols>
  <sheetData>
    <row r="1" spans="2:14" x14ac:dyDescent="0.15">
      <c r="D1" s="102"/>
      <c r="E1" s="102"/>
      <c r="F1" s="102"/>
      <c r="G1" s="12"/>
      <c r="H1" s="12"/>
      <c r="I1" s="102"/>
      <c r="J1" s="102"/>
      <c r="K1" s="102"/>
      <c r="L1" s="12"/>
    </row>
    <row r="2" spans="2:14" ht="17.25" x14ac:dyDescent="0.2">
      <c r="C2" s="101" t="s">
        <v>768</v>
      </c>
      <c r="D2"/>
      <c r="E2" s="102"/>
      <c r="F2" s="102"/>
      <c r="G2" s="12"/>
      <c r="H2" s="20" t="s">
        <v>198</v>
      </c>
      <c r="I2" s="102"/>
      <c r="J2" s="102"/>
      <c r="K2" s="102"/>
      <c r="L2" s="12"/>
    </row>
    <row r="3" spans="2:14" x14ac:dyDescent="0.15">
      <c r="B3" s="12"/>
      <c r="C3" s="12"/>
      <c r="D3" s="12"/>
      <c r="E3" s="102"/>
      <c r="F3" s="102"/>
      <c r="G3" s="12"/>
      <c r="H3" s="12" t="s">
        <v>849</v>
      </c>
      <c r="I3" s="102"/>
      <c r="J3" s="102"/>
      <c r="K3" s="102"/>
      <c r="L3" s="12"/>
    </row>
    <row r="4" spans="2:14" x14ac:dyDescent="0.15">
      <c r="B4" s="12"/>
      <c r="C4" s="12"/>
      <c r="D4" s="103"/>
      <c r="E4" s="102"/>
      <c r="F4" s="102"/>
      <c r="G4" s="12"/>
      <c r="H4" s="12"/>
      <c r="I4" s="103"/>
      <c r="J4" s="102"/>
      <c r="K4" s="102"/>
      <c r="L4" s="102"/>
    </row>
    <row r="5" spans="2:14" ht="14.25" x14ac:dyDescent="0.15">
      <c r="B5" s="12"/>
      <c r="C5" s="104" t="s">
        <v>293</v>
      </c>
      <c r="D5" s="102"/>
      <c r="E5" s="102"/>
      <c r="F5" s="102"/>
      <c r="G5" s="12"/>
      <c r="H5" s="12"/>
      <c r="I5" s="426" t="s">
        <v>769</v>
      </c>
      <c r="J5" s="102"/>
      <c r="K5" s="102"/>
      <c r="L5" s="12"/>
    </row>
    <row r="6" spans="2:14" x14ac:dyDescent="0.15">
      <c r="B6" s="12"/>
      <c r="C6" s="25" t="s">
        <v>159</v>
      </c>
      <c r="D6" s="427">
        <v>220</v>
      </c>
      <c r="E6" s="114" t="s">
        <v>27</v>
      </c>
      <c r="F6" s="105" t="str">
        <f>IF(D6&lt;C54,"too small",IF(D6&gt;D54,"too large","In Range"))</f>
        <v>In Range</v>
      </c>
      <c r="G6" s="12"/>
      <c r="I6" s="428" t="s">
        <v>770</v>
      </c>
      <c r="J6" s="428" t="s">
        <v>771</v>
      </c>
      <c r="K6" s="428" t="s">
        <v>772</v>
      </c>
      <c r="L6" s="12"/>
    </row>
    <row r="7" spans="2:14" ht="14.25" x14ac:dyDescent="0.2">
      <c r="B7" s="12"/>
      <c r="C7" s="25" t="s">
        <v>294</v>
      </c>
      <c r="D7" s="429">
        <v>6.07</v>
      </c>
      <c r="E7" s="114" t="s">
        <v>70</v>
      </c>
      <c r="F7" s="105" t="str">
        <f>IF(D7&lt;C55,"too small",IF(D7&gt;D55,"too large","In Range"))</f>
        <v>In Range</v>
      </c>
      <c r="G7" s="12"/>
      <c r="I7" s="430" t="s">
        <v>773</v>
      </c>
      <c r="J7" s="431" t="s">
        <v>774</v>
      </c>
      <c r="K7" s="122" t="str">
        <f>D23</f>
        <v>0x45</v>
      </c>
      <c r="L7" s="12"/>
      <c r="N7" s="108"/>
    </row>
    <row r="8" spans="2:14" ht="16.5" x14ac:dyDescent="0.25">
      <c r="B8" s="12"/>
      <c r="C8" s="25" t="s">
        <v>818</v>
      </c>
      <c r="D8" s="432">
        <f>micro/(2*PI()*SQRT(pico*D6*D7*micro))</f>
        <v>4.3552636011306554</v>
      </c>
      <c r="E8" s="114" t="s">
        <v>0</v>
      </c>
      <c r="F8" s="105" t="str">
        <f>IF(D8&lt;C56,"too low",IF(D8&gt;D56,"too high","In Range"))</f>
        <v>In Range</v>
      </c>
      <c r="G8" s="12"/>
      <c r="I8" s="430" t="s">
        <v>775</v>
      </c>
      <c r="J8" s="431" t="s">
        <v>776</v>
      </c>
      <c r="K8" s="433" t="str">
        <f>D27</f>
        <v>0xDE</v>
      </c>
      <c r="L8" s="12"/>
    </row>
    <row r="9" spans="2:14" x14ac:dyDescent="0.15">
      <c r="B9" s="12"/>
      <c r="C9" s="45" t="s">
        <v>626</v>
      </c>
      <c r="D9" s="429">
        <v>3.96</v>
      </c>
      <c r="E9" s="116" t="str">
        <f>RIGHT(E59,E10)&amp;"@"&amp;LEFT(D8,5)&amp;"MHz"</f>
        <v>kΩ@4.355MHz</v>
      </c>
      <c r="F9" s="106"/>
      <c r="G9" s="12"/>
      <c r="I9" s="430" t="s">
        <v>777</v>
      </c>
      <c r="J9" s="431" t="s">
        <v>778</v>
      </c>
      <c r="K9" s="112" t="str">
        <f>D30</f>
        <v>0xFD</v>
      </c>
      <c r="L9" s="12"/>
    </row>
    <row r="10" spans="2:14" hidden="1" x14ac:dyDescent="0.15">
      <c r="B10" s="12"/>
      <c r="C10" s="445" t="s">
        <v>388</v>
      </c>
      <c r="D10" s="526">
        <f>IF(C9="Sensor Rs",D9,1000*D7/(D6*D9))</f>
        <v>6.9674012855831036</v>
      </c>
      <c r="E10" s="448">
        <f>IF(C9="Sensor Rp",2,1)</f>
        <v>2</v>
      </c>
      <c r="F10" s="106"/>
      <c r="G10" s="12"/>
      <c r="I10" s="527"/>
      <c r="J10" s="105"/>
      <c r="K10" s="107"/>
      <c r="L10" s="12"/>
    </row>
    <row r="11" spans="2:14" x14ac:dyDescent="0.15">
      <c r="B11" s="12"/>
      <c r="C11" s="25" t="str">
        <f>IF(C9="Sensor Rs","Rp","Rs")</f>
        <v>Rs</v>
      </c>
      <c r="D11" s="480">
        <f>1000*D7/(D6*D9)</f>
        <v>6.9674012855831036</v>
      </c>
      <c r="E11" s="116" t="str">
        <f>IF(C11="Rs","Ω","kΩ")</f>
        <v>Ω</v>
      </c>
      <c r="F11" s="106"/>
      <c r="G11" s="12"/>
      <c r="I11" s="430" t="s">
        <v>779</v>
      </c>
      <c r="J11" s="431" t="s">
        <v>780</v>
      </c>
      <c r="K11" s="112" t="str">
        <f>"0x"&amp;DEC2HEX((D100*16+D99),2)</f>
        <v>0xE7</v>
      </c>
      <c r="L11" s="12"/>
    </row>
    <row r="12" spans="2:14" x14ac:dyDescent="0.15">
      <c r="B12" s="12"/>
      <c r="C12" s="25" t="s">
        <v>403</v>
      </c>
      <c r="D12" s="429">
        <v>20</v>
      </c>
      <c r="E12" s="488" t="s">
        <v>34</v>
      </c>
      <c r="F12" s="106"/>
      <c r="G12" s="12"/>
      <c r="I12" s="430" t="s">
        <v>781</v>
      </c>
      <c r="J12" s="431" t="s">
        <v>782</v>
      </c>
      <c r="K12" s="122" t="str">
        <f>"0x"&amp;DEC2HEX(D111,2)</f>
        <v>0x00</v>
      </c>
      <c r="L12" s="12"/>
    </row>
    <row r="13" spans="2:14" x14ac:dyDescent="0.15">
      <c r="B13" s="12"/>
      <c r="C13" s="25" t="s">
        <v>433</v>
      </c>
      <c r="D13" s="429">
        <v>18</v>
      </c>
      <c r="E13" s="488" t="s">
        <v>34</v>
      </c>
      <c r="F13" s="106"/>
      <c r="G13" s="12"/>
      <c r="I13" s="430" t="s">
        <v>783</v>
      </c>
      <c r="J13" s="431" t="s">
        <v>784</v>
      </c>
      <c r="K13" s="122" t="str">
        <f>"0x"&amp;DEC2HEX(FLOOR(D110/256,1),2)</f>
        <v>0x02</v>
      </c>
      <c r="L13" s="12"/>
    </row>
    <row r="14" spans="2:14" hidden="1" x14ac:dyDescent="0.15">
      <c r="B14" s="12"/>
      <c r="C14" s="25" t="s">
        <v>820</v>
      </c>
      <c r="D14" s="483">
        <f>IF(E12="mm",D12,D12*0.0254)</f>
        <v>20</v>
      </c>
      <c r="E14" s="484"/>
      <c r="F14" s="106"/>
      <c r="G14" s="12"/>
      <c r="L14" s="12"/>
    </row>
    <row r="15" spans="2:14" hidden="1" x14ac:dyDescent="0.15">
      <c r="B15" s="12"/>
      <c r="C15" s="25" t="s">
        <v>821</v>
      </c>
      <c r="D15" s="483">
        <f>IF(E13="mm",D13,D13*0.0254)</f>
        <v>18</v>
      </c>
      <c r="E15" s="116"/>
      <c r="F15" s="106"/>
      <c r="G15" s="12"/>
      <c r="I15" s="481"/>
      <c r="J15" s="106"/>
      <c r="K15" s="482"/>
      <c r="L15" s="12"/>
    </row>
    <row r="16" spans="2:14" hidden="1" x14ac:dyDescent="0.15">
      <c r="B16" s="12"/>
      <c r="C16" s="25" t="s">
        <v>822</v>
      </c>
      <c r="D16" s="483">
        <f>D15/D14</f>
        <v>0.9</v>
      </c>
      <c r="E16" s="116"/>
      <c r="F16" s="106"/>
      <c r="G16" s="12"/>
      <c r="I16" s="481"/>
      <c r="J16" s="106"/>
      <c r="K16" s="482"/>
      <c r="L16" s="12"/>
    </row>
    <row r="17" spans="2:14" hidden="1" x14ac:dyDescent="0.15">
      <c r="B17" s="12"/>
      <c r="C17" s="25" t="s">
        <v>823</v>
      </c>
      <c r="D17" s="483">
        <f>(0.00406832344757895+15.5588911/(1+(D7/0.0358077078721068)^0.865185989584669))+(0.973523646945684-1.1322846019223/(1+(D7/1.1356393338887)^1.06847511981245))*(1-EXP(-(10.3324121181807-56.0213701830392/(1+(D7/0.0139455036722347)^0.572123422421793))*D16))</f>
        <v>0.99660667260636515</v>
      </c>
      <c r="E17" s="116"/>
      <c r="F17" s="106"/>
      <c r="G17" s="12"/>
      <c r="I17" s="481"/>
      <c r="J17" s="106"/>
      <c r="K17" s="482"/>
      <c r="L17" s="12"/>
    </row>
    <row r="18" spans="2:14" ht="16.5" x14ac:dyDescent="0.25">
      <c r="B18" s="12"/>
      <c r="C18" s="25" t="s">
        <v>819</v>
      </c>
      <c r="D18" s="434">
        <f>D8/SQRT(D17)</f>
        <v>4.3626718781453206</v>
      </c>
      <c r="E18" s="114" t="s">
        <v>0</v>
      </c>
      <c r="F18" s="106"/>
      <c r="G18" s="12"/>
      <c r="I18" s="430" t="s">
        <v>785</v>
      </c>
      <c r="J18" s="431" t="s">
        <v>786</v>
      </c>
      <c r="K18" s="122" t="str">
        <f>"0x"&amp;DEC2HEX(LOG(D104,2),2)</f>
        <v>0x01</v>
      </c>
      <c r="L18" s="12"/>
    </row>
    <row r="19" spans="2:14" x14ac:dyDescent="0.15">
      <c r="B19" s="12"/>
      <c r="D19" s="435"/>
      <c r="E19" s="116"/>
      <c r="F19" s="106"/>
      <c r="G19" s="12"/>
      <c r="L19" s="12"/>
      <c r="N19" s="110"/>
    </row>
    <row r="20" spans="2:14" ht="18.75" x14ac:dyDescent="0.3">
      <c r="B20" s="12"/>
      <c r="C20" s="104" t="s">
        <v>853</v>
      </c>
      <c r="D20" s="435"/>
      <c r="E20" s="116"/>
      <c r="F20" s="106"/>
      <c r="G20" s="12"/>
      <c r="H20" s="506"/>
      <c r="I20" s="507"/>
      <c r="J20" s="507"/>
      <c r="K20" s="507"/>
      <c r="L20" s="506"/>
      <c r="M20" s="506"/>
    </row>
    <row r="21" spans="2:14" x14ac:dyDescent="0.15">
      <c r="B21" s="12"/>
      <c r="C21" s="25" t="s">
        <v>326</v>
      </c>
      <c r="D21" s="52">
        <v>3</v>
      </c>
      <c r="E21" s="116" t="s">
        <v>243</v>
      </c>
      <c r="F21" s="105" t="str">
        <f>IF(AND(C65&gt;=C63,C65&lt;=D63),"in Range",IF(C65&lt;C63,"too large",IF(C65&gt;D63,"too small")))</f>
        <v>in Range</v>
      </c>
      <c r="G21" s="485"/>
      <c r="H21" s="506"/>
      <c r="I21" s="507"/>
      <c r="J21" s="507"/>
      <c r="K21" s="507"/>
      <c r="L21" s="506"/>
      <c r="M21" s="506"/>
      <c r="N21" s="330"/>
    </row>
    <row r="22" spans="2:14" x14ac:dyDescent="0.15">
      <c r="B22" s="12"/>
      <c r="C22" s="25" t="str">
        <f>IF(D22&gt;D21,"RpMAX Setting","RPMAX must be &gt;RpMIN")</f>
        <v>RpMAX Setting</v>
      </c>
      <c r="D22" s="436">
        <v>6</v>
      </c>
      <c r="E22" s="116" t="s">
        <v>243</v>
      </c>
      <c r="F22" s="105" t="str">
        <f>IF(AND(D22&gt;=C59,D22&lt;=2.05*C59),"in Range",IF(D22&gt;2.05*C59,"too large",IF(D22&lt;C59,"too small")))</f>
        <v>in Range</v>
      </c>
      <c r="G22" s="485"/>
      <c r="H22" s="506"/>
      <c r="I22" s="507"/>
      <c r="J22" s="507"/>
      <c r="K22" s="507"/>
      <c r="L22" s="506"/>
      <c r="M22" s="506"/>
      <c r="N22" s="330"/>
    </row>
    <row r="23" spans="2:14" hidden="1" x14ac:dyDescent="0.15">
      <c r="B23" s="12"/>
      <c r="C23" s="58" t="s">
        <v>353</v>
      </c>
      <c r="D23" s="437" t="str">
        <f>"0x"&amp;DEC2HEX(TEXT((((7-LOG(D22/0.75,2))*16)+(7-LOG(D21/0.75,2))),"0"),2)</f>
        <v>0x45</v>
      </c>
      <c r="E23" s="116"/>
      <c r="F23" s="124" t="s">
        <v>354</v>
      </c>
      <c r="G23" s="485"/>
      <c r="H23" s="506"/>
      <c r="I23" s="507"/>
      <c r="J23" s="507"/>
      <c r="K23" s="507"/>
      <c r="L23" s="506"/>
      <c r="M23" s="506"/>
      <c r="N23" s="330"/>
    </row>
    <row r="24" spans="2:14" x14ac:dyDescent="0.15">
      <c r="B24" s="12"/>
      <c r="C24" s="25" t="s">
        <v>297</v>
      </c>
      <c r="D24" s="438">
        <f>1000*C59*SQRT(pico*D6/(micro*D7))</f>
        <v>23.840325506661852</v>
      </c>
      <c r="E24" s="116"/>
      <c r="F24" s="105" t="str">
        <f>IF(D24&gt;=C57,"in Range","too small")</f>
        <v>in Range</v>
      </c>
      <c r="G24" s="485"/>
      <c r="H24" s="506"/>
      <c r="I24" s="507"/>
      <c r="J24" s="507"/>
      <c r="K24" s="507"/>
      <c r="L24" s="506"/>
      <c r="M24" s="506"/>
      <c r="N24" s="330"/>
    </row>
    <row r="25" spans="2:14" x14ac:dyDescent="0.15">
      <c r="B25" s="12"/>
      <c r="C25" s="25" t="s">
        <v>298</v>
      </c>
      <c r="D25" s="439">
        <f>IF(1000*SQRT(2)/(PI()*0.6*D35*(6))&gt;C84,6,IF(1000*SQRT(2)/(PI()*0.6*D35*(3))&gt;C84,3,IF(1000*SQRT(2)/(PI()*0.6*D35*(1.5))&gt;C84,1.5,IF(1000*SQRT(2)/(PI()*0.6*D35*(0.75))&gt;C84,0.75,"Too Low"))))</f>
        <v>6</v>
      </c>
      <c r="E25" s="114" t="s">
        <v>27</v>
      </c>
      <c r="F25" s="105" t="str">
        <f>IF(AND(D25&gt;=C78,D25&lt;=C81),"in Range", "error")</f>
        <v>in Range</v>
      </c>
      <c r="G25" s="485"/>
      <c r="H25" s="506"/>
      <c r="I25" s="507"/>
      <c r="J25" s="507"/>
      <c r="K25" s="507"/>
      <c r="L25" s="506"/>
      <c r="M25" s="506"/>
      <c r="N25" s="330"/>
    </row>
    <row r="26" spans="2:14" x14ac:dyDescent="0.15">
      <c r="B26" s="12"/>
      <c r="C26" s="25" t="s">
        <v>300</v>
      </c>
      <c r="D26" s="440">
        <f>(1000*SQRT(2)/(PI()*0.6*D8*(D25)))</f>
        <v>28.710990711821864</v>
      </c>
      <c r="E26" s="116" t="s">
        <v>243</v>
      </c>
      <c r="F26" s="105" t="str">
        <f>IF(D26&lt;C84,"too small",IF(D26&gt;C85,"too large","In Range"))</f>
        <v>In Range</v>
      </c>
      <c r="G26" s="485"/>
      <c r="H26" s="506"/>
      <c r="I26" s="507"/>
      <c r="J26" s="507"/>
      <c r="K26" s="507"/>
      <c r="L26" s="506"/>
      <c r="M26" s="506"/>
      <c r="N26" s="330"/>
    </row>
    <row r="27" spans="2:14" hidden="1" x14ac:dyDescent="0.15">
      <c r="B27" s="12"/>
      <c r="C27" s="58" t="s">
        <v>349</v>
      </c>
      <c r="D27" s="441" t="str">
        <f>"0x"&amp;DEC2HEX(TEXT((((LOG(D25/0.75,2))*64)+FLOOR(-(D26-417)/12.77,1)),"0"),2)</f>
        <v>0xDE</v>
      </c>
      <c r="E27" s="116"/>
      <c r="F27" s="124" t="s">
        <v>350</v>
      </c>
      <c r="G27" s="485"/>
      <c r="H27" s="506"/>
      <c r="I27" s="507"/>
      <c r="J27" s="507"/>
      <c r="K27" s="507"/>
      <c r="L27" s="506"/>
      <c r="M27" s="506"/>
      <c r="N27" s="330"/>
    </row>
    <row r="28" spans="2:14" x14ac:dyDescent="0.15">
      <c r="B28" s="12"/>
      <c r="C28" s="25" t="s">
        <v>302</v>
      </c>
      <c r="D28" s="439">
        <f>IF(((2*D21*D6/24)&gt;C94),24,IF(((2*D21*D6/12)&gt;C94),12,IF(((2*D21*D6/6)&gt;C94),6,IF(((2*D21*D6/3)&gt;C94),3,"Too Low"))))</f>
        <v>24</v>
      </c>
      <c r="E28" s="114" t="s">
        <v>27</v>
      </c>
      <c r="F28" s="105" t="str">
        <f>IF(AND(D28&gt;=C88,D28&lt;=C91),"In Range", "error")</f>
        <v>In Range</v>
      </c>
      <c r="G28" s="485"/>
      <c r="H28" s="506"/>
      <c r="I28" s="507"/>
      <c r="J28" s="507"/>
      <c r="K28" s="507"/>
      <c r="L28" s="506"/>
      <c r="M28" s="506"/>
      <c r="N28" s="330"/>
    </row>
    <row r="29" spans="2:14" x14ac:dyDescent="0.15">
      <c r="B29" s="12"/>
      <c r="C29" s="25" t="s">
        <v>304</v>
      </c>
      <c r="D29" s="440">
        <f>2*D21*D6/(D28)</f>
        <v>55</v>
      </c>
      <c r="E29" s="116" t="s">
        <v>243</v>
      </c>
      <c r="F29" s="105" t="str">
        <f>IF(D29&lt;C94,"too small",IF(D29&gt;C95,"too large","In Range"))</f>
        <v>In Range</v>
      </c>
      <c r="G29" s="485"/>
      <c r="H29" s="506"/>
      <c r="I29" s="507"/>
      <c r="J29" s="507"/>
      <c r="K29" s="507"/>
      <c r="L29" s="506"/>
      <c r="M29" s="506"/>
      <c r="N29" s="330"/>
    </row>
    <row r="30" spans="2:14" hidden="1" x14ac:dyDescent="0.15">
      <c r="B30" s="12"/>
      <c r="C30" s="58" t="s">
        <v>352</v>
      </c>
      <c r="D30" s="442" t="str">
        <f>"0x"&amp;DEC2HEX(TEXT((((LOG(D28/3,2))*64)+FLOOR(-(D29-835)/12.77,1)),"0"),2)</f>
        <v>0xFD</v>
      </c>
      <c r="E30" s="116"/>
      <c r="F30" s="124" t="s">
        <v>351</v>
      </c>
      <c r="G30" s="485"/>
      <c r="H30" s="506"/>
      <c r="I30" s="507"/>
      <c r="J30" s="507"/>
      <c r="K30" s="507"/>
      <c r="L30" s="506"/>
      <c r="M30" s="506"/>
      <c r="N30" s="330"/>
    </row>
    <row r="31" spans="2:14" hidden="1" x14ac:dyDescent="0.15">
      <c r="B31" s="12"/>
      <c r="C31" s="12"/>
      <c r="D31" s="102"/>
      <c r="E31" s="102"/>
      <c r="F31" s="102"/>
      <c r="G31" s="485"/>
      <c r="H31" s="506"/>
      <c r="I31" s="507"/>
      <c r="J31" s="507"/>
      <c r="K31" s="507"/>
      <c r="L31" s="506"/>
      <c r="M31" s="506"/>
      <c r="N31" s="330"/>
    </row>
    <row r="32" spans="2:14" hidden="1" x14ac:dyDescent="0.15">
      <c r="B32" s="12"/>
      <c r="C32" s="443" t="s">
        <v>331</v>
      </c>
      <c r="D32" s="444"/>
      <c r="E32" s="444"/>
      <c r="F32" s="444"/>
      <c r="G32" s="485"/>
      <c r="H32" s="506"/>
      <c r="I32" s="507"/>
      <c r="J32" s="507"/>
      <c r="K32" s="507"/>
      <c r="L32" s="506"/>
      <c r="M32" s="506"/>
      <c r="N32" s="330"/>
    </row>
    <row r="33" spans="2:14" ht="14.25" hidden="1" x14ac:dyDescent="0.2">
      <c r="B33" s="12"/>
      <c r="C33" s="445" t="s">
        <v>355</v>
      </c>
      <c r="D33" s="446">
        <v>0.94216</v>
      </c>
      <c r="E33" s="447"/>
      <c r="F33" s="448" t="s">
        <v>356</v>
      </c>
      <c r="G33" s="485"/>
      <c r="H33" s="506"/>
      <c r="I33" s="507"/>
      <c r="J33" s="507"/>
      <c r="K33" s="507"/>
      <c r="L33" s="506"/>
      <c r="M33" s="506"/>
      <c r="N33" s="330"/>
    </row>
    <row r="34" spans="2:14" ht="14.25" hidden="1" x14ac:dyDescent="0.2">
      <c r="B34" s="12"/>
      <c r="C34" s="445" t="s">
        <v>295</v>
      </c>
      <c r="D34" s="107">
        <f>D7*D33</f>
        <v>5.7189112</v>
      </c>
      <c r="E34" s="449" t="s">
        <v>70</v>
      </c>
      <c r="F34" s="105" t="str">
        <f>IF(D34&lt;C55,"too small",IF(D34&gt;D55,"too large","In Range"))</f>
        <v>In Range</v>
      </c>
      <c r="G34" s="485"/>
      <c r="H34" s="506"/>
      <c r="I34" s="507"/>
      <c r="J34" s="507"/>
      <c r="K34" s="507"/>
      <c r="L34" s="506"/>
      <c r="M34" s="506"/>
      <c r="N34" s="330"/>
    </row>
    <row r="35" spans="2:14" hidden="1" x14ac:dyDescent="0.15">
      <c r="B35" s="12"/>
      <c r="C35" s="445" t="s">
        <v>296</v>
      </c>
      <c r="D35" s="109">
        <f>0.001/(2*PI()*SQRT(pico*D6*D34))</f>
        <v>4.48695913973103</v>
      </c>
      <c r="E35" s="449" t="s">
        <v>0</v>
      </c>
      <c r="F35" s="105" t="str">
        <f>IF(D35&lt;C56,"too low",IF(D35&gt;D56,"too high","In Range"))</f>
        <v>In Range</v>
      </c>
      <c r="G35" s="485"/>
      <c r="H35" s="506"/>
      <c r="I35" s="507"/>
      <c r="J35" s="507"/>
      <c r="K35" s="507"/>
      <c r="L35" s="506"/>
      <c r="M35" s="506"/>
      <c r="N35" s="330"/>
    </row>
    <row r="36" spans="2:14" ht="16.5" hidden="1" x14ac:dyDescent="0.25">
      <c r="B36" s="12"/>
      <c r="C36" s="445" t="s">
        <v>461</v>
      </c>
      <c r="D36" s="450">
        <v>0.99399999999999999</v>
      </c>
      <c r="E36" s="448"/>
      <c r="F36" s="448" t="s">
        <v>362</v>
      </c>
      <c r="G36" s="485"/>
      <c r="H36" s="506"/>
      <c r="I36" s="507"/>
      <c r="J36" s="507"/>
      <c r="K36" s="507"/>
      <c r="L36" s="506"/>
      <c r="M36" s="506"/>
      <c r="N36" s="330"/>
    </row>
    <row r="37" spans="2:14" ht="16.5" hidden="1" x14ac:dyDescent="0.25">
      <c r="B37" s="12"/>
      <c r="C37" s="445" t="s">
        <v>462</v>
      </c>
      <c r="D37" s="107">
        <f>D59</f>
        <v>6.5250203544536278</v>
      </c>
      <c r="E37" s="448" t="s">
        <v>325</v>
      </c>
      <c r="F37" s="447"/>
      <c r="G37" s="485"/>
      <c r="H37" s="506"/>
      <c r="I37" s="507"/>
      <c r="J37" s="507"/>
      <c r="K37" s="507"/>
      <c r="L37" s="506"/>
      <c r="M37" s="506"/>
      <c r="N37" s="330"/>
    </row>
    <row r="38" spans="2:14" hidden="1" x14ac:dyDescent="0.15">
      <c r="B38" s="12"/>
      <c r="C38" s="445"/>
      <c r="D38" s="444"/>
      <c r="E38" s="448"/>
      <c r="F38" s="447"/>
      <c r="G38" s="485"/>
      <c r="H38" s="506"/>
      <c r="I38" s="507"/>
      <c r="J38" s="507"/>
      <c r="K38" s="507"/>
      <c r="L38" s="506"/>
      <c r="M38" s="506"/>
      <c r="N38" s="330"/>
    </row>
    <row r="39" spans="2:14" hidden="1" x14ac:dyDescent="0.15">
      <c r="B39" s="12"/>
      <c r="C39" s="445" t="s">
        <v>326</v>
      </c>
      <c r="D39" s="105">
        <f>D21</f>
        <v>3</v>
      </c>
      <c r="E39" s="448" t="s">
        <v>243</v>
      </c>
      <c r="F39" s="105" t="str">
        <f>IF(D65&lt;C63,"too large",IF(D65&gt;D63,"too small","In Range"))</f>
        <v>In Range</v>
      </c>
      <c r="G39" s="485"/>
      <c r="H39" s="506"/>
      <c r="I39" s="507"/>
      <c r="J39" s="507"/>
      <c r="K39" s="507"/>
      <c r="L39" s="506"/>
      <c r="M39" s="506"/>
      <c r="N39" s="330"/>
    </row>
    <row r="40" spans="2:14" hidden="1" x14ac:dyDescent="0.15">
      <c r="B40" s="12"/>
      <c r="C40" s="445" t="s">
        <v>327</v>
      </c>
      <c r="D40" s="111">
        <f>D22</f>
        <v>6</v>
      </c>
      <c r="E40" s="448" t="s">
        <v>243</v>
      </c>
      <c r="F40" s="105" t="str">
        <f>IF(D22&gt;2.05*D37/D33,"too large",IF(D22&lt;D37,"too small","In Range"))</f>
        <v>too small</v>
      </c>
      <c r="G40" s="485"/>
      <c r="H40" s="506"/>
      <c r="I40" s="507"/>
      <c r="J40" s="507"/>
      <c r="K40" s="507"/>
      <c r="L40" s="506"/>
      <c r="M40" s="506"/>
      <c r="N40" s="330"/>
    </row>
    <row r="41" spans="2:14" ht="16.5" hidden="1" x14ac:dyDescent="0.25">
      <c r="B41" s="12"/>
      <c r="C41" s="445" t="s">
        <v>463</v>
      </c>
      <c r="D41" s="111">
        <f>1000*D21*SQRT(pico*D6/(micro*D34))</f>
        <v>18.606981188844291</v>
      </c>
      <c r="E41" s="449"/>
      <c r="F41" s="105" t="str">
        <f>IF(D41&lt;E57,"too small",IF(D41&gt;D57,"too large","In Range"))</f>
        <v>In Range</v>
      </c>
      <c r="G41" s="485"/>
      <c r="H41" s="506"/>
      <c r="I41" s="507"/>
      <c r="J41" s="507"/>
      <c r="K41" s="507"/>
      <c r="L41" s="506"/>
      <c r="M41" s="506"/>
      <c r="N41" s="330"/>
    </row>
    <row r="42" spans="2:14" hidden="1" x14ac:dyDescent="0.15">
      <c r="B42" s="12"/>
      <c r="C42" s="445" t="s">
        <v>299</v>
      </c>
      <c r="D42" s="111">
        <f>D25</f>
        <v>6</v>
      </c>
      <c r="E42" s="451" t="s">
        <v>27</v>
      </c>
      <c r="F42" s="105" t="str">
        <f>IF(AND(D42&gt;=C78,D42&lt;=C81),"In Range", "error")</f>
        <v>In Range</v>
      </c>
      <c r="G42" s="485"/>
      <c r="H42" s="506"/>
      <c r="I42" s="507"/>
      <c r="J42" s="507"/>
      <c r="K42" s="507"/>
      <c r="L42" s="506"/>
      <c r="M42" s="506"/>
      <c r="N42" s="330"/>
    </row>
    <row r="43" spans="2:14" hidden="1" x14ac:dyDescent="0.15">
      <c r="B43" s="12"/>
      <c r="C43" s="445" t="s">
        <v>301</v>
      </c>
      <c r="D43" s="107">
        <f>D26</f>
        <v>28.710990711821864</v>
      </c>
      <c r="E43" s="448" t="s">
        <v>243</v>
      </c>
      <c r="F43" s="105" t="str">
        <f>IF(D43&lt;C84,"too small",IF(D43&gt;C85,"too large","In Range"))</f>
        <v>In Range</v>
      </c>
      <c r="G43" s="485"/>
      <c r="H43" s="506"/>
      <c r="I43" s="507"/>
      <c r="J43" s="507"/>
      <c r="K43" s="507"/>
      <c r="L43" s="506"/>
      <c r="M43" s="506"/>
      <c r="N43" s="330"/>
    </row>
    <row r="44" spans="2:14" hidden="1" x14ac:dyDescent="0.15">
      <c r="B44" s="12"/>
      <c r="C44" s="445" t="s">
        <v>303</v>
      </c>
      <c r="D44" s="107">
        <f>D28</f>
        <v>24</v>
      </c>
      <c r="E44" s="451" t="s">
        <v>27</v>
      </c>
      <c r="F44" s="105" t="str">
        <f>IF(AND(D44&gt;=C88,D44&lt;=C91),"In Range", "error")</f>
        <v>In Range</v>
      </c>
      <c r="G44" s="485"/>
      <c r="H44" s="506"/>
      <c r="I44" s="507"/>
      <c r="J44" s="507"/>
      <c r="K44" s="507"/>
      <c r="L44" s="506"/>
      <c r="M44" s="506"/>
      <c r="N44" s="330"/>
    </row>
    <row r="45" spans="2:14" hidden="1" x14ac:dyDescent="0.15">
      <c r="B45" s="12"/>
      <c r="C45" s="445" t="s">
        <v>305</v>
      </c>
      <c r="D45" s="107">
        <f>0.001*1.4142/(Mega*D35*PI()*pico*D28*0.6)</f>
        <v>6.9670087094902824</v>
      </c>
      <c r="E45" s="448" t="s">
        <v>243</v>
      </c>
      <c r="F45" s="105" t="str">
        <f>IF(D45&lt;C94,"too small",IF(D45&gt;C95,"too large","In Range"))</f>
        <v>too small</v>
      </c>
      <c r="G45" s="485"/>
      <c r="H45" s="506"/>
      <c r="I45" s="507"/>
      <c r="J45" s="507"/>
      <c r="K45" s="507"/>
      <c r="L45" s="506"/>
      <c r="M45" s="506"/>
      <c r="N45" s="330"/>
    </row>
    <row r="46" spans="2:14" hidden="1" x14ac:dyDescent="0.15">
      <c r="B46" s="12"/>
      <c r="C46" s="12"/>
      <c r="D46" s="102"/>
      <c r="E46" s="102"/>
      <c r="F46" s="102"/>
      <c r="G46" s="485"/>
      <c r="H46" s="506"/>
      <c r="I46" s="507"/>
      <c r="J46" s="507"/>
      <c r="K46" s="507"/>
      <c r="L46" s="506"/>
      <c r="M46" s="506"/>
      <c r="N46" s="330"/>
    </row>
    <row r="47" spans="2:14" ht="14.25" hidden="1" x14ac:dyDescent="0.15">
      <c r="C47" s="452" t="s">
        <v>787</v>
      </c>
      <c r="G47" s="330"/>
      <c r="H47" s="506"/>
      <c r="I47" s="507"/>
      <c r="J47" s="507"/>
      <c r="K47" s="507"/>
      <c r="L47" s="506"/>
      <c r="M47" s="506"/>
      <c r="N47" s="330"/>
    </row>
    <row r="48" spans="2:14" hidden="1" x14ac:dyDescent="0.15">
      <c r="C48" s="125" t="s">
        <v>306</v>
      </c>
      <c r="D48" s="126"/>
      <c r="E48" s="126"/>
      <c r="G48" s="330"/>
      <c r="H48" s="506"/>
      <c r="I48" s="507"/>
      <c r="J48" s="507"/>
      <c r="K48" s="507"/>
      <c r="L48" s="506"/>
      <c r="M48" s="506"/>
      <c r="N48" s="330"/>
    </row>
    <row r="49" spans="2:14" hidden="1" x14ac:dyDescent="0.15">
      <c r="C49" s="127">
        <v>9.9999999999999998E-13</v>
      </c>
      <c r="D49" s="8" t="s">
        <v>307</v>
      </c>
      <c r="E49" s="126"/>
      <c r="G49" s="330"/>
      <c r="H49" s="506"/>
      <c r="I49" s="507"/>
      <c r="J49" s="507"/>
      <c r="K49" s="507"/>
      <c r="L49" s="506"/>
      <c r="M49" s="506"/>
      <c r="N49" s="330"/>
    </row>
    <row r="50" spans="2:14" hidden="1" x14ac:dyDescent="0.15">
      <c r="C50" s="127">
        <v>9.9999999999999995E-7</v>
      </c>
      <c r="D50" s="8" t="s">
        <v>308</v>
      </c>
      <c r="E50" s="126"/>
      <c r="G50" s="330"/>
      <c r="H50" s="506"/>
      <c r="I50" s="507"/>
      <c r="J50" s="507"/>
      <c r="K50" s="507"/>
      <c r="L50" s="506"/>
      <c r="M50" s="506"/>
      <c r="N50" s="330"/>
    </row>
    <row r="51" spans="2:14" hidden="1" x14ac:dyDescent="0.15">
      <c r="C51" s="127">
        <v>1000000</v>
      </c>
      <c r="D51" s="8" t="s">
        <v>309</v>
      </c>
      <c r="E51" s="126"/>
      <c r="G51" s="330"/>
      <c r="H51" s="506"/>
      <c r="I51" s="507"/>
      <c r="J51" s="507"/>
      <c r="K51" s="507"/>
      <c r="L51" s="506"/>
      <c r="M51" s="506"/>
      <c r="N51" s="330"/>
    </row>
    <row r="52" spans="2:14" hidden="1" x14ac:dyDescent="0.15">
      <c r="C52" s="128"/>
      <c r="D52" s="126"/>
      <c r="E52" s="126"/>
      <c r="G52" s="330"/>
      <c r="H52" s="506"/>
      <c r="I52" s="507"/>
      <c r="J52" s="507"/>
      <c r="K52" s="507"/>
      <c r="L52" s="506"/>
      <c r="M52" s="506"/>
      <c r="N52" s="330"/>
    </row>
    <row r="53" spans="2:14" hidden="1" x14ac:dyDescent="0.15">
      <c r="B53" s="9" t="s">
        <v>310</v>
      </c>
      <c r="C53" s="129" t="s">
        <v>311</v>
      </c>
      <c r="D53" s="130" t="s">
        <v>312</v>
      </c>
      <c r="E53" s="8"/>
      <c r="G53" s="330"/>
      <c r="H53" s="506"/>
      <c r="I53" s="507"/>
      <c r="J53" s="507"/>
      <c r="K53" s="507"/>
      <c r="L53" s="506"/>
      <c r="M53" s="506"/>
      <c r="N53" s="330"/>
    </row>
    <row r="54" spans="2:14" hidden="1" x14ac:dyDescent="0.15">
      <c r="B54" s="8" t="s">
        <v>159</v>
      </c>
      <c r="C54" s="131">
        <v>100</v>
      </c>
      <c r="D54" s="131">
        <v>56000</v>
      </c>
      <c r="E54" s="8" t="s">
        <v>27</v>
      </c>
      <c r="G54" s="330"/>
      <c r="H54" s="506"/>
      <c r="I54" s="507"/>
      <c r="J54" s="507"/>
      <c r="K54" s="507"/>
      <c r="L54" s="506"/>
      <c r="M54" s="506"/>
      <c r="N54" s="330"/>
    </row>
    <row r="55" spans="2:14" ht="14.25" hidden="1" x14ac:dyDescent="0.2">
      <c r="B55" s="8" t="s">
        <v>313</v>
      </c>
      <c r="C55" s="131">
        <v>1</v>
      </c>
      <c r="D55" s="131">
        <v>500</v>
      </c>
      <c r="E55" s="23" t="s">
        <v>96</v>
      </c>
      <c r="G55" s="330"/>
      <c r="H55" s="506"/>
      <c r="I55" s="507"/>
      <c r="J55" s="507"/>
      <c r="K55" s="507"/>
      <c r="L55" s="506"/>
      <c r="M55" s="506"/>
      <c r="N55" s="330"/>
    </row>
    <row r="56" spans="2:14" hidden="1" x14ac:dyDescent="0.15">
      <c r="B56" s="8" t="s">
        <v>314</v>
      </c>
      <c r="C56" s="132">
        <v>0.5</v>
      </c>
      <c r="D56" s="132">
        <v>10</v>
      </c>
      <c r="E56" s="8"/>
      <c r="G56" s="330"/>
      <c r="H56" s="506"/>
      <c r="I56" s="507"/>
      <c r="J56" s="507"/>
      <c r="K56" s="507"/>
      <c r="L56" s="506"/>
      <c r="M56" s="506"/>
      <c r="N56" s="330"/>
    </row>
    <row r="57" spans="2:14" hidden="1" x14ac:dyDescent="0.15">
      <c r="B57" s="8" t="s">
        <v>315</v>
      </c>
      <c r="C57" s="131">
        <f>1/D63</f>
        <v>9.9906656960671203</v>
      </c>
      <c r="D57" s="131">
        <f>1/C63</f>
        <v>399.6266278426848</v>
      </c>
      <c r="E57" s="8"/>
      <c r="G57" s="330"/>
      <c r="H57" s="506"/>
      <c r="I57" s="507"/>
      <c r="J57" s="507"/>
      <c r="K57" s="507"/>
      <c r="L57" s="506"/>
      <c r="M57" s="506"/>
      <c r="N57" s="330"/>
    </row>
    <row r="58" spans="2:14" hidden="1" x14ac:dyDescent="0.15">
      <c r="B58" s="8"/>
      <c r="C58" s="131"/>
      <c r="D58" s="131"/>
      <c r="E58" s="8"/>
      <c r="F58" s="503"/>
      <c r="G58" s="330"/>
      <c r="H58" s="506"/>
      <c r="I58" s="507"/>
      <c r="J58" s="507"/>
      <c r="K58" s="507"/>
      <c r="L58" s="506"/>
      <c r="M58" s="506"/>
      <c r="N58" s="330"/>
    </row>
    <row r="59" spans="2:14" ht="14.25" hidden="1" x14ac:dyDescent="0.2">
      <c r="B59" s="8" t="s">
        <v>316</v>
      </c>
      <c r="C59" s="528">
        <f>0.001*micro*D7/(pico*D6*D10)</f>
        <v>3.9600000000000009</v>
      </c>
      <c r="D59" s="133">
        <f>0.001*D34*micro/(D6*pico*D9)*D36</f>
        <v>6.5250203544536278</v>
      </c>
      <c r="E59" s="525" t="s">
        <v>854</v>
      </c>
      <c r="G59" s="330"/>
      <c r="H59" s="506"/>
      <c r="I59" s="507"/>
      <c r="J59" s="507"/>
      <c r="K59" s="507"/>
      <c r="L59" s="506"/>
      <c r="M59" s="506"/>
      <c r="N59" s="330"/>
    </row>
    <row r="60" spans="2:14" hidden="1" x14ac:dyDescent="0.15">
      <c r="B60" s="8"/>
      <c r="C60" s="134"/>
      <c r="D60" s="135"/>
      <c r="E60" s="8"/>
      <c r="G60" s="330"/>
      <c r="H60" s="506"/>
      <c r="I60" s="507"/>
      <c r="J60" s="507"/>
      <c r="K60" s="507"/>
      <c r="L60" s="506"/>
      <c r="M60" s="506"/>
      <c r="N60" s="330"/>
    </row>
    <row r="61" spans="2:14" hidden="1" x14ac:dyDescent="0.15">
      <c r="B61" s="8" t="s">
        <v>317</v>
      </c>
      <c r="C61" s="133">
        <v>1.131</v>
      </c>
      <c r="D61" s="135"/>
      <c r="E61" s="8"/>
      <c r="G61" s="330"/>
      <c r="H61" s="506"/>
      <c r="I61" s="507"/>
      <c r="J61" s="507"/>
      <c r="K61" s="507"/>
      <c r="L61" s="506"/>
      <c r="M61" s="506"/>
      <c r="N61" s="330"/>
    </row>
    <row r="62" spans="2:14" hidden="1" x14ac:dyDescent="0.15">
      <c r="B62" s="8" t="s">
        <v>318</v>
      </c>
      <c r="C62" s="136">
        <v>0.28299999999999997</v>
      </c>
      <c r="D62" s="135"/>
      <c r="E62" s="8"/>
      <c r="G62" s="330"/>
      <c r="H62" s="506"/>
      <c r="I62" s="507"/>
      <c r="J62" s="507"/>
      <c r="K62" s="507"/>
      <c r="L62" s="506"/>
      <c r="M62" s="506"/>
      <c r="N62" s="330"/>
    </row>
    <row r="63" spans="2:14" hidden="1" x14ac:dyDescent="0.15">
      <c r="B63" s="8" t="s">
        <v>319</v>
      </c>
      <c r="C63" s="136">
        <f>D63/40</f>
        <v>2.5023357562490942E-3</v>
      </c>
      <c r="D63" s="136">
        <f>1.2567*C62/(PI()*C61)</f>
        <v>0.10009343024996377</v>
      </c>
      <c r="E63" s="8"/>
      <c r="G63" s="330"/>
      <c r="H63" s="506"/>
      <c r="I63" s="507"/>
      <c r="J63" s="507"/>
      <c r="K63" s="507"/>
      <c r="L63" s="506"/>
      <c r="M63" s="506"/>
      <c r="N63" s="330"/>
    </row>
    <row r="64" spans="2:14" hidden="1" x14ac:dyDescent="0.15">
      <c r="B64" s="8" t="s">
        <v>320</v>
      </c>
      <c r="C64" s="136">
        <f>1/(2*PI()*D6*pico*D21*1000)</f>
        <v>241143.85316953837</v>
      </c>
      <c r="D64" s="135"/>
      <c r="E64" s="8"/>
      <c r="G64" s="330"/>
      <c r="H64" s="506"/>
      <c r="I64" s="507"/>
      <c r="J64" s="507"/>
      <c r="K64" s="507"/>
      <c r="L64" s="506"/>
      <c r="M64" s="506"/>
      <c r="N64" s="330"/>
    </row>
    <row r="65" spans="2:14" hidden="1" x14ac:dyDescent="0.15">
      <c r="B65" s="8" t="s">
        <v>321</v>
      </c>
      <c r="C65" s="136">
        <f>C64/(Mega*D8)</f>
        <v>5.5368371527945139E-2</v>
      </c>
      <c r="D65" s="136">
        <f>C64/(Mega*D35)</f>
        <v>5.3743269252056018E-2</v>
      </c>
      <c r="E65" s="8"/>
      <c r="F65"/>
      <c r="G65" s="487"/>
      <c r="H65" s="506"/>
      <c r="I65" s="507"/>
      <c r="J65" s="507"/>
      <c r="K65" s="507"/>
      <c r="L65" s="506"/>
      <c r="M65" s="506"/>
      <c r="N65" s="330"/>
    </row>
    <row r="66" spans="2:14" hidden="1" x14ac:dyDescent="0.15">
      <c r="C66" s="137"/>
      <c r="D66" s="126"/>
      <c r="E66" s="126"/>
      <c r="G66" s="330"/>
      <c r="H66" s="506"/>
      <c r="I66" s="507"/>
      <c r="J66" s="507"/>
      <c r="K66" s="507"/>
      <c r="L66" s="506"/>
      <c r="M66" s="506"/>
      <c r="N66" s="330"/>
    </row>
    <row r="67" spans="2:14" hidden="1" x14ac:dyDescent="0.15">
      <c r="C67" s="129" t="s">
        <v>322</v>
      </c>
      <c r="D67" s="126"/>
      <c r="E67" s="126"/>
      <c r="G67" s="330"/>
      <c r="H67" s="506"/>
      <c r="I67" s="507"/>
      <c r="J67" s="507"/>
      <c r="K67" s="507"/>
      <c r="L67" s="506"/>
      <c r="M67" s="506"/>
      <c r="N67" s="330"/>
    </row>
    <row r="68" spans="2:14" ht="14.25" hidden="1" x14ac:dyDescent="0.2">
      <c r="B68">
        <v>0</v>
      </c>
      <c r="C68" s="133">
        <v>0.75</v>
      </c>
      <c r="D68" s="8" t="s">
        <v>357</v>
      </c>
      <c r="E68" s="126"/>
      <c r="G68" s="330"/>
      <c r="H68" s="506"/>
      <c r="I68" s="507"/>
      <c r="J68" s="507"/>
      <c r="K68" s="507"/>
      <c r="L68" s="506"/>
      <c r="M68" s="506"/>
      <c r="N68" s="330"/>
    </row>
    <row r="69" spans="2:14" ht="14.25" hidden="1" x14ac:dyDescent="0.2">
      <c r="B69">
        <v>1</v>
      </c>
      <c r="C69" s="133">
        <v>1.5</v>
      </c>
      <c r="D69" s="8" t="s">
        <v>357</v>
      </c>
      <c r="E69" s="126"/>
      <c r="G69" s="330"/>
      <c r="H69" s="506"/>
      <c r="I69" s="507"/>
      <c r="J69" s="507"/>
      <c r="K69" s="507"/>
      <c r="L69" s="506"/>
      <c r="M69" s="506"/>
      <c r="N69" s="330"/>
    </row>
    <row r="70" spans="2:14" ht="14.25" hidden="1" x14ac:dyDescent="0.2">
      <c r="B70">
        <v>2</v>
      </c>
      <c r="C70" s="133">
        <v>3</v>
      </c>
      <c r="D70" s="8" t="s">
        <v>357</v>
      </c>
      <c r="E70" s="126"/>
      <c r="G70" s="330"/>
      <c r="H70" s="506"/>
      <c r="I70" s="507"/>
      <c r="J70" s="507"/>
      <c r="K70" s="507"/>
      <c r="L70" s="506"/>
      <c r="M70" s="506"/>
      <c r="N70" s="330"/>
    </row>
    <row r="71" spans="2:14" ht="14.25" hidden="1" x14ac:dyDescent="0.2">
      <c r="B71">
        <v>3</v>
      </c>
      <c r="C71" s="133">
        <v>6</v>
      </c>
      <c r="D71" s="8" t="s">
        <v>357</v>
      </c>
      <c r="E71" s="126"/>
      <c r="G71" s="330"/>
      <c r="H71" s="506"/>
      <c r="I71" s="507"/>
      <c r="J71" s="507"/>
      <c r="K71" s="507"/>
      <c r="L71" s="506"/>
      <c r="M71" s="506"/>
      <c r="N71" s="330"/>
    </row>
    <row r="72" spans="2:14" ht="14.25" hidden="1" x14ac:dyDescent="0.2">
      <c r="B72">
        <v>4</v>
      </c>
      <c r="C72" s="133">
        <v>12</v>
      </c>
      <c r="D72" s="8" t="s">
        <v>357</v>
      </c>
      <c r="E72" s="126"/>
      <c r="G72" s="330"/>
      <c r="H72" s="506"/>
      <c r="I72" s="507"/>
      <c r="J72" s="507"/>
      <c r="K72" s="507"/>
      <c r="L72" s="506"/>
      <c r="M72" s="506"/>
      <c r="N72" s="330"/>
    </row>
    <row r="73" spans="2:14" ht="14.25" hidden="1" x14ac:dyDescent="0.2">
      <c r="B73">
        <v>5</v>
      </c>
      <c r="C73" s="133">
        <v>24</v>
      </c>
      <c r="D73" s="8" t="s">
        <v>357</v>
      </c>
      <c r="E73" s="126"/>
      <c r="G73" s="330"/>
      <c r="H73" s="506"/>
      <c r="I73" s="507"/>
      <c r="J73" s="507"/>
      <c r="K73" s="507"/>
      <c r="L73" s="506"/>
      <c r="M73" s="506"/>
      <c r="N73" s="330"/>
    </row>
    <row r="74" spans="2:14" ht="14.25" hidden="1" x14ac:dyDescent="0.2">
      <c r="B74">
        <v>6</v>
      </c>
      <c r="C74" s="133">
        <v>48</v>
      </c>
      <c r="D74" s="8" t="s">
        <v>357</v>
      </c>
      <c r="E74" s="126"/>
      <c r="G74" s="330"/>
      <c r="H74" s="506"/>
      <c r="I74" s="507"/>
      <c r="J74" s="507"/>
      <c r="K74" s="507"/>
      <c r="L74" s="506"/>
      <c r="M74" s="506"/>
      <c r="N74" s="330"/>
    </row>
    <row r="75" spans="2:14" ht="14.25" hidden="1" x14ac:dyDescent="0.2">
      <c r="B75">
        <v>7</v>
      </c>
      <c r="C75" s="133">
        <v>96</v>
      </c>
      <c r="D75" s="8" t="s">
        <v>357</v>
      </c>
      <c r="E75" s="126"/>
      <c r="G75" s="330"/>
      <c r="H75" s="506"/>
      <c r="I75" s="507"/>
      <c r="J75" s="507"/>
      <c r="K75" s="507"/>
      <c r="L75" s="506"/>
      <c r="M75" s="506"/>
      <c r="N75" s="330"/>
    </row>
    <row r="76" spans="2:14" hidden="1" x14ac:dyDescent="0.15">
      <c r="C76" s="137"/>
      <c r="D76" s="126"/>
      <c r="E76" s="126"/>
      <c r="G76" s="330"/>
      <c r="H76" s="506"/>
      <c r="I76" s="507"/>
      <c r="J76" s="507"/>
      <c r="K76" s="507"/>
      <c r="L76" s="506"/>
      <c r="M76" s="506"/>
      <c r="N76" s="330"/>
    </row>
    <row r="77" spans="2:14" hidden="1" x14ac:dyDescent="0.15">
      <c r="C77" s="129" t="s">
        <v>323</v>
      </c>
      <c r="D77" s="126"/>
      <c r="E77" s="126"/>
      <c r="G77" s="330"/>
      <c r="H77" s="506"/>
      <c r="I77" s="507"/>
      <c r="J77" s="507"/>
      <c r="K77" s="507"/>
      <c r="L77" s="506"/>
      <c r="M77" s="506"/>
      <c r="N77" s="330"/>
    </row>
    <row r="78" spans="2:14" hidden="1" x14ac:dyDescent="0.15">
      <c r="B78">
        <v>0</v>
      </c>
      <c r="C78" s="133">
        <v>0.75</v>
      </c>
      <c r="D78" s="138" t="s">
        <v>27</v>
      </c>
      <c r="E78" s="126"/>
      <c r="G78" s="330"/>
      <c r="H78" s="506"/>
      <c r="I78" s="507"/>
      <c r="J78" s="507"/>
      <c r="K78" s="507"/>
      <c r="L78" s="506"/>
      <c r="M78" s="506"/>
      <c r="N78" s="330"/>
    </row>
    <row r="79" spans="2:14" hidden="1" x14ac:dyDescent="0.15">
      <c r="B79">
        <v>1</v>
      </c>
      <c r="C79" s="133">
        <v>1.5</v>
      </c>
      <c r="D79" s="138" t="s">
        <v>27</v>
      </c>
      <c r="E79" s="126"/>
      <c r="G79" s="330"/>
      <c r="H79" s="506"/>
      <c r="I79" s="507"/>
      <c r="J79" s="507"/>
      <c r="K79" s="507"/>
      <c r="L79" s="506"/>
      <c r="M79" s="506"/>
      <c r="N79" s="330"/>
    </row>
    <row r="80" spans="2:14" hidden="1" x14ac:dyDescent="0.15">
      <c r="B80">
        <v>2</v>
      </c>
      <c r="C80" s="133">
        <v>3</v>
      </c>
      <c r="D80" s="138" t="s">
        <v>27</v>
      </c>
      <c r="E80" s="126"/>
      <c r="G80" s="330"/>
      <c r="H80" s="506"/>
      <c r="I80" s="507"/>
      <c r="J80" s="507"/>
      <c r="K80" s="507"/>
      <c r="L80" s="506"/>
      <c r="M80" s="506"/>
      <c r="N80" s="330"/>
    </row>
    <row r="81" spans="2:14" hidden="1" x14ac:dyDescent="0.15">
      <c r="B81">
        <v>3</v>
      </c>
      <c r="C81" s="133">
        <v>6</v>
      </c>
      <c r="D81" s="138" t="s">
        <v>27</v>
      </c>
      <c r="E81" s="126"/>
      <c r="G81" s="330"/>
      <c r="H81" s="506"/>
      <c r="I81" s="507"/>
      <c r="J81" s="507"/>
      <c r="K81" s="507"/>
      <c r="L81" s="506"/>
      <c r="M81" s="506"/>
      <c r="N81" s="330"/>
    </row>
    <row r="82" spans="2:14" hidden="1" x14ac:dyDescent="0.15">
      <c r="C82" s="137"/>
      <c r="D82" s="126"/>
      <c r="E82" s="126"/>
      <c r="G82" s="330"/>
      <c r="H82" s="506"/>
      <c r="I82" s="507"/>
      <c r="J82" s="507"/>
      <c r="K82" s="507"/>
      <c r="L82" s="506"/>
      <c r="M82" s="506"/>
      <c r="N82" s="330"/>
    </row>
    <row r="83" spans="2:14" hidden="1" x14ac:dyDescent="0.15">
      <c r="C83" s="129" t="s">
        <v>358</v>
      </c>
      <c r="D83" s="126"/>
      <c r="E83" s="126"/>
      <c r="F83" s="106"/>
      <c r="G83" s="330"/>
      <c r="H83" s="506"/>
      <c r="I83" s="507"/>
      <c r="J83" s="507"/>
      <c r="K83" s="507"/>
      <c r="L83" s="506"/>
      <c r="M83" s="506"/>
      <c r="N83" s="330"/>
    </row>
    <row r="84" spans="2:14" ht="14.25" hidden="1" x14ac:dyDescent="0.2">
      <c r="B84">
        <v>0</v>
      </c>
      <c r="C84" s="133">
        <v>20.6</v>
      </c>
      <c r="D84" s="8" t="s">
        <v>357</v>
      </c>
      <c r="E84" s="126"/>
      <c r="F84" s="98"/>
      <c r="G84" s="330"/>
      <c r="H84" s="506"/>
      <c r="I84" s="507"/>
      <c r="J84" s="507"/>
      <c r="K84" s="507"/>
      <c r="L84" s="506"/>
      <c r="M84" s="506"/>
      <c r="N84" s="330"/>
    </row>
    <row r="85" spans="2:14" ht="14.25" hidden="1" x14ac:dyDescent="0.2">
      <c r="B85">
        <v>1</v>
      </c>
      <c r="C85" s="133">
        <v>417.4</v>
      </c>
      <c r="D85" s="8" t="s">
        <v>357</v>
      </c>
      <c r="E85" s="126"/>
      <c r="F85" s="98"/>
      <c r="G85" s="330"/>
      <c r="H85" s="506"/>
      <c r="I85" s="507"/>
      <c r="J85" s="507"/>
      <c r="K85" s="507"/>
      <c r="L85" s="506"/>
      <c r="M85" s="506"/>
      <c r="N85" s="330"/>
    </row>
    <row r="86" spans="2:14" hidden="1" x14ac:dyDescent="0.15">
      <c r="C86" s="137"/>
      <c r="D86" s="126"/>
      <c r="E86" s="126"/>
      <c r="F86" s="106"/>
      <c r="G86" s="330"/>
      <c r="H86" s="506"/>
      <c r="I86" s="507"/>
      <c r="J86" s="507"/>
      <c r="K86" s="507"/>
      <c r="L86" s="506"/>
      <c r="M86" s="506"/>
      <c r="N86" s="330"/>
    </row>
    <row r="87" spans="2:14" hidden="1" x14ac:dyDescent="0.15">
      <c r="C87" s="129" t="s">
        <v>324</v>
      </c>
      <c r="D87" s="126"/>
      <c r="E87" s="126"/>
      <c r="G87" s="330"/>
      <c r="H87" s="506"/>
      <c r="I87" s="507"/>
      <c r="J87" s="507"/>
      <c r="K87" s="507"/>
      <c r="L87" s="506"/>
      <c r="M87" s="506"/>
      <c r="N87" s="330"/>
    </row>
    <row r="88" spans="2:14" hidden="1" x14ac:dyDescent="0.15">
      <c r="B88">
        <v>0</v>
      </c>
      <c r="C88" s="133">
        <v>3</v>
      </c>
      <c r="D88" s="138" t="s">
        <v>27</v>
      </c>
      <c r="E88" s="126"/>
      <c r="G88" s="330"/>
      <c r="H88" s="506"/>
      <c r="I88" s="507"/>
      <c r="J88" s="507"/>
      <c r="K88" s="507"/>
      <c r="L88" s="506"/>
      <c r="M88" s="506"/>
      <c r="N88" s="330"/>
    </row>
    <row r="89" spans="2:14" hidden="1" x14ac:dyDescent="0.15">
      <c r="B89">
        <v>1</v>
      </c>
      <c r="C89" s="133">
        <v>6</v>
      </c>
      <c r="D89" s="138" t="s">
        <v>27</v>
      </c>
      <c r="E89" s="126"/>
      <c r="G89" s="330"/>
      <c r="H89" s="506"/>
      <c r="I89" s="507"/>
      <c r="J89" s="507"/>
      <c r="K89" s="507"/>
      <c r="L89" s="506"/>
      <c r="M89" s="506"/>
      <c r="N89" s="330"/>
    </row>
    <row r="90" spans="2:14" hidden="1" x14ac:dyDescent="0.15">
      <c r="B90">
        <v>2</v>
      </c>
      <c r="C90" s="133">
        <v>12</v>
      </c>
      <c r="D90" s="138" t="s">
        <v>27</v>
      </c>
      <c r="E90" s="126"/>
      <c r="G90" s="330"/>
      <c r="H90" s="506"/>
      <c r="I90" s="507"/>
      <c r="J90" s="507"/>
      <c r="K90" s="507"/>
      <c r="L90" s="506"/>
      <c r="M90" s="506"/>
      <c r="N90" s="330"/>
    </row>
    <row r="91" spans="2:14" hidden="1" x14ac:dyDescent="0.15">
      <c r="B91">
        <v>3</v>
      </c>
      <c r="C91" s="133">
        <v>24</v>
      </c>
      <c r="D91" s="138" t="s">
        <v>27</v>
      </c>
      <c r="E91" s="126"/>
      <c r="G91" s="330"/>
      <c r="H91" s="506"/>
      <c r="I91" s="507"/>
      <c r="J91" s="507"/>
      <c r="K91" s="507"/>
      <c r="L91" s="506"/>
      <c r="M91" s="506"/>
      <c r="N91" s="330"/>
    </row>
    <row r="92" spans="2:14" hidden="1" x14ac:dyDescent="0.15">
      <c r="C92" s="137"/>
      <c r="D92" s="126"/>
      <c r="E92" s="126"/>
      <c r="G92" s="330"/>
      <c r="H92" s="506"/>
      <c r="I92" s="507"/>
      <c r="J92" s="507"/>
      <c r="K92" s="507"/>
      <c r="L92" s="506"/>
      <c r="M92" s="506"/>
      <c r="N92" s="330"/>
    </row>
    <row r="93" spans="2:14" hidden="1" x14ac:dyDescent="0.15">
      <c r="C93" s="129" t="s">
        <v>359</v>
      </c>
      <c r="D93" s="126"/>
      <c r="E93" s="126"/>
      <c r="G93" s="330"/>
      <c r="H93" s="506"/>
      <c r="I93" s="507"/>
      <c r="J93" s="507"/>
      <c r="K93" s="507"/>
      <c r="L93" s="506"/>
      <c r="M93" s="506"/>
      <c r="N93" s="330"/>
    </row>
    <row r="94" spans="2:14" ht="14.25" hidden="1" x14ac:dyDescent="0.2">
      <c r="B94">
        <v>0</v>
      </c>
      <c r="C94" s="133">
        <v>24.6</v>
      </c>
      <c r="D94" s="8" t="s">
        <v>357</v>
      </c>
      <c r="E94" s="126"/>
      <c r="G94" s="330"/>
      <c r="H94" s="506"/>
      <c r="I94" s="507"/>
      <c r="J94" s="507"/>
      <c r="K94" s="507"/>
      <c r="L94" s="506"/>
      <c r="M94" s="506"/>
      <c r="N94" s="330"/>
    </row>
    <row r="95" spans="2:14" ht="14.25" hidden="1" x14ac:dyDescent="0.2">
      <c r="B95">
        <v>1</v>
      </c>
      <c r="C95" s="133">
        <v>834.8</v>
      </c>
      <c r="D95" s="8" t="s">
        <v>357</v>
      </c>
      <c r="E95" s="126"/>
      <c r="G95" s="330"/>
      <c r="H95" s="506"/>
      <c r="I95" s="507"/>
      <c r="J95" s="507"/>
      <c r="K95" s="507"/>
      <c r="L95" s="506"/>
      <c r="M95" s="506"/>
      <c r="N95" s="330"/>
    </row>
    <row r="96" spans="2:14" x14ac:dyDescent="0.15">
      <c r="C96" s="453"/>
      <c r="D96" s="8"/>
      <c r="E96" s="126"/>
      <c r="G96" s="330"/>
      <c r="H96" s="506"/>
      <c r="I96" s="507"/>
      <c r="J96" s="507"/>
      <c r="K96" s="507"/>
      <c r="L96" s="506"/>
      <c r="M96" s="506"/>
      <c r="N96" s="330"/>
    </row>
    <row r="97" spans="3:14" ht="14.25" x14ac:dyDescent="0.15">
      <c r="C97" s="452" t="s">
        <v>788</v>
      </c>
      <c r="D97" s="8"/>
      <c r="E97" s="126"/>
      <c r="G97" s="330"/>
      <c r="H97" s="330"/>
      <c r="I97" s="486"/>
      <c r="J97" s="486"/>
      <c r="K97" s="486"/>
      <c r="L97" s="330"/>
      <c r="M97" s="330"/>
      <c r="N97" s="330"/>
    </row>
    <row r="98" spans="3:14" ht="14.25" x14ac:dyDescent="0.2">
      <c r="C98" s="25" t="s">
        <v>789</v>
      </c>
      <c r="D98" s="454">
        <v>1536</v>
      </c>
      <c r="E98" s="115"/>
      <c r="F98" s="116" t="s">
        <v>790</v>
      </c>
      <c r="N98" s="424"/>
    </row>
    <row r="99" spans="3:14" ht="14.25" hidden="1" x14ac:dyDescent="0.2">
      <c r="C99" s="25" t="s">
        <v>791</v>
      </c>
      <c r="D99" s="455">
        <f>LOG((D98/48),2)</f>
        <v>5</v>
      </c>
      <c r="E99" s="115"/>
      <c r="F99" s="116"/>
    </row>
    <row r="100" spans="3:14" ht="14.25" hidden="1" x14ac:dyDescent="0.2">
      <c r="C100" s="25" t="s">
        <v>792</v>
      </c>
      <c r="D100" s="455">
        <f>16-(8/MIN(16,D8))</f>
        <v>14.163142180895056</v>
      </c>
      <c r="E100" s="115"/>
      <c r="F100" s="116"/>
    </row>
    <row r="101" spans="3:14" x14ac:dyDescent="0.15">
      <c r="C101" s="7" t="s">
        <v>19</v>
      </c>
      <c r="D101" s="456">
        <v>16</v>
      </c>
      <c r="E101" s="457" t="s">
        <v>0</v>
      </c>
      <c r="F101" s="117" t="str">
        <f>IF(D101&lt;D102/2,"Reference Frequency too low for Sensor","[1MHz to 16 MHz] - Not needed for Rp-only Measurements")</f>
        <v>[1MHz to 16 MHz] - Not needed for Rp-only Measurements</v>
      </c>
    </row>
    <row r="102" spans="3:14" hidden="1" x14ac:dyDescent="0.15">
      <c r="C102" s="97" t="s">
        <v>793</v>
      </c>
      <c r="D102" s="458">
        <f>D18</f>
        <v>4.3626718781453206</v>
      </c>
      <c r="E102" s="459"/>
      <c r="F102" s="117" t="s">
        <v>1063</v>
      </c>
    </row>
    <row r="103" spans="3:14" hidden="1" x14ac:dyDescent="0.15">
      <c r="C103" s="97" t="s">
        <v>794</v>
      </c>
      <c r="D103" s="460">
        <f>D102/(D101/4)</f>
        <v>1.0906679695363302</v>
      </c>
      <c r="E103" s="459"/>
      <c r="F103" s="117" t="s">
        <v>1064</v>
      </c>
      <c r="H103" s="423"/>
    </row>
    <row r="104" spans="3:14" hidden="1" x14ac:dyDescent="0.15">
      <c r="C104" s="97" t="s">
        <v>795</v>
      </c>
      <c r="D104" s="461">
        <f>MAX(MIN(2^(CEILING(LOG(D103,2),1)),8),1)</f>
        <v>2</v>
      </c>
      <c r="E104" s="459"/>
      <c r="F104" s="117" t="s">
        <v>1065</v>
      </c>
    </row>
    <row r="105" spans="3:14" ht="16.5" x14ac:dyDescent="0.25">
      <c r="C105" s="25" t="s">
        <v>796</v>
      </c>
      <c r="D105" s="434">
        <f>(1/D8)*D98/3</f>
        <v>117.55890042271641</v>
      </c>
      <c r="E105" s="462" t="s">
        <v>222</v>
      </c>
      <c r="F105" s="116" t="s">
        <v>797</v>
      </c>
    </row>
    <row r="106" spans="3:14" ht="16.5" x14ac:dyDescent="0.25">
      <c r="C106" s="25" t="s">
        <v>798</v>
      </c>
      <c r="D106" s="463">
        <f>1000/D105</f>
        <v>8.5063742209583122</v>
      </c>
      <c r="E106" s="116" t="s">
        <v>202</v>
      </c>
      <c r="F106" s="106"/>
      <c r="I106"/>
    </row>
    <row r="107" spans="3:14" x14ac:dyDescent="0.15">
      <c r="C107" s="464" t="str">
        <f>IF(E107="hex","RCOUNT Setting (range:0x0003 to 0xFFFF)","RCOUNT Setting (range:3 to 65535)")</f>
        <v>RCOUNT Setting (range:0x0003 to 0xFFFF)</v>
      </c>
      <c r="D107" s="278">
        <v>200</v>
      </c>
      <c r="E107" s="275" t="s">
        <v>369</v>
      </c>
      <c r="F107" s="465" t="str">
        <f>IF(D108&lt;3,"RCOUNT Below Minimum of 3",IF(D108&gt;65535,"RCOUNT exceeds maximum of decimal 65535","For LHR Measurements"))</f>
        <v>For LHR Measurements</v>
      </c>
      <c r="I107"/>
    </row>
    <row r="108" spans="3:14" hidden="1" x14ac:dyDescent="0.15">
      <c r="C108" s="466" t="s">
        <v>378</v>
      </c>
      <c r="D108" s="467">
        <f>IF(E107="hex",HEX2DEC(D107),D107)</f>
        <v>512</v>
      </c>
      <c r="E108" s="397"/>
      <c r="F108" s="468"/>
      <c r="I108"/>
    </row>
    <row r="109" spans="3:14" hidden="1" x14ac:dyDescent="0.15">
      <c r="C109" s="466" t="s">
        <v>799</v>
      </c>
      <c r="D109" s="467" t="b">
        <f>IF(D108&lt;3,FALSE,IF(D108&gt;65535,FALSE,TRUE))</f>
        <v>1</v>
      </c>
      <c r="E109" s="397"/>
      <c r="F109" s="468"/>
      <c r="I109"/>
    </row>
    <row r="110" spans="3:14" hidden="1" x14ac:dyDescent="0.15">
      <c r="C110" s="466" t="s">
        <v>800</v>
      </c>
      <c r="D110" s="469">
        <f>IF(D109,D108,0)</f>
        <v>512</v>
      </c>
      <c r="E110" s="6"/>
      <c r="F110"/>
      <c r="I110"/>
    </row>
    <row r="111" spans="3:14" hidden="1" x14ac:dyDescent="0.15">
      <c r="C111" s="470" t="s">
        <v>801</v>
      </c>
      <c r="D111" s="471">
        <f>MOD(D110,256)</f>
        <v>0</v>
      </c>
      <c r="E111" s="86"/>
      <c r="F111" s="6"/>
      <c r="I111"/>
    </row>
    <row r="112" spans="3:14" hidden="1" x14ac:dyDescent="0.15">
      <c r="C112" s="470" t="s">
        <v>220</v>
      </c>
      <c r="D112" s="472">
        <f>D110*16</f>
        <v>8192</v>
      </c>
      <c r="E112" s="86"/>
      <c r="F112"/>
      <c r="I112"/>
    </row>
    <row r="113" spans="2:11" hidden="1" x14ac:dyDescent="0.15">
      <c r="C113" s="470" t="s">
        <v>370</v>
      </c>
      <c r="D113" s="473">
        <v>55</v>
      </c>
      <c r="E113" s="6"/>
      <c r="F113"/>
      <c r="I113"/>
    </row>
    <row r="114" spans="2:11" ht="14.25" hidden="1" x14ac:dyDescent="0.2">
      <c r="C114" s="470" t="s">
        <v>282</v>
      </c>
      <c r="D114" s="473">
        <f>(D112+D113)/D101</f>
        <v>515.4375</v>
      </c>
      <c r="E114" s="21" t="s">
        <v>222</v>
      </c>
      <c r="F114"/>
      <c r="I114"/>
    </row>
    <row r="115" spans="2:11" ht="14.25" hidden="1" x14ac:dyDescent="0.2">
      <c r="C115" s="470" t="s">
        <v>802</v>
      </c>
      <c r="D115" s="474">
        <f>8000000/(3*9)</f>
        <v>296296.29629629629</v>
      </c>
      <c r="E115" s="21" t="s">
        <v>405</v>
      </c>
      <c r="F115"/>
      <c r="I115"/>
    </row>
    <row r="116" spans="2:11" ht="14.25" hidden="1" x14ac:dyDescent="0.2">
      <c r="C116" s="470" t="s">
        <v>531</v>
      </c>
      <c r="D116" s="475">
        <f>1000000/D115</f>
        <v>3.375</v>
      </c>
      <c r="E116" s="21" t="s">
        <v>222</v>
      </c>
      <c r="F116"/>
      <c r="I116"/>
    </row>
    <row r="117" spans="2:11" ht="14.25" x14ac:dyDescent="0.2">
      <c r="C117" s="25" t="s">
        <v>803</v>
      </c>
      <c r="D117" s="35">
        <f>IF(D114&gt;1000,D114/1000,D114)</f>
        <v>515.4375</v>
      </c>
      <c r="E117" s="64" t="str">
        <f>IF(D114&gt;1000,"ms","µs")</f>
        <v>µs</v>
      </c>
      <c r="F117"/>
      <c r="I117"/>
    </row>
    <row r="118" spans="2:11" x14ac:dyDescent="0.15">
      <c r="C118" s="25" t="s">
        <v>804</v>
      </c>
      <c r="D118" s="35">
        <f>1000/D117</f>
        <v>1.9400994300957923</v>
      </c>
      <c r="E118" s="65" t="str">
        <f>IF(E117="µs","ksps","sps")</f>
        <v>ksps</v>
      </c>
      <c r="F118" s="71"/>
      <c r="I118"/>
    </row>
    <row r="119" spans="2:11" x14ac:dyDescent="0.15">
      <c r="B119" s="7"/>
      <c r="D119"/>
      <c r="E119"/>
      <c r="F119"/>
      <c r="I119"/>
    </row>
    <row r="120" spans="2:11" ht="14.25" x14ac:dyDescent="0.15">
      <c r="B120" s="7"/>
      <c r="C120" s="493" t="s">
        <v>826</v>
      </c>
      <c r="D120"/>
      <c r="E120"/>
      <c r="F120"/>
      <c r="I120"/>
      <c r="J120" s="490"/>
      <c r="K120" s="490"/>
    </row>
    <row r="121" spans="2:11" x14ac:dyDescent="0.15">
      <c r="B121" s="7"/>
      <c r="C121" s="522" t="s">
        <v>842</v>
      </c>
      <c r="D121"/>
      <c r="E121"/>
      <c r="F121"/>
      <c r="I121"/>
      <c r="J121" s="490"/>
      <c r="K121" s="490"/>
    </row>
    <row r="122" spans="2:11" x14ac:dyDescent="0.15">
      <c r="B122" s="7"/>
      <c r="C122" s="522" t="s">
        <v>837</v>
      </c>
      <c r="D122" s="490"/>
      <c r="E122" s="490"/>
      <c r="F122"/>
      <c r="I122"/>
      <c r="J122" s="490"/>
      <c r="K122" s="490"/>
    </row>
    <row r="123" spans="2:11" x14ac:dyDescent="0.15">
      <c r="B123" s="7"/>
      <c r="C123" s="499" t="s">
        <v>839</v>
      </c>
      <c r="D123" s="502" t="s">
        <v>832</v>
      </c>
      <c r="E123" s="490"/>
      <c r="F123"/>
      <c r="I123"/>
      <c r="J123" s="490"/>
      <c r="K123" s="490"/>
    </row>
    <row r="124" spans="2:11" x14ac:dyDescent="0.15">
      <c r="B124" s="7"/>
      <c r="C124" s="464" t="s">
        <v>841</v>
      </c>
      <c r="D124" s="150">
        <v>2</v>
      </c>
      <c r="E124" s="6" t="str">
        <f>IF(D145&gt;0,"sps","This Sample Rate is too high and cannot use Sleep Mode")</f>
        <v>sps</v>
      </c>
      <c r="F124"/>
      <c r="I124"/>
      <c r="J124" s="490"/>
      <c r="K124" s="490"/>
    </row>
    <row r="125" spans="2:11" x14ac:dyDescent="0.15">
      <c r="B125" s="7"/>
      <c r="C125" s="464" t="s">
        <v>848</v>
      </c>
      <c r="D125" s="277">
        <v>8000</v>
      </c>
      <c r="E125" s="6" t="s">
        <v>231</v>
      </c>
      <c r="F125"/>
      <c r="I125"/>
      <c r="J125" s="490"/>
      <c r="K125" s="490"/>
    </row>
    <row r="126" spans="2:11" ht="14.25" hidden="1" x14ac:dyDescent="0.2">
      <c r="B126" s="7"/>
      <c r="C126" s="464" t="s">
        <v>827</v>
      </c>
      <c r="D126" s="494">
        <f>5*D105/1000</f>
        <v>0.58779450211358197</v>
      </c>
      <c r="E126" s="462" t="s">
        <v>229</v>
      </c>
      <c r="F126" s="7" t="s">
        <v>833</v>
      </c>
      <c r="I126"/>
      <c r="J126" s="490"/>
      <c r="K126" s="490"/>
    </row>
    <row r="127" spans="2:11" ht="14.25" hidden="1" x14ac:dyDescent="0.2">
      <c r="B127" s="7"/>
      <c r="C127" s="464" t="s">
        <v>828</v>
      </c>
      <c r="D127" s="495">
        <f>2*D114/1000</f>
        <v>1.030875</v>
      </c>
      <c r="E127" s="462" t="s">
        <v>229</v>
      </c>
      <c r="F127" t="s">
        <v>838</v>
      </c>
      <c r="I127"/>
      <c r="J127" s="490"/>
      <c r="K127" s="490"/>
    </row>
    <row r="128" spans="2:11" hidden="1" x14ac:dyDescent="0.15">
      <c r="B128" s="7"/>
      <c r="C128" s="13" t="s">
        <v>233</v>
      </c>
      <c r="D128" s="496">
        <v>0.8</v>
      </c>
      <c r="E128" t="s">
        <v>229</v>
      </c>
      <c r="F128" t="s">
        <v>835</v>
      </c>
      <c r="I128"/>
      <c r="J128" s="490"/>
      <c r="K128" s="490"/>
    </row>
    <row r="129" spans="2:11" hidden="1" x14ac:dyDescent="0.15">
      <c r="B129" s="7"/>
      <c r="C129" s="13" t="s">
        <v>209</v>
      </c>
      <c r="D129" s="497">
        <f>12</f>
        <v>12</v>
      </c>
      <c r="E129"/>
      <c r="F129"/>
      <c r="I129"/>
      <c r="J129" s="490"/>
      <c r="K129" s="490"/>
    </row>
    <row r="130" spans="2:11" hidden="1" x14ac:dyDescent="0.15">
      <c r="B130" s="7"/>
      <c r="C130" s="13" t="s">
        <v>830</v>
      </c>
      <c r="D130" s="497">
        <v>17</v>
      </c>
      <c r="E130"/>
      <c r="F130"/>
      <c r="I130"/>
      <c r="J130" s="490"/>
      <c r="K130" s="490"/>
    </row>
    <row r="131" spans="2:11" hidden="1" x14ac:dyDescent="0.15">
      <c r="B131" s="7"/>
      <c r="C131" s="13" t="s">
        <v>834</v>
      </c>
      <c r="D131" s="497">
        <v>9</v>
      </c>
      <c r="E131"/>
      <c r="F131"/>
      <c r="I131"/>
      <c r="J131" s="490"/>
      <c r="K131" s="490"/>
    </row>
    <row r="132" spans="2:11" hidden="1" x14ac:dyDescent="0.15">
      <c r="B132" s="7"/>
      <c r="C132" s="13" t="s">
        <v>831</v>
      </c>
      <c r="D132" s="113">
        <f>D129*D130/D125</f>
        <v>2.5499999999999998E-2</v>
      </c>
      <c r="E132" t="s">
        <v>229</v>
      </c>
      <c r="F132"/>
      <c r="I132"/>
      <c r="J132" s="490"/>
      <c r="K132" s="490"/>
    </row>
    <row r="133" spans="2:11" ht="27" hidden="1" x14ac:dyDescent="0.15">
      <c r="B133" s="7"/>
      <c r="C133" s="500" t="s">
        <v>383</v>
      </c>
      <c r="D133" s="113">
        <f>(D130+4*D131)/D125</f>
        <v>6.6249999999999998E-3</v>
      </c>
      <c r="E133" t="s">
        <v>229</v>
      </c>
      <c r="F133"/>
      <c r="I133"/>
      <c r="J133" s="490"/>
      <c r="K133" s="490"/>
    </row>
    <row r="134" spans="2:11" hidden="1" x14ac:dyDescent="0.15">
      <c r="B134" s="7"/>
      <c r="C134" s="13" t="s">
        <v>829</v>
      </c>
      <c r="D134" s="113">
        <f>D132+D128</f>
        <v>0.82550000000000001</v>
      </c>
      <c r="E134" t="s">
        <v>229</v>
      </c>
      <c r="F134"/>
      <c r="I134"/>
      <c r="J134" s="490"/>
      <c r="K134" s="490"/>
    </row>
    <row r="135" spans="2:11" hidden="1" x14ac:dyDescent="0.15">
      <c r="B135" s="7"/>
      <c r="C135" s="13" t="s">
        <v>236</v>
      </c>
      <c r="D135" s="113">
        <f>0.04+(0.008+0.002*D161)/D8</f>
        <v>4.2755286728657416E-2</v>
      </c>
      <c r="E135" t="s">
        <v>229</v>
      </c>
      <c r="F135" t="s">
        <v>851</v>
      </c>
      <c r="I135"/>
      <c r="J135" s="490"/>
      <c r="K135" s="490"/>
    </row>
    <row r="136" spans="2:11" hidden="1" x14ac:dyDescent="0.15">
      <c r="B136" s="7"/>
      <c r="C136" s="13" t="s">
        <v>241</v>
      </c>
      <c r="D136" s="495">
        <f>IF(D123="LHR",D127,D126)</f>
        <v>1.030875</v>
      </c>
      <c r="E136" t="s">
        <v>229</v>
      </c>
      <c r="F136"/>
      <c r="I136"/>
      <c r="J136" s="490"/>
      <c r="K136" s="490"/>
    </row>
    <row r="137" spans="2:11" hidden="1" x14ac:dyDescent="0.15">
      <c r="B137" s="7"/>
      <c r="C137" s="13" t="s">
        <v>836</v>
      </c>
      <c r="D137" s="113">
        <f>D136+D135+D133</f>
        <v>1.0802552867286574</v>
      </c>
      <c r="E137" t="s">
        <v>229</v>
      </c>
      <c r="F137"/>
      <c r="I137"/>
      <c r="J137" s="490"/>
      <c r="K137" s="490"/>
    </row>
    <row r="138" spans="2:11" hidden="1" x14ac:dyDescent="0.15">
      <c r="B138" s="7"/>
      <c r="C138" s="13" t="s">
        <v>238</v>
      </c>
      <c r="D138" s="498">
        <f>D137*D124</f>
        <v>2.1605105734573149</v>
      </c>
      <c r="E138" t="s">
        <v>229</v>
      </c>
      <c r="F138"/>
      <c r="I138"/>
      <c r="J138" s="490"/>
      <c r="K138" s="490"/>
    </row>
    <row r="139" spans="2:11" hidden="1" x14ac:dyDescent="0.15">
      <c r="B139" s="7"/>
      <c r="C139" s="13" t="s">
        <v>250</v>
      </c>
      <c r="D139" s="498">
        <f>(D134)*D124</f>
        <v>1.651</v>
      </c>
      <c r="E139" t="s">
        <v>229</v>
      </c>
      <c r="F139"/>
      <c r="I139"/>
      <c r="J139" s="490"/>
      <c r="K139" s="490"/>
    </row>
    <row r="140" spans="2:11" hidden="1" x14ac:dyDescent="0.15">
      <c r="B140" s="7"/>
      <c r="C140" s="13" t="s">
        <v>245</v>
      </c>
      <c r="D140" s="113">
        <f>0.45/D21</f>
        <v>0.15</v>
      </c>
      <c r="E140" t="s">
        <v>244</v>
      </c>
      <c r="F140"/>
      <c r="I140"/>
      <c r="J140" s="490"/>
      <c r="K140" s="490"/>
    </row>
    <row r="141" spans="2:11" hidden="1" x14ac:dyDescent="0.15">
      <c r="B141" s="7"/>
      <c r="C141" s="13" t="s">
        <v>385</v>
      </c>
      <c r="D141" s="496">
        <v>3.1</v>
      </c>
      <c r="E141" t="s">
        <v>244</v>
      </c>
      <c r="F141"/>
      <c r="I141"/>
      <c r="J141" s="490"/>
      <c r="K141" s="490"/>
    </row>
    <row r="142" spans="2:11" hidden="1" x14ac:dyDescent="0.15">
      <c r="B142" s="7"/>
      <c r="C142" s="13" t="s">
        <v>386</v>
      </c>
      <c r="D142" s="496">
        <f>D141+D140</f>
        <v>3.25</v>
      </c>
      <c r="E142" t="s">
        <v>244</v>
      </c>
      <c r="F142"/>
      <c r="I142"/>
      <c r="J142" s="490"/>
      <c r="K142" s="490"/>
    </row>
    <row r="143" spans="2:11" hidden="1" x14ac:dyDescent="0.15">
      <c r="B143" s="7"/>
      <c r="C143" s="13" t="s">
        <v>247</v>
      </c>
      <c r="D143" s="118">
        <v>0.13500000000000001</v>
      </c>
      <c r="E143" t="s">
        <v>244</v>
      </c>
      <c r="F143"/>
      <c r="I143"/>
      <c r="J143" s="490"/>
      <c r="K143" s="490"/>
    </row>
    <row r="144" spans="2:11" hidden="1" x14ac:dyDescent="0.15">
      <c r="B144" s="7"/>
      <c r="C144" s="13" t="s">
        <v>246</v>
      </c>
      <c r="D144" s="118">
        <v>2E-3</v>
      </c>
      <c r="E144" t="s">
        <v>244</v>
      </c>
      <c r="F144"/>
      <c r="I144"/>
      <c r="J144" s="490"/>
      <c r="K144" s="490"/>
    </row>
    <row r="145" spans="2:11" hidden="1" x14ac:dyDescent="0.15">
      <c r="B145" s="7"/>
      <c r="C145" s="13" t="s">
        <v>1100</v>
      </c>
      <c r="D145" s="113">
        <f>1000-D138-D139</f>
        <v>996.18848942654279</v>
      </c>
      <c r="E145" t="s">
        <v>229</v>
      </c>
      <c r="F145"/>
      <c r="I145"/>
      <c r="J145" s="490"/>
      <c r="K145" s="490"/>
    </row>
    <row r="146" spans="2:11" hidden="1" x14ac:dyDescent="0.15">
      <c r="B146" s="7"/>
      <c r="C146" s="464" t="s">
        <v>211</v>
      </c>
      <c r="D146" s="495">
        <f>D144*D145/1000</f>
        <v>1.9923769788530855E-3</v>
      </c>
      <c r="E146"/>
      <c r="F146"/>
      <c r="I146"/>
      <c r="J146" s="490"/>
      <c r="K146" s="490"/>
    </row>
    <row r="147" spans="2:11" hidden="1" x14ac:dyDescent="0.15">
      <c r="B147" s="7"/>
      <c r="C147" s="464" t="s">
        <v>212</v>
      </c>
      <c r="D147" s="495">
        <f>D143*D139/1000</f>
        <v>2.2288500000000003E-4</v>
      </c>
      <c r="E147"/>
      <c r="F147"/>
      <c r="I147"/>
      <c r="J147" s="490"/>
      <c r="K147" s="490"/>
    </row>
    <row r="148" spans="2:11" hidden="1" x14ac:dyDescent="0.15">
      <c r="B148" s="7"/>
      <c r="C148" s="464" t="s">
        <v>213</v>
      </c>
      <c r="D148" s="495">
        <f>D142*D138/1000</f>
        <v>7.0216593637362733E-3</v>
      </c>
      <c r="E148"/>
      <c r="F148"/>
      <c r="I148"/>
      <c r="J148" s="490"/>
      <c r="K148" s="490"/>
    </row>
    <row r="149" spans="2:11" x14ac:dyDescent="0.15">
      <c r="B149" s="7"/>
      <c r="C149" s="268" t="s">
        <v>836</v>
      </c>
      <c r="D149" s="380">
        <f>INDEX(D126:D145,MATCH(C149,C126:C145,0))</f>
        <v>1.0802552867286574</v>
      </c>
      <c r="E149" t="str">
        <f>INDEX(E126:E145,MATCH(C149,C126:C145,0))</f>
        <v>ms</v>
      </c>
      <c r="F149"/>
      <c r="I149"/>
      <c r="J149" s="641"/>
      <c r="K149" s="641"/>
    </row>
    <row r="150" spans="2:11" ht="16.5" customHeight="1" x14ac:dyDescent="0.2">
      <c r="B150" s="7"/>
      <c r="C150" s="491" t="s">
        <v>843</v>
      </c>
      <c r="D150" s="519">
        <f>1000*SUM(D146:D148)</f>
        <v>9.2369213425893584</v>
      </c>
      <c r="E150" s="6" t="s">
        <v>253</v>
      </c>
      <c r="F150" s="393"/>
      <c r="I150"/>
      <c r="J150" s="490"/>
      <c r="K150" s="490"/>
    </row>
    <row r="151" spans="2:11" ht="14.25" x14ac:dyDescent="0.2">
      <c r="B151" s="7"/>
      <c r="C151" s="501" t="s">
        <v>1647</v>
      </c>
      <c r="D151" s="520">
        <f>1000*(D143*D145/1000+D147+D148)</f>
        <v>141.72999043631955</v>
      </c>
      <c r="E151" s="6" t="s">
        <v>253</v>
      </c>
      <c r="F151" s="393"/>
      <c r="I151"/>
      <c r="J151" s="490"/>
      <c r="K151" s="490"/>
    </row>
    <row r="152" spans="2:11" x14ac:dyDescent="0.15">
      <c r="B152" s="7"/>
      <c r="D152"/>
      <c r="E152"/>
      <c r="F152"/>
      <c r="I152"/>
      <c r="J152" s="490"/>
      <c r="K152" s="490"/>
    </row>
    <row r="153" spans="2:11" ht="14.25" x14ac:dyDescent="0.15">
      <c r="C153" s="22" t="s">
        <v>805</v>
      </c>
      <c r="D153"/>
      <c r="E153" s="8"/>
      <c r="F153"/>
    </row>
    <row r="154" spans="2:11" hidden="1" x14ac:dyDescent="0.15">
      <c r="C154" s="72" t="s">
        <v>264</v>
      </c>
      <c r="D154" s="476">
        <f>D6</f>
        <v>220</v>
      </c>
      <c r="E154" s="8" t="s">
        <v>99</v>
      </c>
      <c r="F154"/>
    </row>
    <row r="155" spans="2:11" x14ac:dyDescent="0.15">
      <c r="C155" s="523" t="s">
        <v>261</v>
      </c>
      <c r="D155" s="28">
        <f>2^24-1</f>
        <v>16777215</v>
      </c>
      <c r="E155" s="8"/>
      <c r="F155"/>
    </row>
    <row r="156" spans="2:11" x14ac:dyDescent="0.15">
      <c r="C156" s="523" t="str">
        <f>IF(E156="dec","Output Code","Output Code                   0x")</f>
        <v>Output Code                   0x</v>
      </c>
      <c r="D156" s="52" t="s">
        <v>806</v>
      </c>
      <c r="E156" s="266" t="s">
        <v>347</v>
      </c>
      <c r="F156" s="6" t="s">
        <v>807</v>
      </c>
    </row>
    <row r="157" spans="2:11" hidden="1" x14ac:dyDescent="0.15">
      <c r="C157" s="523"/>
      <c r="D157" s="151">
        <f>IF(E156="Hex",HEX2DEC(D156),D156)</f>
        <v>3256611</v>
      </c>
      <c r="E157" s="267" t="s">
        <v>360</v>
      </c>
      <c r="F157" s="6"/>
    </row>
    <row r="158" spans="2:11" x14ac:dyDescent="0.15">
      <c r="C158" s="523" t="str">
        <f>IF(E158="dec","Channel Offset","Channel Offset               0x")</f>
        <v>Channel Offset               0x</v>
      </c>
      <c r="D158" s="45">
        <v>0</v>
      </c>
      <c r="E158" s="266" t="s">
        <v>347</v>
      </c>
      <c r="F158" s="6" t="s">
        <v>263</v>
      </c>
    </row>
    <row r="159" spans="2:11" hidden="1" x14ac:dyDescent="0.15">
      <c r="C159" s="523"/>
      <c r="D159" s="151">
        <f>IF(E158="Hex",HEX2DEC(D158),D158)</f>
        <v>0</v>
      </c>
      <c r="E159" s="8" t="s">
        <v>360</v>
      </c>
      <c r="F159" s="6"/>
    </row>
    <row r="160" spans="2:11" hidden="1" x14ac:dyDescent="0.15">
      <c r="C160" s="523" t="s">
        <v>269</v>
      </c>
      <c r="D160" s="476">
        <f>D101</f>
        <v>16</v>
      </c>
      <c r="E160" s="8" t="s">
        <v>0</v>
      </c>
      <c r="F160" s="400"/>
    </row>
    <row r="161" spans="3:6" x14ac:dyDescent="0.15">
      <c r="C161" s="523" t="s">
        <v>267</v>
      </c>
      <c r="D161" s="521">
        <f>D104</f>
        <v>2</v>
      </c>
      <c r="E161" s="8"/>
      <c r="F161" s="6" t="s">
        <v>852</v>
      </c>
    </row>
    <row r="162" spans="3:6" x14ac:dyDescent="0.15">
      <c r="C162" s="523" t="s">
        <v>808</v>
      </c>
      <c r="D162" s="27">
        <f>D161*(D160)*(D157/D155+D159/65536)</f>
        <v>6.2114929086859769</v>
      </c>
      <c r="E162" s="74" t="s">
        <v>0</v>
      </c>
      <c r="F162" s="71" t="str">
        <f>IF(D162&gt;10,"Note: This sensor frequency is higher than specified max"," ")</f>
        <v xml:space="preserve"> </v>
      </c>
    </row>
    <row r="163" spans="3:6" hidden="1" x14ac:dyDescent="0.15">
      <c r="C163" s="524"/>
      <c r="D163" s="78">
        <f>D154*0.000000000001</f>
        <v>2.1999999999999999E-10</v>
      </c>
      <c r="E163" s="24" t="s">
        <v>97</v>
      </c>
      <c r="F163" s="18"/>
    </row>
    <row r="164" spans="3:6" hidden="1" x14ac:dyDescent="0.15">
      <c r="C164" s="524"/>
      <c r="D164" s="79">
        <f>1/(D163*(D162*1000000*2*PI())^2)</f>
        <v>2.9841839823873213E-6</v>
      </c>
      <c r="E164" s="24" t="s">
        <v>1</v>
      </c>
      <c r="F164" s="18"/>
    </row>
    <row r="165" spans="3:6" ht="15" x14ac:dyDescent="0.2">
      <c r="C165" s="523" t="s">
        <v>278</v>
      </c>
      <c r="D165" s="47">
        <f>D164*1000000</f>
        <v>2.9841839823873215</v>
      </c>
      <c r="E165" s="23" t="s">
        <v>96</v>
      </c>
      <c r="F165"/>
    </row>
    <row r="166" spans="3:6" x14ac:dyDescent="0.15">
      <c r="D166"/>
      <c r="E166"/>
      <c r="F166"/>
    </row>
    <row r="167" spans="3:6" ht="18.75" x14ac:dyDescent="0.3">
      <c r="C167" s="22" t="s">
        <v>809</v>
      </c>
      <c r="D167"/>
      <c r="E167"/>
      <c r="F167"/>
    </row>
    <row r="168" spans="3:6" hidden="1" x14ac:dyDescent="0.15">
      <c r="C168" s="72" t="s">
        <v>98</v>
      </c>
      <c r="D168" s="477">
        <f>D98</f>
        <v>1536</v>
      </c>
      <c r="E168"/>
      <c r="F168" t="s">
        <v>361</v>
      </c>
    </row>
    <row r="169" spans="3:6" x14ac:dyDescent="0.15">
      <c r="C169" s="72" t="str">
        <f>IF(E169="decimal","Count Output","Count Output           0x")</f>
        <v>Count Output</v>
      </c>
      <c r="D169" s="45">
        <v>2638</v>
      </c>
      <c r="E169" s="266" t="s">
        <v>363</v>
      </c>
      <c r="F169" s="6" t="s">
        <v>810</v>
      </c>
    </row>
    <row r="170" spans="3:6" hidden="1" x14ac:dyDescent="0.15">
      <c r="C170" s="72"/>
      <c r="D170" s="118">
        <f>IF(E169="Hex",HEX2DEC(D169),D169)</f>
        <v>2638</v>
      </c>
      <c r="E170" s="8" t="s">
        <v>360</v>
      </c>
      <c r="F170"/>
    </row>
    <row r="171" spans="3:6" hidden="1" x14ac:dyDescent="0.15">
      <c r="C171" s="72" t="s">
        <v>19</v>
      </c>
      <c r="D171" s="476">
        <f>D101</f>
        <v>16</v>
      </c>
      <c r="E171" s="8" t="s">
        <v>0</v>
      </c>
      <c r="F171"/>
    </row>
    <row r="172" spans="3:6" x14ac:dyDescent="0.15">
      <c r="C172" s="72" t="s">
        <v>2</v>
      </c>
      <c r="D172" s="27">
        <f>D171*D168/(3*D170)</f>
        <v>3.1053828658074298</v>
      </c>
      <c r="E172" s="74" t="s">
        <v>0</v>
      </c>
      <c r="F172" s="71"/>
    </row>
    <row r="173" spans="3:6" hidden="1" x14ac:dyDescent="0.15">
      <c r="C173" s="72" t="s">
        <v>264</v>
      </c>
      <c r="D173" s="476">
        <f>D6</f>
        <v>220</v>
      </c>
      <c r="E173" s="8" t="s">
        <v>99</v>
      </c>
      <c r="F173"/>
    </row>
    <row r="174" spans="3:6" hidden="1" x14ac:dyDescent="0.15">
      <c r="C174" s="73"/>
      <c r="D174" s="78">
        <f>D173*0.000000000001</f>
        <v>2.1999999999999999E-10</v>
      </c>
      <c r="E174" s="24" t="s">
        <v>97</v>
      </c>
      <c r="F174" s="18"/>
    </row>
    <row r="175" spans="3:6" hidden="1" x14ac:dyDescent="0.15">
      <c r="C175" s="73"/>
      <c r="D175" s="79">
        <f>1/(D174*(D172*1000000*2*PI())^2)</f>
        <v>1.1939531278527409E-5</v>
      </c>
      <c r="E175" s="24" t="s">
        <v>1</v>
      </c>
      <c r="F175" s="18"/>
    </row>
    <row r="176" spans="3:6" ht="14.25" x14ac:dyDescent="0.2">
      <c r="C176" s="72" t="s">
        <v>100</v>
      </c>
      <c r="D176" s="35">
        <f>D175*1000000</f>
        <v>11.93953127852741</v>
      </c>
      <c r="E176" s="23" t="s">
        <v>96</v>
      </c>
      <c r="F176"/>
    </row>
    <row r="177" spans="3:13" ht="14.1" hidden="1" customHeight="1" x14ac:dyDescent="0.25">
      <c r="C177" s="121" t="s">
        <v>337</v>
      </c>
      <c r="D177" s="151">
        <f>D21</f>
        <v>3</v>
      </c>
      <c r="E177" s="19" t="s">
        <v>340</v>
      </c>
      <c r="F177"/>
    </row>
    <row r="178" spans="3:13" ht="15" hidden="1" x14ac:dyDescent="0.25">
      <c r="C178" s="121" t="s">
        <v>336</v>
      </c>
      <c r="D178" s="151">
        <f>D22</f>
        <v>6</v>
      </c>
      <c r="E178" s="19" t="s">
        <v>340</v>
      </c>
      <c r="F178"/>
    </row>
    <row r="179" spans="3:13" ht="14.25" hidden="1" x14ac:dyDescent="0.2">
      <c r="C179" s="121" t="s">
        <v>342</v>
      </c>
      <c r="D179" s="151">
        <v>65535</v>
      </c>
      <c r="E179" s="21" t="s">
        <v>360</v>
      </c>
      <c r="F179"/>
    </row>
    <row r="180" spans="3:13" x14ac:dyDescent="0.15">
      <c r="C180" s="121" t="str">
        <f>IF(E180="Hex","RP Data Output                0x","RP Data Output")</f>
        <v>RP Data Output                0x</v>
      </c>
      <c r="D180" s="52" t="s">
        <v>384</v>
      </c>
      <c r="E180" s="266" t="s">
        <v>347</v>
      </c>
      <c r="F180" s="6" t="s">
        <v>811</v>
      </c>
    </row>
    <row r="181" spans="3:13" hidden="1" x14ac:dyDescent="0.15">
      <c r="C181" s="121" t="s">
        <v>344</v>
      </c>
      <c r="D181" s="118">
        <f>IF(E180="Decimal",D180,HEX2DEC(D180))</f>
        <v>13297</v>
      </c>
      <c r="E181" s="8" t="s">
        <v>360</v>
      </c>
      <c r="F181"/>
    </row>
    <row r="182" spans="3:13" ht="16.5" x14ac:dyDescent="0.25">
      <c r="C182" s="140" t="s">
        <v>364</v>
      </c>
      <c r="D182" s="95">
        <f>(D177*D178)/(D178*(1-D181/65535)+D177*(D181/65535))</f>
        <v>3.3387109099708758</v>
      </c>
      <c r="E182" s="19" t="s">
        <v>340</v>
      </c>
      <c r="F182"/>
    </row>
    <row r="184" spans="3:13" hidden="1" x14ac:dyDescent="0.15"/>
    <row r="185" spans="3:13" hidden="1" x14ac:dyDescent="0.15"/>
    <row r="186" spans="3:13" hidden="1" x14ac:dyDescent="0.15"/>
    <row r="187" spans="3:13" hidden="1" x14ac:dyDescent="0.15">
      <c r="D187" s="2"/>
      <c r="E187" s="2"/>
      <c r="F187" s="2"/>
      <c r="G187" s="2"/>
      <c r="H187" s="2"/>
      <c r="I187" s="2"/>
      <c r="J187" s="330"/>
      <c r="K187" s="330"/>
      <c r="L187" s="330"/>
      <c r="M187" s="330"/>
    </row>
    <row r="188" spans="3:13" hidden="1" x14ac:dyDescent="0.15">
      <c r="D188" s="2"/>
      <c r="E188" s="2"/>
      <c r="F188" s="2"/>
      <c r="G188" s="2"/>
      <c r="H188" s="2"/>
      <c r="I188" s="2"/>
      <c r="J188" s="330"/>
      <c r="K188" s="330"/>
      <c r="L188" s="330"/>
      <c r="M188" s="330"/>
    </row>
    <row r="189" spans="3:13" hidden="1" x14ac:dyDescent="0.15">
      <c r="D189" s="2"/>
      <c r="E189" s="2"/>
      <c r="F189" s="2"/>
      <c r="G189" s="2"/>
      <c r="H189" s="2"/>
      <c r="I189" s="2"/>
      <c r="J189" s="330"/>
      <c r="K189" s="330"/>
      <c r="L189" s="330"/>
      <c r="M189" s="330"/>
    </row>
    <row r="190" spans="3:13" hidden="1" x14ac:dyDescent="0.15">
      <c r="D190" s="2"/>
      <c r="E190" s="2"/>
      <c r="F190" s="2"/>
      <c r="G190" s="2"/>
      <c r="H190" s="2"/>
      <c r="I190" s="2"/>
      <c r="J190" s="330"/>
      <c r="K190" s="330"/>
      <c r="L190" s="330"/>
      <c r="M190" s="330"/>
    </row>
    <row r="191" spans="3:13" ht="17.25" hidden="1" x14ac:dyDescent="0.2">
      <c r="C191" s="154"/>
      <c r="D191" s="2"/>
      <c r="E191" s="2"/>
      <c r="F191" s="2"/>
      <c r="G191" s="2"/>
      <c r="H191" s="2"/>
      <c r="I191" s="2"/>
      <c r="J191" s="330"/>
      <c r="K191" s="330"/>
      <c r="L191" s="330"/>
      <c r="M191" s="330"/>
    </row>
    <row r="192" spans="3:13" ht="14.25" x14ac:dyDescent="0.15">
      <c r="C192" s="505" t="s">
        <v>845</v>
      </c>
      <c r="D192" s="2"/>
      <c r="E192" s="2"/>
      <c r="F192" s="2"/>
      <c r="G192" s="2"/>
      <c r="H192" s="2"/>
      <c r="I192" s="2"/>
      <c r="J192" s="330"/>
      <c r="K192" s="330"/>
      <c r="L192" s="330"/>
      <c r="M192" s="330"/>
    </row>
    <row r="193" spans="3:13" ht="15" x14ac:dyDescent="0.25">
      <c r="C193" s="2" t="s">
        <v>206</v>
      </c>
      <c r="D193" s="45">
        <v>0.7</v>
      </c>
      <c r="E193" s="2" t="s">
        <v>16</v>
      </c>
      <c r="F193" s="2"/>
      <c r="G193" s="2"/>
      <c r="H193" s="2"/>
      <c r="I193" s="2"/>
      <c r="J193" s="330"/>
      <c r="K193" s="330"/>
      <c r="L193" s="330"/>
      <c r="M193" s="330"/>
    </row>
    <row r="194" spans="3:13" hidden="1" x14ac:dyDescent="0.15">
      <c r="C194" s="3"/>
      <c r="D194" s="346">
        <v>299790000</v>
      </c>
      <c r="E194" s="3"/>
      <c r="F194" s="2"/>
      <c r="G194" s="2"/>
      <c r="H194" s="2"/>
      <c r="I194" s="2"/>
      <c r="J194" s="330"/>
      <c r="K194" s="330"/>
      <c r="L194" s="330"/>
      <c r="M194" s="330"/>
    </row>
    <row r="195" spans="3:13" hidden="1" x14ac:dyDescent="0.15">
      <c r="C195" s="2" t="s">
        <v>844</v>
      </c>
      <c r="D195" s="504">
        <f>D102</f>
        <v>4.3626718781453206</v>
      </c>
      <c r="E195" s="2" t="s">
        <v>0</v>
      </c>
      <c r="F195" s="2"/>
      <c r="G195" s="2"/>
      <c r="H195" s="2"/>
      <c r="I195" s="2"/>
      <c r="J195" s="330"/>
      <c r="K195" s="330"/>
      <c r="L195" s="330"/>
      <c r="M195" s="330"/>
    </row>
    <row r="196" spans="3:13" hidden="1" x14ac:dyDescent="0.15">
      <c r="C196" s="3"/>
      <c r="D196" s="83">
        <v>5</v>
      </c>
      <c r="E196" s="123"/>
      <c r="F196" s="2"/>
      <c r="G196" s="2"/>
      <c r="H196" s="2"/>
      <c r="I196" s="2"/>
      <c r="J196" s="330"/>
      <c r="K196" s="330"/>
      <c r="L196" s="330"/>
      <c r="M196" s="330"/>
    </row>
    <row r="197" spans="3:13" hidden="1" x14ac:dyDescent="0.15">
      <c r="C197" s="3"/>
      <c r="D197" s="83">
        <v>20</v>
      </c>
      <c r="E197" s="123"/>
      <c r="F197" s="2"/>
      <c r="G197" s="2"/>
      <c r="H197" s="2"/>
      <c r="I197" s="2"/>
      <c r="J197" s="330"/>
      <c r="K197" s="330"/>
      <c r="L197" s="330"/>
      <c r="M197" s="330"/>
    </row>
    <row r="198" spans="3:13" hidden="1" x14ac:dyDescent="0.15">
      <c r="C198" s="3"/>
      <c r="D198" s="83">
        <f>D197/360/(D195*1000000)</f>
        <v>1.2734296116528844E-8</v>
      </c>
      <c r="E198" s="123"/>
      <c r="F198" s="2"/>
      <c r="G198" s="2"/>
      <c r="H198" s="2"/>
      <c r="I198" s="2"/>
      <c r="J198" s="330"/>
      <c r="K198" s="330"/>
      <c r="L198" s="330"/>
      <c r="M198" s="330"/>
    </row>
    <row r="199" spans="3:13" hidden="1" x14ac:dyDescent="0.15">
      <c r="C199" s="3"/>
      <c r="D199" s="83">
        <f>(D198-(D196*0.000000001))/2</f>
        <v>3.8671480582644219E-9</v>
      </c>
      <c r="E199" s="3"/>
      <c r="F199" s="2"/>
      <c r="G199" s="2"/>
      <c r="H199" s="2"/>
      <c r="I199" s="2"/>
      <c r="J199" s="330"/>
      <c r="K199" s="330"/>
      <c r="L199" s="330"/>
      <c r="M199" s="330"/>
    </row>
    <row r="200" spans="3:13" ht="14.25" x14ac:dyDescent="0.15">
      <c r="C200" s="1" t="s">
        <v>5</v>
      </c>
      <c r="D200" s="48">
        <f>MAX(50*D199*D193*D194,1)</f>
        <v>40.576631073548178</v>
      </c>
      <c r="E200" s="2" t="s">
        <v>3</v>
      </c>
      <c r="F200" s="2"/>
      <c r="G200" s="2"/>
      <c r="H200" s="2"/>
      <c r="I200" s="2"/>
      <c r="J200" s="330"/>
      <c r="K200" s="330"/>
      <c r="L200" s="330"/>
      <c r="M200" s="330"/>
    </row>
    <row r="201" spans="3:13" x14ac:dyDescent="0.15">
      <c r="C201" s="165" t="s">
        <v>846</v>
      </c>
      <c r="D201" s="2"/>
      <c r="E201" s="2"/>
      <c r="F201" s="2"/>
      <c r="G201" s="2"/>
      <c r="H201" s="2"/>
      <c r="I201" s="2"/>
      <c r="J201" s="330"/>
      <c r="K201" s="330"/>
      <c r="L201" s="330"/>
      <c r="M201" s="330"/>
    </row>
    <row r="202" spans="3:13" x14ac:dyDescent="0.15">
      <c r="C202" s="165" t="s">
        <v>847</v>
      </c>
      <c r="D202" s="2"/>
      <c r="E202" s="2"/>
      <c r="F202" s="2"/>
      <c r="G202" s="2"/>
      <c r="H202" s="2"/>
      <c r="I202" s="2"/>
      <c r="J202" s="330"/>
      <c r="K202" s="330"/>
      <c r="L202" s="330"/>
      <c r="M202" s="330"/>
    </row>
    <row r="203" spans="3:13" x14ac:dyDescent="0.15">
      <c r="C203" s="165" t="s">
        <v>217</v>
      </c>
      <c r="D203" s="2"/>
      <c r="E203" s="2"/>
      <c r="F203" s="2"/>
      <c r="G203" s="2"/>
      <c r="H203" s="2"/>
      <c r="I203" s="2"/>
      <c r="J203" s="330"/>
      <c r="K203" s="330"/>
      <c r="L203" s="330"/>
      <c r="M203" s="330"/>
    </row>
    <row r="204" spans="3:13" x14ac:dyDescent="0.15">
      <c r="C204" s="162" t="s">
        <v>11</v>
      </c>
      <c r="D204" s="2"/>
      <c r="E204" s="2"/>
      <c r="F204" s="2"/>
      <c r="G204" s="2"/>
      <c r="H204" s="2"/>
      <c r="I204" s="2"/>
      <c r="J204" s="330"/>
      <c r="K204" s="330"/>
      <c r="L204" s="330"/>
      <c r="M204" s="330"/>
    </row>
    <row r="205" spans="3:13" x14ac:dyDescent="0.15">
      <c r="C205" s="162" t="s">
        <v>203</v>
      </c>
      <c r="D205" s="2"/>
      <c r="E205" s="2"/>
      <c r="F205" s="2"/>
      <c r="G205" s="2"/>
      <c r="H205" s="2"/>
      <c r="I205" s="2"/>
      <c r="J205" s="330"/>
      <c r="K205" s="330"/>
      <c r="L205" s="330"/>
      <c r="M205" s="330"/>
    </row>
    <row r="206" spans="3:13" x14ac:dyDescent="0.15">
      <c r="C206" s="162" t="s">
        <v>12</v>
      </c>
      <c r="D206" s="2"/>
      <c r="E206" s="2"/>
      <c r="F206" s="2"/>
      <c r="G206" s="2"/>
      <c r="H206" s="2"/>
      <c r="I206" s="2"/>
      <c r="J206" s="330"/>
      <c r="K206" s="330"/>
      <c r="L206" s="330"/>
      <c r="M206" s="330"/>
    </row>
    <row r="207" spans="3:13" x14ac:dyDescent="0.15">
      <c r="C207" s="162" t="s">
        <v>95</v>
      </c>
      <c r="D207" s="2"/>
      <c r="E207" s="2"/>
      <c r="F207" s="2"/>
      <c r="G207" s="2"/>
      <c r="H207" s="2"/>
      <c r="I207" s="2"/>
      <c r="J207" s="330"/>
      <c r="K207" s="330"/>
      <c r="L207" s="330"/>
      <c r="M207" s="330"/>
    </row>
    <row r="208" spans="3:13" x14ac:dyDescent="0.15">
      <c r="C208" s="2"/>
      <c r="D208" s="2"/>
      <c r="E208" s="2"/>
      <c r="F208" s="2"/>
      <c r="G208" s="2"/>
      <c r="H208" s="2"/>
      <c r="I208" s="2"/>
      <c r="J208" s="330"/>
      <c r="K208" s="330"/>
      <c r="L208" s="330"/>
      <c r="M208" s="330"/>
    </row>
    <row r="209" spans="3:13" x14ac:dyDescent="0.15">
      <c r="C209" s="2"/>
      <c r="D209" s="2"/>
      <c r="E209" s="2"/>
      <c r="F209" s="2"/>
      <c r="G209" s="2"/>
      <c r="H209" s="2"/>
      <c r="I209" s="2"/>
      <c r="J209" s="330"/>
      <c r="K209" s="330"/>
      <c r="L209" s="330"/>
      <c r="M209" s="330"/>
    </row>
    <row r="210" spans="3:13" x14ac:dyDescent="0.15">
      <c r="C210" s="2"/>
      <c r="D210" s="2"/>
      <c r="E210" s="2"/>
      <c r="F210" s="2"/>
      <c r="G210" s="2"/>
      <c r="H210" s="2"/>
      <c r="I210" s="2"/>
      <c r="J210" s="330"/>
      <c r="K210" s="330"/>
      <c r="L210" s="330"/>
      <c r="M210" s="330"/>
    </row>
    <row r="211" spans="3:13" x14ac:dyDescent="0.15">
      <c r="C211" s="2"/>
      <c r="D211" s="2"/>
      <c r="E211" s="2"/>
      <c r="F211" s="2"/>
      <c r="G211" s="2"/>
      <c r="H211" s="2"/>
      <c r="I211" s="2"/>
      <c r="J211" s="330"/>
      <c r="K211" s="330"/>
      <c r="L211" s="330"/>
      <c r="M211" s="330"/>
    </row>
    <row r="212" spans="3:13" x14ac:dyDescent="0.15">
      <c r="C212" s="2"/>
      <c r="D212" s="2"/>
      <c r="E212" s="2"/>
      <c r="F212" s="2"/>
      <c r="G212" s="2"/>
      <c r="H212" s="2"/>
      <c r="I212" s="2"/>
      <c r="J212" s="330"/>
      <c r="K212" s="330"/>
      <c r="L212" s="330"/>
      <c r="M212" s="330"/>
    </row>
    <row r="213" spans="3:13" x14ac:dyDescent="0.15">
      <c r="C213" s="2"/>
      <c r="D213" s="2"/>
      <c r="E213" s="2"/>
      <c r="F213" s="2"/>
      <c r="G213" s="2"/>
      <c r="H213" s="2"/>
      <c r="I213" s="2"/>
      <c r="J213" s="330"/>
      <c r="K213" s="330"/>
      <c r="L213" s="330"/>
      <c r="M213" s="330"/>
    </row>
    <row r="214" spans="3:13" x14ac:dyDescent="0.15">
      <c r="C214" s="1"/>
      <c r="D214" s="2"/>
      <c r="E214" s="2"/>
      <c r="F214" s="2"/>
      <c r="G214" s="2"/>
      <c r="H214" s="2"/>
      <c r="I214" s="2"/>
      <c r="J214" s="330"/>
      <c r="K214" s="330"/>
      <c r="L214" s="330"/>
      <c r="M214" s="330"/>
    </row>
    <row r="215" spans="3:13" x14ac:dyDescent="0.15">
      <c r="C215" s="292"/>
      <c r="D215" s="2"/>
      <c r="E215" s="2"/>
      <c r="F215" s="2"/>
      <c r="G215" s="2"/>
      <c r="H215" s="2"/>
      <c r="I215" s="2"/>
      <c r="J215" s="330"/>
      <c r="K215" s="330"/>
      <c r="L215" s="330"/>
      <c r="M215" s="330"/>
    </row>
    <row r="216" spans="3:13" x14ac:dyDescent="0.15">
      <c r="C216" s="330"/>
      <c r="D216" s="330"/>
      <c r="E216" s="330"/>
      <c r="F216" s="330"/>
      <c r="G216" s="330"/>
      <c r="H216" s="330"/>
      <c r="I216" s="345"/>
      <c r="J216" s="345"/>
      <c r="K216" s="330"/>
      <c r="L216" s="330"/>
      <c r="M216" s="330"/>
    </row>
  </sheetData>
  <sheetProtection sheet="1" objects="1" scenarios="1"/>
  <phoneticPr fontId="121"/>
  <conditionalFormatting sqref="F6:F7 F39:F45 F21:F30 F98:F100 F105:F106 F9:F18">
    <cfRule type="cellIs" dxfId="19" priority="17" operator="equal">
      <formula>"in range"</formula>
    </cfRule>
  </conditionalFormatting>
  <conditionalFormatting sqref="F36:F37 F33:F34">
    <cfRule type="cellIs" dxfId="18" priority="16" operator="equal">
      <formula>"in range"</formula>
    </cfRule>
  </conditionalFormatting>
  <conditionalFormatting sqref="F6:F7 F39:F45 F36:F37 F21:F30 F33:F34 F98:F100 F105:F106 F9:F18">
    <cfRule type="cellIs" dxfId="17" priority="14" operator="equal">
      <formula>"too small"</formula>
    </cfRule>
    <cfRule type="cellIs" dxfId="16" priority="15" operator="equal">
      <formula>"too large"</formula>
    </cfRule>
  </conditionalFormatting>
  <conditionalFormatting sqref="F40">
    <cfRule type="cellIs" dxfId="15" priority="13" operator="equal">
      <formula>"in range"</formula>
    </cfRule>
  </conditionalFormatting>
  <conditionalFormatting sqref="F8">
    <cfRule type="cellIs" dxfId="14" priority="10" operator="equal">
      <formula>"In range"</formula>
    </cfRule>
    <cfRule type="cellIs" dxfId="13" priority="11" operator="equal">
      <formula>"too low"</formula>
    </cfRule>
    <cfRule type="cellIs" dxfId="12" priority="12" operator="equal">
      <formula>"too high"</formula>
    </cfRule>
  </conditionalFormatting>
  <conditionalFormatting sqref="F35">
    <cfRule type="cellIs" dxfId="11" priority="7" operator="equal">
      <formula>"In Range"</formula>
    </cfRule>
    <cfRule type="cellIs" dxfId="10" priority="8" operator="equal">
      <formula>"too high"</formula>
    </cfRule>
    <cfRule type="cellIs" dxfId="9" priority="9" operator="equal">
      <formula>"too low"</formula>
    </cfRule>
  </conditionalFormatting>
  <conditionalFormatting sqref="D22">
    <cfRule type="cellIs" dxfId="8" priority="6" operator="greaterThan">
      <formula>$D$21</formula>
    </cfRule>
  </conditionalFormatting>
  <conditionalFormatting sqref="F107">
    <cfRule type="expression" dxfId="7" priority="5">
      <formula>$D$109</formula>
    </cfRule>
  </conditionalFormatting>
  <conditionalFormatting sqref="D160">
    <cfRule type="cellIs" dxfId="6" priority="3" operator="greaterThan">
      <formula>42</formula>
    </cfRule>
    <cfRule type="cellIs" dxfId="5" priority="4" operator="greaterThan">
      <formula>40</formula>
    </cfRule>
  </conditionalFormatting>
  <conditionalFormatting sqref="E124">
    <cfRule type="expression" dxfId="4" priority="1">
      <formula>$D$39&lt;0</formula>
    </cfRule>
  </conditionalFormatting>
  <dataValidations count="28">
    <dataValidation type="list" allowBlank="1" showInputMessage="1" showErrorMessage="1" sqref="D21:D22">
      <formula1>$C$68:$C$75</formula1>
    </dataValidation>
    <dataValidation errorStyle="warning" allowBlank="1" showInputMessage="1" showErrorMessage="1" errorTitle="Invalid Reference Count" error="The LDC131x/161x minimum reference count is 48 and the maximum reference count is 1048560." sqref="D112"/>
    <dataValidation allowBlank="1" showInputMessage="1" showErrorMessage="1" errorTitle="Invalid RCount" error="Rcount is restricted to the range of 3 to 65535 (0x0003 to 0xFFFF)." sqref="D107"/>
    <dataValidation type="list" allowBlank="1" showInputMessage="1" showErrorMessage="1" sqref="E107">
      <formula1>"hex,decimal"</formula1>
    </dataValidation>
    <dataValidation type="list" allowBlank="1" showInputMessage="1" showErrorMessage="1" sqref="D98">
      <formula1>"192,384,768, 1536,3072,6144"</formula1>
    </dataValidation>
    <dataValidation type="decimal" errorStyle="warning" allowBlank="1" showInputMessage="1" showErrorMessage="1" errorTitle="Fref Invalid" error="This Reference frequency is outside the LDC1101 specified range of 1MHz to 16MHz." sqref="D101">
      <formula1>1</formula1>
      <formula2>16</formula2>
    </dataValidation>
    <dataValidation allowBlank="1" showInputMessage="1" showErrorMessage="1" errorTitle="Invalid Number of Channels" error="LDC1312 &amp; LDC1612 maximum setting is 2 channels. _x000a_LDC1314 &amp; LDC1614 maximum setting is 4 channels." sqref="D113:D116"/>
    <dataValidation type="decimal" allowBlank="1" showInputMessage="1" showErrorMessage="1" sqref="D157">
      <formula1>0</formula1>
      <formula2>D155</formula2>
    </dataValidation>
    <dataValidation type="list" allowBlank="1" showInputMessage="1" showErrorMessage="1" sqref="E169 E156 E158">
      <formula1>"Hex,decimal"</formula1>
    </dataValidation>
    <dataValidation errorStyle="warning" allowBlank="1" showInputMessage="1" showErrorMessage="1" errorTitle="Invalid Output Code" error="The output code entered exceeds the maximum output code for the device." sqref="D180"/>
    <dataValidation type="list" allowBlank="1" showInputMessage="1" showErrorMessage="1" sqref="E180">
      <formula1>"Hex,Decimal"</formula1>
    </dataValidation>
    <dataValidation type="whole" errorStyle="warning" allowBlank="1" showInputMessage="1" showErrorMessage="1" errorTitle="Invalid Output Code" error="The output code entered exceeds the maximum output code for the device." sqref="D181">
      <formula1>0</formula1>
      <formula2>#REF!</formula2>
    </dataValidation>
    <dataValidation type="list" allowBlank="1" showInputMessage="1" showErrorMessage="1" sqref="D177:D178">
      <formula1>$C$86:$C$117</formula1>
    </dataValidation>
    <dataValidation type="whole" allowBlank="1" showInputMessage="1" showErrorMessage="1" sqref="D169:D170 D159">
      <formula1>0</formula1>
      <formula2>20000000</formula2>
    </dataValidation>
    <dataValidation allowBlank="1" showInputMessage="1" showErrorMessage="1" errorTitle="Invalid Output Code" error="The output code must be between 0 and the full-scale output code." sqref="D156"/>
    <dataValidation errorStyle="warning" operator="lessThanOrEqual" allowBlank="1" showInputMessage="1" showErrorMessage="1" errorTitle="Frequency too High" error="The Multichannel LDC devices have a FIN divider between 1 and 15." sqref="D161"/>
    <dataValidation type="decimal" allowBlank="1" showInputMessage="1" showErrorMessage="1" errorTitle="Invalid setting" error="The Offset register programmed value can only be between 0 and 65535." sqref="D158">
      <formula1>0</formula1>
      <formula2>65535</formula2>
    </dataValidation>
    <dataValidation type="decimal" errorStyle="warning" operator="lessThanOrEqual" allowBlank="1" showInputMessage="1" showErrorMessage="1" errorTitle="Frequency too High" error="This exceeds the maximum CLKIN frequency." sqref="D160">
      <formula1>#REF!</formula1>
    </dataValidation>
    <dataValidation type="decimal" errorStyle="information" operator="greaterThan" allowBlank="1" showInputMessage="1" showErrorMessage="1" errorTitle="Low Sensor Capacitance" error="Sensor capacitances which are too low are not recommended, as parasitic effects may influence the measurement." sqref="D154 D173">
      <formula1>80</formula1>
    </dataValidation>
    <dataValidation type="decimal" errorStyle="warning" allowBlank="1" showInputMessage="1" showErrorMessage="1" errorTitle="Frequency too High" error="Entered frequency exceeds maximum specified Reference freuqency." sqref="D171">
      <formula1>1</formula1>
      <formula2>#REF!</formula2>
    </dataValidation>
    <dataValidation type="list" allowBlank="1" showInputMessage="1" showErrorMessage="1" sqref="D168">
      <formula1>"192,384,768,1536,3072,6144"</formula1>
    </dataValidation>
    <dataValidation type="list" allowBlank="1" showInputMessage="1" showErrorMessage="1" sqref="E12:E13">
      <formula1>"mm, mil"</formula1>
    </dataValidation>
    <dataValidation type="list" allowBlank="1" showInputMessage="1" showErrorMessage="1" sqref="D123">
      <formula1>"LHR,RP+L"</formula1>
    </dataValidation>
    <dataValidation type="decimal" errorStyle="information" allowBlank="1" showInputMessage="1" showErrorMessage="1" errorTitle="Sample Rate out of bounds" error="The sample rate is either extremely low - use the shutdown mode, or the sample rate needed cannot use the low power modes." sqref="D124">
      <formula1>0.1</formula1>
      <formula2>1000</formula2>
    </dataValidation>
    <dataValidation type="decimal" errorStyle="warning" allowBlank="1" showInputMessage="1" showErrorMessage="1" errorTitle="Sensor Frequency too high" error="The Sensor frequency cannot exceed the IC Max Frequency" sqref="D195">
      <formula1>#REF!</formula1>
      <formula2>#REF!</formula2>
    </dataValidation>
    <dataValidation type="decimal" allowBlank="1" showInputMessage="1" showErrorMessage="1" sqref="D193">
      <formula1>0.000001</formula1>
      <formula2>1</formula2>
    </dataValidation>
    <dataValidation type="list" allowBlank="1" showInputMessage="1" showErrorMessage="1" sqref="C9">
      <formula1>"Sensor Rs, Sensor Rp"</formula1>
    </dataValidation>
    <dataValidation type="list" allowBlank="1" showInputMessage="1" showErrorMessage="1" sqref="C149">
      <formula1>$C$126:$C$145</formula1>
    </dataValidation>
  </dataValidations>
  <hyperlinks>
    <hyperlink ref="H2" location="Contents!A1" display="Return to Main Page"/>
  </hyperlink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28</vt:i4>
      </vt:variant>
    </vt:vector>
  </HeadingPairs>
  <TitlesOfParts>
    <vt:vector size="41" baseType="lpstr">
      <vt:lpstr>Rev History</vt:lpstr>
      <vt:lpstr>Contents</vt:lpstr>
      <vt:lpstr>Spiral_Inductor_Designer</vt:lpstr>
      <vt:lpstr>LDC2114_Config_tool</vt:lpstr>
      <vt:lpstr>LDC0851_calc</vt:lpstr>
      <vt:lpstr>LDC131x-LDC161x_Config</vt:lpstr>
      <vt:lpstr>Encoder_Calc_Tool</vt:lpstr>
      <vt:lpstr>Dial_Calc_Tool</vt:lpstr>
      <vt:lpstr>LDC1101_Calc</vt:lpstr>
      <vt:lpstr>LDC1000_Tools</vt:lpstr>
      <vt:lpstr>SkinDepth</vt:lpstr>
      <vt:lpstr>Metal_Deflection</vt:lpstr>
      <vt:lpstr>Spring Sensor</vt:lpstr>
      <vt:lpstr>Metal_Deflection!abr_units</vt:lpstr>
      <vt:lpstr>Metal_Deflection!ac</vt:lpstr>
      <vt:lpstr>Metal_Deflection!alphap</vt:lpstr>
      <vt:lpstr>Metal_Deflection!alphau</vt:lpstr>
      <vt:lpstr>Metal_Deflection!ar</vt:lpstr>
      <vt:lpstr>Metal_Deflection!area</vt:lpstr>
      <vt:lpstr>Metal_Deflection!area_c</vt:lpstr>
      <vt:lpstr>Metal_Deflection!area_r</vt:lpstr>
      <vt:lpstr>Metal_Deflection!boa</vt:lpstr>
      <vt:lpstr>Metal_Deflection!br</vt:lpstr>
      <vt:lpstr>Metal_Deflection!D</vt:lpstr>
      <vt:lpstr>Metal_Deflection!Dc_units</vt:lpstr>
      <vt:lpstr>Metal_Deflection!E</vt:lpstr>
      <vt:lpstr>Metal_Deflection!F</vt:lpstr>
      <vt:lpstr>Metal_Deflection!force</vt:lpstr>
      <vt:lpstr>Metal_Deflection!h</vt:lpstr>
      <vt:lpstr>Metal_Deflection!h_units</vt:lpstr>
      <vt:lpstr>Metal_Deflection!mat</vt:lpstr>
      <vt:lpstr>LDC1101_Calc!Mega</vt:lpstr>
      <vt:lpstr>LDC1101_Calc!micro</vt:lpstr>
      <vt:lpstr>Metal_Deflection!nu</vt:lpstr>
      <vt:lpstr>LDC1101_Calc!pico</vt:lpstr>
      <vt:lpstr>Metal_Deflection!q</vt:lpstr>
      <vt:lpstr>Metal_Deflection!shape</vt:lpstr>
      <vt:lpstr>Metal_Deflection!wpkcp</vt:lpstr>
      <vt:lpstr>Metal_Deflection!wpkcu</vt:lpstr>
      <vt:lpstr>Metal_Deflection!wpkrp</vt:lpstr>
      <vt:lpstr>Metal_Deflection!wpkru</vt:lpstr>
    </vt:vector>
  </TitlesOfParts>
  <Company>Texas Instruments Incorporated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Oberhauser</dc:creator>
  <cp:lastModifiedBy>ACJ AED 設計電子 佐野 英樹 Sano Hideki</cp:lastModifiedBy>
  <dcterms:created xsi:type="dcterms:W3CDTF">2014-10-17T20:34:02Z</dcterms:created>
  <dcterms:modified xsi:type="dcterms:W3CDTF">2020-06-04T02:02:40Z</dcterms:modified>
</cp:coreProperties>
</file>