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503288326.HCAD\Downloads\"/>
    </mc:Choice>
  </mc:AlternateContent>
  <xr:revisionPtr revIDLastSave="0" documentId="13_ncr:1_{9C96F9D9-A96C-4C10-B609-FAEF73200626}" xr6:coauthVersionLast="47" xr6:coauthVersionMax="47" xr10:uidLastSave="{00000000-0000-0000-0000-000000000000}"/>
  <bookViews>
    <workbookView xWindow="-96" yWindow="-96" windowWidth="23232" windowHeight="13992" tabRatio="782" activeTab="3" xr2:uid="{00000000-000D-0000-FFFF-FFFF00000000}"/>
  </bookViews>
  <sheets>
    <sheet name="How to Use this sheet" sheetId="7" r:id="rId1"/>
    <sheet name="Pin Wise Checklist - RGZ" sheetId="2" r:id="rId2"/>
    <sheet name="RGZ Strap Tool" sheetId="15" r:id="rId3"/>
    <sheet name="Pin Wise Checklist - PAP" sheetId="14" r:id="rId4"/>
    <sheet name="Pic" sheetId="17" r:id="rId5"/>
    <sheet name="PAP Strap Tool" sheetId="16" r:id="rId6"/>
    <sheet name="Revision History" sheetId="10" r:id="rId7"/>
  </sheets>
  <definedNames>
    <definedName name="Crystal" localSheetId="3">'Pin Wise Checklist - PAP'!$D$91</definedName>
    <definedName name="Crystal">'Pin Wise Checklist - RGZ'!$D$81</definedName>
    <definedName name="CrystalPic" localSheetId="3">'Pin Wise Checklist - PAP'!$D$92</definedName>
    <definedName name="CrystalPic">'Pin Wise Checklist - RGZ'!$D$82</definedName>
    <definedName name="GMII">'Pin Wise Checklist - PAP'!$D$89</definedName>
    <definedName name="MII">'Pin Wise Checklist - PAP'!$D$90</definedName>
    <definedName name="Oscillator" localSheetId="3">'Pin Wise Checklist - PAP'!$D$93</definedName>
    <definedName name="Oscillator">'Pin Wise Checklist - RGZ'!$D$83</definedName>
    <definedName name="OscillatorPic" localSheetId="3">'Pin Wise Checklist - PAP'!$D$94</definedName>
    <definedName name="OscillatorPic">'Pin Wise Checklist - RGZ'!$D$84</definedName>
    <definedName name="Picture" localSheetId="3">INDIRECT('Pin Wise Checklist - PAP'!$B$88)</definedName>
    <definedName name="Picture" localSheetId="1">INDIRECT('Pin Wise Checklist - RGZ'!$B$79)</definedName>
    <definedName name="Picture2" localSheetId="3">INDIRECT('Pin Wise Checklist - PAP'!$B$91)</definedName>
    <definedName name="Picture2" localSheetId="1">INDIRECT('Pin Wise Checklist - RGZ'!$B$81)</definedName>
    <definedName name="Picture3" localSheetId="3">INDIRECT('Pin Wise Checklist - PAP'!$B$92)</definedName>
    <definedName name="Picture3" localSheetId="1">INDIRECT('Pin Wise Checklist - RGZ'!$B$82)</definedName>
    <definedName name="RGMII" localSheetId="3">'Pin Wise Checklist - PAP'!$D$88</definedName>
    <definedName name="RGMII">'Pin Wise Checklist - RGZ'!$D$79</definedName>
    <definedName name="SGMII" localSheetId="3">'Pin Wise Checklist - PAP'!$D$90</definedName>
    <definedName name="SGMII">'Pin Wise Checklist - RGZ'!$D$80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5" i="2" l="1"/>
  <c r="D21" i="14"/>
  <c r="B26" i="14"/>
  <c r="B30" i="2"/>
  <c r="F16" i="15" l="1"/>
  <c r="F9" i="16"/>
  <c r="G9" i="16" s="1"/>
  <c r="F15" i="16"/>
  <c r="H15" i="16" s="1"/>
  <c r="F23" i="16"/>
  <c r="E23" i="16"/>
  <c r="D23" i="16"/>
  <c r="C23" i="16"/>
  <c r="B23" i="16"/>
  <c r="F16" i="16"/>
  <c r="H16" i="16" s="1"/>
  <c r="F14" i="16"/>
  <c r="H14" i="16" s="1"/>
  <c r="F13" i="16"/>
  <c r="G13" i="16" s="1"/>
  <c r="F11" i="16"/>
  <c r="H11" i="16" s="1"/>
  <c r="F12" i="16"/>
  <c r="H12" i="16" s="1"/>
  <c r="F10" i="16"/>
  <c r="G10" i="16" s="1"/>
  <c r="G12" i="16" l="1"/>
  <c r="F7" i="16"/>
  <c r="G7" i="16" s="1"/>
  <c r="H9" i="16"/>
  <c r="G15" i="16"/>
  <c r="F8" i="16"/>
  <c r="G8" i="16" s="1"/>
  <c r="G16" i="16"/>
  <c r="G14" i="16"/>
  <c r="H13" i="16"/>
  <c r="G11" i="16"/>
  <c r="H10" i="16"/>
  <c r="C22" i="15"/>
  <c r="D22" i="15"/>
  <c r="E22" i="15"/>
  <c r="F22" i="15"/>
  <c r="D21" i="15"/>
  <c r="E21" i="15"/>
  <c r="F21" i="15"/>
  <c r="B24" i="15" s="1"/>
  <c r="C21" i="15"/>
  <c r="H16" i="15"/>
  <c r="F15" i="15"/>
  <c r="H15" i="15" s="1"/>
  <c r="F14" i="15"/>
  <c r="H14" i="15" s="1"/>
  <c r="F13" i="15"/>
  <c r="H13" i="15" s="1"/>
  <c r="F12" i="15"/>
  <c r="H12" i="15" s="1"/>
  <c r="F11" i="15"/>
  <c r="H11" i="15" s="1"/>
  <c r="F8" i="15"/>
  <c r="H8" i="15" s="1"/>
  <c r="F7" i="15"/>
  <c r="H7" i="15" s="1"/>
  <c r="C44" i="15"/>
  <c r="D44" i="15" s="1"/>
  <c r="C43" i="15"/>
  <c r="E43" i="15" s="1"/>
  <c r="C42" i="15"/>
  <c r="E42" i="15" s="1"/>
  <c r="C41" i="15"/>
  <c r="E41" i="15" s="1"/>
  <c r="C40" i="15"/>
  <c r="E40" i="15" s="1"/>
  <c r="C39" i="15"/>
  <c r="E39" i="15" s="1"/>
  <c r="C38" i="15"/>
  <c r="E38" i="15" s="1"/>
  <c r="C37" i="15"/>
  <c r="E37" i="15" s="1"/>
  <c r="D50" i="14"/>
  <c r="D49" i="14"/>
  <c r="D48" i="14"/>
  <c r="B50" i="14"/>
  <c r="B48" i="14"/>
  <c r="B49" i="14"/>
  <c r="D47" i="14"/>
  <c r="B47" i="14"/>
  <c r="B46" i="14"/>
  <c r="B45" i="14"/>
  <c r="B44" i="14"/>
  <c r="B43" i="14"/>
  <c r="D29" i="14"/>
  <c r="B29" i="14"/>
  <c r="D44" i="14"/>
  <c r="D45" i="14"/>
  <c r="D46" i="14"/>
  <c r="D43" i="14"/>
  <c r="B88" i="14"/>
  <c r="D26" i="14"/>
  <c r="D28" i="14"/>
  <c r="B28" i="14"/>
  <c r="D31" i="14"/>
  <c r="D32" i="14"/>
  <c r="D33" i="14"/>
  <c r="D30" i="14"/>
  <c r="D27" i="14"/>
  <c r="B33" i="14"/>
  <c r="B32" i="14"/>
  <c r="B31" i="14"/>
  <c r="B30" i="14"/>
  <c r="B27" i="14"/>
  <c r="B92" i="14"/>
  <c r="B91" i="14"/>
  <c r="B15" i="14"/>
  <c r="D14" i="14"/>
  <c r="B82" i="2"/>
  <c r="D35" i="2"/>
  <c r="B81" i="2"/>
  <c r="B19" i="2"/>
  <c r="D18" i="2"/>
  <c r="F9" i="15" l="1"/>
  <c r="F10" i="15"/>
  <c r="G11" i="15"/>
  <c r="H7" i="16"/>
  <c r="H8" i="16"/>
  <c r="D39" i="15"/>
  <c r="C24" i="15"/>
  <c r="E44" i="15"/>
  <c r="G14" i="15"/>
  <c r="D42" i="15"/>
  <c r="D37" i="15"/>
  <c r="G7" i="15"/>
  <c r="D40" i="15"/>
  <c r="G12" i="15"/>
  <c r="D43" i="15"/>
  <c r="G15" i="15"/>
  <c r="D38" i="15"/>
  <c r="G8" i="15"/>
  <c r="D41" i="15"/>
  <c r="G13" i="15"/>
  <c r="G16" i="15"/>
  <c r="D41" i="2"/>
  <c r="B79" i="2"/>
  <c r="H10" i="15" l="1"/>
  <c r="G10" i="15"/>
  <c r="H9" i="15"/>
  <c r="G9" i="15"/>
  <c r="D38" i="2"/>
  <c r="D37" i="2"/>
  <c r="D40" i="2"/>
  <c r="D39" i="2"/>
  <c r="D34" i="2"/>
  <c r="D31" i="2"/>
  <c r="D30" i="2"/>
  <c r="D36" i="2"/>
  <c r="D33" i="2"/>
  <c r="D32" i="2"/>
  <c r="B40" i="2"/>
  <c r="B39" i="2"/>
  <c r="B38" i="2"/>
  <c r="B37" i="2"/>
  <c r="B35" i="2"/>
  <c r="B34" i="2"/>
  <c r="B41" i="2"/>
  <c r="B36" i="2"/>
  <c r="B33" i="2"/>
  <c r="B32" i="2"/>
  <c r="B31" i="2"/>
</calcChain>
</file>

<file path=xl/sharedStrings.xml><?xml version="1.0" encoding="utf-8"?>
<sst xmlns="http://schemas.openxmlformats.org/spreadsheetml/2006/main" count="637" uniqueCount="285">
  <si>
    <t>Purpose</t>
  </si>
  <si>
    <t>Go thru the schematics checklist and ensure your design confirms to our guidelines</t>
  </si>
  <si>
    <t>Go thru the layout checklist and ensure your design confirms to layout guidelines</t>
  </si>
  <si>
    <t>If you still have questions/concerns on your design, fill all the sheets of this document</t>
  </si>
  <si>
    <t>OPTION 1</t>
  </si>
  <si>
    <t>PHY_AD[3]</t>
  </si>
  <si>
    <t>PHY_AD[2]</t>
  </si>
  <si>
    <t>PHY_AD[1]</t>
  </si>
  <si>
    <t>PHY_AD[0]</t>
  </si>
  <si>
    <t>ANEG Disable</t>
  </si>
  <si>
    <t>RGMII Skew RX [2]</t>
  </si>
  <si>
    <t>RGMII Skew RX [1]</t>
  </si>
  <si>
    <t>RGMII Skew RX [0]</t>
  </si>
  <si>
    <t>RGMII Skew TX [2]</t>
  </si>
  <si>
    <t>RGMII Skew TX [1]</t>
  </si>
  <si>
    <t>RGMII Skew TX [0]</t>
  </si>
  <si>
    <t>ANEG SEL</t>
  </si>
  <si>
    <t>Mirror Enable</t>
  </si>
  <si>
    <t>SGMII Enable</t>
  </si>
  <si>
    <t>Strap Resistors</t>
  </si>
  <si>
    <t>Strap Pin</t>
  </si>
  <si>
    <t>Strap Mode</t>
  </si>
  <si>
    <r>
      <t>Recommend Pull up (R</t>
    </r>
    <r>
      <rPr>
        <b/>
        <vertAlign val="subscript"/>
        <sz val="12"/>
        <color theme="1"/>
        <rFont val="Calibri"/>
        <family val="2"/>
        <scheme val="minor"/>
      </rPr>
      <t>H</t>
    </r>
    <r>
      <rPr>
        <b/>
        <sz val="12"/>
        <color theme="1"/>
        <rFont val="Calibri"/>
        <family val="2"/>
        <scheme val="minor"/>
      </rPr>
      <t>)</t>
    </r>
  </si>
  <si>
    <r>
      <t>Recommend Pull Down (R</t>
    </r>
    <r>
      <rPr>
        <b/>
        <vertAlign val="subscript"/>
        <sz val="12"/>
        <color theme="1"/>
        <rFont val="Calibri"/>
        <family val="2"/>
        <scheme val="minor"/>
      </rPr>
      <t>L</t>
    </r>
    <r>
      <rPr>
        <b/>
        <sz val="12"/>
        <color theme="1"/>
        <rFont val="Calibri"/>
        <family val="2"/>
        <scheme val="minor"/>
      </rPr>
      <t>)</t>
    </r>
  </si>
  <si>
    <t>RX_D0</t>
  </si>
  <si>
    <t>RX_D2</t>
  </si>
  <si>
    <t>RX_CTRL</t>
  </si>
  <si>
    <t>GPIO_0</t>
  </si>
  <si>
    <t>GPIO_1</t>
  </si>
  <si>
    <t>LED_2</t>
  </si>
  <si>
    <t>LED_1</t>
  </si>
  <si>
    <t>LED_0</t>
  </si>
  <si>
    <t>OPTION 2</t>
  </si>
  <si>
    <t>Hardware Configuration</t>
  </si>
  <si>
    <t>Feature Select</t>
  </si>
  <si>
    <t>Default Value</t>
  </si>
  <si>
    <t>PHY Address</t>
  </si>
  <si>
    <t>Enable</t>
  </si>
  <si>
    <t>0ns</t>
  </si>
  <si>
    <t>2.0ns</t>
  </si>
  <si>
    <t>10/100/1000</t>
  </si>
  <si>
    <t>Pull up</t>
  </si>
  <si>
    <t>Pull Down</t>
  </si>
  <si>
    <t>PHY ADDRESS</t>
  </si>
  <si>
    <t>Mode 1</t>
  </si>
  <si>
    <t>Open</t>
  </si>
  <si>
    <t>Mode 2</t>
  </si>
  <si>
    <r>
      <t>10k</t>
    </r>
    <r>
      <rPr>
        <sz val="12"/>
        <color theme="1"/>
        <rFont val="Calibri"/>
        <family val="2"/>
      </rPr>
      <t>Ω</t>
    </r>
  </si>
  <si>
    <t>2.49kΩ</t>
  </si>
  <si>
    <t>Mode 3</t>
  </si>
  <si>
    <t>5.76kΩ</t>
  </si>
  <si>
    <t>Mode 4</t>
  </si>
  <si>
    <t>Auto Neg Disable</t>
  </si>
  <si>
    <t>Disable</t>
  </si>
  <si>
    <t>RX SKEW</t>
  </si>
  <si>
    <t>1.5ns</t>
  </si>
  <si>
    <t>1.0ns</t>
  </si>
  <si>
    <t>0.5ns</t>
  </si>
  <si>
    <t>3.5ns</t>
  </si>
  <si>
    <t>3.0ns</t>
  </si>
  <si>
    <t>2.5ns</t>
  </si>
  <si>
    <t>ANEG_SEL _ TX Skew</t>
  </si>
  <si>
    <t>ANEG_SEL</t>
  </si>
  <si>
    <t>100/1000</t>
  </si>
  <si>
    <t>TX SKEW</t>
  </si>
  <si>
    <t>Mirror, SGMII</t>
  </si>
  <si>
    <t>Domain</t>
  </si>
  <si>
    <t>Items</t>
  </si>
  <si>
    <t>Recommended Connection</t>
  </si>
  <si>
    <t>Pictures</t>
  </si>
  <si>
    <t>Power</t>
  </si>
  <si>
    <t>VDDIO</t>
  </si>
  <si>
    <t>19, 30, 41</t>
  </si>
  <si>
    <t>VDDA2P5</t>
  </si>
  <si>
    <t>3, 9</t>
  </si>
  <si>
    <t>VDD1P0</t>
  </si>
  <si>
    <t>6, 24, 31, 42</t>
  </si>
  <si>
    <t>VDDA1P8</t>
  </si>
  <si>
    <t>13, 48</t>
  </si>
  <si>
    <t>GND</t>
  </si>
  <si>
    <t>Ground Pad</t>
  </si>
  <si>
    <t>RBIAS</t>
  </si>
  <si>
    <t xml:space="preserve">Connect a 11kohm 1% tolerance resistor between RBIAS pin and GND. </t>
  </si>
  <si>
    <t>LEDs</t>
  </si>
  <si>
    <t>GPIOs</t>
  </si>
  <si>
    <t>XI</t>
  </si>
  <si>
    <t>Serial Management Interface</t>
  </si>
  <si>
    <t>MDC</t>
  </si>
  <si>
    <t>MDIO</t>
  </si>
  <si>
    <t>Reset</t>
  </si>
  <si>
    <t>RESET_N</t>
  </si>
  <si>
    <t>Active-LOW input. This pin has a weak internal pullup. Asserting this pin LOW for at least 1 μs will force a reset process to occur. All internal registers will reinitialize to their default states as specified for each bit in the datasheet. All bootstrap pins are resampled upon deassertion of reset.</t>
  </si>
  <si>
    <t>Interrupt</t>
  </si>
  <si>
    <t>CLK_OUT</t>
  </si>
  <si>
    <t>Medium Dependent Interface (MDI)</t>
  </si>
  <si>
    <t>TD_P_A
TD_M_A
TD_P_B
TD_M_B
TD_P_C
TD_M_C
TD_P_D
TD_M_D</t>
  </si>
  <si>
    <t>JTAG</t>
  </si>
  <si>
    <t>JTAG_TCK</t>
  </si>
  <si>
    <t>Test Clock. This pin can be left unconnected if not used</t>
  </si>
  <si>
    <t>JTAG_TDO</t>
  </si>
  <si>
    <t>Test Data Output. This pin can be left unconnected if not used</t>
  </si>
  <si>
    <t>JTAG_TMS</t>
  </si>
  <si>
    <t>Test Mode Select. This pin can be left unconnected if not used</t>
  </si>
  <si>
    <t>JTAG_TDI</t>
  </si>
  <si>
    <t>Test Data Input. This pin can be left unconnected if not used</t>
  </si>
  <si>
    <t>Version</t>
  </si>
  <si>
    <t>Date</t>
  </si>
  <si>
    <t>List of Updates</t>
  </si>
  <si>
    <t>Author</t>
  </si>
  <si>
    <t>First Draft</t>
  </si>
  <si>
    <t>Aniruddha Khadye</t>
  </si>
  <si>
    <t>Added second option in strap tool</t>
  </si>
  <si>
    <t>Gerome Cacho</t>
  </si>
  <si>
    <t>IO Supply: 1.8 V, 2.5 V, or 3.3 V
Connect 0.1-µF, 1-µF ceramic decoupling capacitors near each pin; optional ferrite bead.
Connect 10nF, 10µF capacitor as well</t>
  </si>
  <si>
    <t>Analog Supply: 2.5 V
Connect 0.1-µF, 1-µF ceramic decoupling capacitors near each pin; optional ferrite bead.
Connect 10nF, 10µF capacitor as well</t>
  </si>
  <si>
    <t>Analog Supply: 1.0 V
Connect 0.1-µF, 1-µF ceramic decoupling capacitors near each pin; optional ferrite bead.
Connect 10nF, 10µF capacitor as well</t>
  </si>
  <si>
    <t>For 1.8V operation, BJT recommended for level shifting to 3.3V to provide enough forward voltage to turn on diode.
For any configuration requiring intermediate mode strapping, recommended to place voltage divider network parallel to LED with current limiting.</t>
  </si>
  <si>
    <t>GPIO configurable via Reg 0x172. Default COL
All 4 strap modes are applicable.</t>
  </si>
  <si>
    <t>Clock
(Crystal)</t>
  </si>
  <si>
    <t>This pin requires a pullup resistor between 1.5kΩ and 2.2kΩ due to open-drain.
Bidirectional</t>
  </si>
  <si>
    <t>RGMII</t>
  </si>
  <si>
    <t>SGMII</t>
  </si>
  <si>
    <t>1
2
4
5
7
8
10
11</t>
  </si>
  <si>
    <t>Required</t>
  </si>
  <si>
    <t>CLK_OUT is active by default and will output 25MHz clock. The output clock is configurable through register settings and can also be turned off. If unused, leave this pin floating. Suggested test point for quick test if PHY is active</t>
  </si>
  <si>
    <t>GPIO configurable via Reg 0x172. Default RX_ER
Only Mode 1 and 3 straps are applicable. Do not strap into Mode 2 and 4.</t>
  </si>
  <si>
    <t>Pin Associated
(S) if strap pin</t>
  </si>
  <si>
    <t>33
(S)</t>
  </si>
  <si>
    <t>35
(S)</t>
  </si>
  <si>
    <t>38
(S)</t>
  </si>
  <si>
    <t>39
(S)</t>
  </si>
  <si>
    <t>40
(S)</t>
  </si>
  <si>
    <t>45
(S)</t>
  </si>
  <si>
    <t>46
(S)</t>
  </si>
  <si>
    <t>47
(S)</t>
  </si>
  <si>
    <t>Keep option to isolate the digital ground from the MDI connector ground for EMC purposes</t>
  </si>
  <si>
    <t>Strap pin
Active polarity detection and correction depending on strap
Mode 1,2,3 is active high, mode 4 is active low. 
Default function indicates transmit/receive activity</t>
  </si>
  <si>
    <t>Strap pin
Active polarity detection and correction depending on strap
Mode 1,2,3 is active high, mode 4 is active low
Default function indicates 1000BASE-T Link</t>
  </si>
  <si>
    <t>Strap pin
Active polarity detection and correction depending on strap
Mode 1,2,3 is active high, mode 4 is active low
Default function indicates link</t>
  </si>
  <si>
    <t>Optional Analog Supply: 1.8V
In triple supply mode, connect 0.1-µF, 1-µF ceramic decoupling capacitors near each pin; optional ferrite bead. Connect 10nF, 10µF capacitor as well
In dual supply mode, these pins should be left floating. They should not even be connected to each other.</t>
  </si>
  <si>
    <t>Four differential channels for 1Gbps operation/2 channels for 10/100Mbps
Route to magnetics; ensuring that each channel has individual center taps with 100nF decoupling
Magnetics should meet PHY requirements (Insertion Loss, Return Loss, Turns Ratio)</t>
  </si>
  <si>
    <t>Customer Questions 
(If Any)</t>
  </si>
  <si>
    <t>Clock
(Oscillator)</t>
  </si>
  <si>
    <t>23, 41, 57</t>
  </si>
  <si>
    <t>MII</t>
  </si>
  <si>
    <t>GMII</t>
  </si>
  <si>
    <t>TX_D3</t>
  </si>
  <si>
    <t>TX_D2</t>
  </si>
  <si>
    <t>TX_D1</t>
  </si>
  <si>
    <t>TX_D0</t>
  </si>
  <si>
    <t>Transmit Data</t>
  </si>
  <si>
    <t>RX_CLK</t>
  </si>
  <si>
    <t>Receive Clock
2.5MHz for 10Mbps, 25MHz for 100Mbps, 125MHz for 1000Mbps</t>
  </si>
  <si>
    <t>RX_D1</t>
  </si>
  <si>
    <t>RX_D3</t>
  </si>
  <si>
    <t>Receive Data</t>
  </si>
  <si>
    <t>RX_D4</t>
  </si>
  <si>
    <t>RX_D5</t>
  </si>
  <si>
    <t>RX_D6</t>
  </si>
  <si>
    <t>RX_D7</t>
  </si>
  <si>
    <t>INT_N/PWDN</t>
  </si>
  <si>
    <t>Power Down</t>
  </si>
  <si>
    <t>2
3
5
6
10
11
13
14</t>
  </si>
  <si>
    <t>4, 12</t>
  </si>
  <si>
    <t>VDD1P1</t>
  </si>
  <si>
    <t>Analog Supply: 1.1 V
Connect 0.1-µF, 1-µF ceramic decoupling capacitors near each pin; optional ferrite bead.
Connect 10nF, 10µF capacitor as well</t>
  </si>
  <si>
    <t>8, 29, 42, 58</t>
  </si>
  <si>
    <t>17, 64</t>
  </si>
  <si>
    <t>44
(S)</t>
  </si>
  <si>
    <t>48
(S)</t>
  </si>
  <si>
    <t>49
(S)</t>
  </si>
  <si>
    <t>50
(S)</t>
  </si>
  <si>
    <t>51
(S)</t>
  </si>
  <si>
    <t>53
(S)</t>
  </si>
  <si>
    <t>56
(S)</t>
  </si>
  <si>
    <t>62
(S)</t>
  </si>
  <si>
    <t>63
(S)</t>
  </si>
  <si>
    <t>Customer Input</t>
  </si>
  <si>
    <t>Serial Management Interface (SMI)</t>
  </si>
  <si>
    <t>Connect to host driving the SMI clock for PHY register programming. No pullup required
Input to PHY</t>
  </si>
  <si>
    <t>Reg 0x6E</t>
  </si>
  <si>
    <t>Reg 0x6F</t>
  </si>
  <si>
    <t>A</t>
  </si>
  <si>
    <t>B</t>
  </si>
  <si>
    <t>C</t>
  </si>
  <si>
    <t>D</t>
  </si>
  <si>
    <t>E</t>
  </si>
  <si>
    <t>F</t>
  </si>
  <si>
    <t>Hex to Bin 6E</t>
  </si>
  <si>
    <t>Hex to Bin 6F</t>
  </si>
  <si>
    <t>Auto-MDIX
MAC Interface</t>
  </si>
  <si>
    <t>MDI/X (Don't Care if Auto-MDIX enabled)
Duplex (Don't Care if Auto-Negotiation enabled)</t>
  </si>
  <si>
    <t>Auto-Negotiation</t>
  </si>
  <si>
    <t>RX_CTRL/RX_DV</t>
  </si>
  <si>
    <t>Fast Link Drop</t>
  </si>
  <si>
    <t>CRS</t>
  </si>
  <si>
    <t>Auto-Negotiation Advertisements 
(Don't Care if Auto-Negotiation is disabled)</t>
  </si>
  <si>
    <t>Port Mirroring</t>
  </si>
  <si>
    <t>Enabled</t>
  </si>
  <si>
    <t>MDI
Full Duplex</t>
  </si>
  <si>
    <t>MDI
Half Duplex</t>
  </si>
  <si>
    <t>MDIX
Full Duplex</t>
  </si>
  <si>
    <t>MDIX
Half Duplex</t>
  </si>
  <si>
    <t>Enabled
RGMII</t>
  </si>
  <si>
    <t>Disabled
RGMII</t>
  </si>
  <si>
    <t>Enabled
GMII</t>
  </si>
  <si>
    <t>Disabled
GMII</t>
  </si>
  <si>
    <t>Speed Optimization (0x14[9])
CLK OUT (0x170[6])</t>
  </si>
  <si>
    <t>Disabled
Enabled</t>
  </si>
  <si>
    <t>Disabled
Disabled</t>
  </si>
  <si>
    <t>Enabled
Disabled</t>
  </si>
  <si>
    <t>Enabled
Enabled</t>
  </si>
  <si>
    <t>Disabled</t>
  </si>
  <si>
    <t>10/100</t>
  </si>
  <si>
    <t>Bit4</t>
  </si>
  <si>
    <t>Bit3</t>
  </si>
  <si>
    <t>Bit2</t>
  </si>
  <si>
    <t>Bit1</t>
  </si>
  <si>
    <t>BIT0</t>
  </si>
  <si>
    <r>
      <t xml:space="preserve">RESERVED
</t>
    </r>
    <r>
      <rPr>
        <b/>
        <sz val="12"/>
        <color theme="1"/>
        <rFont val="Calibri"/>
        <family val="2"/>
        <scheme val="minor"/>
      </rPr>
      <t>Must strap to mode 3 or 4</t>
    </r>
  </si>
  <si>
    <r>
      <t xml:space="preserve">Enable
</t>
    </r>
    <r>
      <rPr>
        <b/>
        <sz val="12"/>
        <color theme="1"/>
        <rFont val="Calibri"/>
        <family val="2"/>
        <scheme val="minor"/>
      </rPr>
      <t>Must strap into Mode 3 or 4</t>
    </r>
  </si>
  <si>
    <t>Auto-Negotiation Advertisements</t>
  </si>
  <si>
    <t>RGMII RX Clock Skew
(N/A if using MII or SGMII)</t>
  </si>
  <si>
    <t>RGMII TX Clock Skew
(N/A if using MII or SGMII)</t>
  </si>
  <si>
    <t>Mirror Mode
MAC Interface</t>
  </si>
  <si>
    <t>Mirror Disable
RGMII</t>
  </si>
  <si>
    <t>Mirror Disable
SGMII</t>
  </si>
  <si>
    <t>Mirror Enable
RGMII</t>
  </si>
  <si>
    <t>Mirror Enable
SGMII</t>
  </si>
  <si>
    <t>Customer Questions</t>
  </si>
  <si>
    <t>Create your design using TI PHY, referencing datasheet, EVM, and reference designs (if applicable)</t>
  </si>
  <si>
    <t>Design Process</t>
  </si>
  <si>
    <t>Use EVM design files along with Layout User Guidelines for layout</t>
  </si>
  <si>
    <t>Section Instructions</t>
  </si>
  <si>
    <t>Pin Wise Checklist - XXX</t>
  </si>
  <si>
    <t>This sheet also provides checking for multiple configurations of clock and MAC interface. All configurable cells with dropdowns are painted in orange.</t>
  </si>
  <si>
    <t>TI Feedback</t>
  </si>
  <si>
    <t>This sheet provides recommended connection for each pin. Please enter your inputs in Column "G" with yes and no via dropdown menu. If menu is not immediately seen, you may either type "yes" or "no" or click to right of cell to toggle dropdown. This will clear the yellow cell fill. If you have any questions, please write them in column "H"</t>
  </si>
  <si>
    <t>This sheet provides recommended strap network for each strap pin</t>
  </si>
  <si>
    <t>Added PAP package support; Refreshed RGZ support
Introduced SGMII Strap Load balancing</t>
  </si>
  <si>
    <t>For option 1, please input the desired configuration via drop-down menu in orange</t>
  </si>
  <si>
    <t>The desired strap configuration for the relevant pins would be revealed in green cell</t>
  </si>
  <si>
    <t>XXX Strap Tool</t>
  </si>
  <si>
    <t>General</t>
  </si>
  <si>
    <t>For option 2 (if applicable), please input 1 or 0 into desired field in blue</t>
  </si>
  <si>
    <t>The purpose of Ethernet Customer Design Process is to ensure that your board follows the guidelines provided by TI. This document is intended to enable customer-led schematic reviews using the knowledge base of TI's Ethernet team in the form of the best practices guidelines in the following sheets.</t>
  </si>
  <si>
    <t>If there are any concerns, typos, or questions about the functionality of this excel document. Please feel free to contact your local TI contact.</t>
  </si>
  <si>
    <t>Submit to your FAE or on E2E.ti.com to review with all information complete</t>
  </si>
  <si>
    <t>Pic 1</t>
  </si>
  <si>
    <t>Refer Pic 1</t>
  </si>
  <si>
    <t>Pic 2</t>
  </si>
  <si>
    <t>Pic 3</t>
  </si>
  <si>
    <t>Refer Pic 2</t>
  </si>
  <si>
    <t>Refer Pic 3</t>
  </si>
  <si>
    <t>Floating</t>
  </si>
  <si>
    <t>All GND's are directly  connected with Digital GND.</t>
  </si>
  <si>
    <t>Pic 4</t>
  </si>
  <si>
    <t>Refer Pic 4</t>
  </si>
  <si>
    <t>Pic 5</t>
  </si>
  <si>
    <t>Refer Pic 5</t>
  </si>
  <si>
    <t>In our design, We have used GMII mode.</t>
  </si>
  <si>
    <t>Pic 6</t>
  </si>
  <si>
    <t>Refer Pic 6</t>
  </si>
  <si>
    <t>Pic 7</t>
  </si>
  <si>
    <t>Refer Pic 7</t>
  </si>
  <si>
    <t>Pic 8</t>
  </si>
  <si>
    <t>Refer Pic 8</t>
  </si>
  <si>
    <t>Pic 9</t>
  </si>
  <si>
    <t>Refer Pic 9</t>
  </si>
  <si>
    <t>Direct connection.</t>
  </si>
  <si>
    <t>Pic 10</t>
  </si>
  <si>
    <t>X_I is configured from another FGPA.
Refer Pic 6</t>
  </si>
  <si>
    <t>Looks Good</t>
  </si>
  <si>
    <t>Sounds good</t>
  </si>
  <si>
    <t>Understood</t>
  </si>
  <si>
    <t>Looks good</t>
  </si>
  <si>
    <t>Please confirm if FPGA clk source is at 1.8V, if not, please refer to Capacitor divider circuit in cell E15.</t>
  </si>
  <si>
    <t xml:space="preserve">What does Direct connection mean in this context? This is one of the main portions of the schematic to review and it is not included in the schematic picture provided in the 'Pic' tab.
Ensure the chosen Magnetic component matches the circuit and meets the specs pictured in cell E24 </t>
  </si>
  <si>
    <r>
      <t>Currently this pin is strapped to Mode 4 (RGMII &amp; AMDIX Disable). Is this intended? Would recommend keeping AMDIX enabled. Consider strapping into Mode 3 (change R453 to 5.76k</t>
    </r>
    <r>
      <rPr>
        <sz val="12"/>
        <color theme="1"/>
        <rFont val="Calibri"/>
        <family val="2"/>
      </rPr>
      <t xml:space="preserve">Ω &amp; R454 to 2.49kΩ) </t>
    </r>
  </si>
  <si>
    <t>Comment from GE Healthcare
June-12</t>
  </si>
  <si>
    <t>Comment from GE Healthcare
June-17</t>
  </si>
  <si>
    <t>In our project, FPGA source was connected 3.3V bank. So, We will add CD1 &amp; CD2 as per your comment.</t>
  </si>
  <si>
    <t>Refer Pic 11</t>
  </si>
  <si>
    <t>Pic 11</t>
  </si>
  <si>
    <t>Okay, We will update as per your 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</si>
</sst>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vertAlign val="subscript"/>
      <sz val="12"/>
      <color theme="1"/>
      <name val="Calibri"/>
      <family val="2"/>
      <scheme val="minor"/>
    </font>
    <font>
      <sz val="12"/>
      <color theme="1"/>
      <name val="Calibri"/>
      <family val="2"/>
    </font>
    <font>
      <b/>
      <sz val="16"/>
      <color theme="1"/>
      <name val="Calibri"/>
      <family val="2"/>
      <scheme val="minor"/>
    </font>
    <font>
      <b/>
      <u/>
      <sz val="22"/>
      <color theme="10"/>
      <name val="Calibri"/>
      <family val="2"/>
      <scheme val="minor"/>
    </font>
    <font>
      <b/>
      <sz val="22"/>
      <color theme="1"/>
      <name val="Calibri"/>
      <family val="2"/>
      <scheme val="minor"/>
    </font>
    <font>
      <b/>
      <u/>
      <sz val="22"/>
      <color theme="4"/>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59999389629810485"/>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DFF0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4">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 fillId="0" borderId="0"/>
    <xf numFmtId="0" fontId="1" fillId="0" borderId="0"/>
    <xf numFmtId="0" fontId="4" fillId="0" borderId="0" applyNumberFormat="0" applyFill="0" applyBorder="0" applyAlignment="0" applyProtection="0"/>
  </cellStyleXfs>
  <cellXfs count="119">
    <xf numFmtId="0" fontId="0" fillId="0" borderId="0" xfId="0"/>
    <xf numFmtId="0" fontId="6" fillId="5" borderId="1" xfId="0" applyFont="1" applyFill="1" applyBorder="1" applyAlignment="1">
      <alignment horizontal="center" vertical="center"/>
    </xf>
    <xf numFmtId="0" fontId="6" fillId="5" borderId="1" xfId="0" applyFont="1" applyFill="1" applyBorder="1" applyAlignment="1">
      <alignment horizontal="center" vertical="center" wrapText="1"/>
    </xf>
    <xf numFmtId="0" fontId="8" fillId="0" borderId="0" xfId="0" applyFont="1"/>
    <xf numFmtId="0" fontId="0" fillId="0" borderId="1" xfId="0" applyBorder="1" applyAlignment="1">
      <alignment horizontal="center"/>
    </xf>
    <xf numFmtId="0" fontId="8" fillId="0" borderId="0" xfId="0" applyFont="1" applyAlignment="1">
      <alignment vertical="center" wrapText="1"/>
    </xf>
    <xf numFmtId="0" fontId="8" fillId="0" borderId="0" xfId="0" applyFont="1" applyAlignment="1">
      <alignment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6" borderId="1" xfId="0" applyFill="1" applyBorder="1" applyAlignment="1">
      <alignment horizontal="center" vertical="center"/>
    </xf>
    <xf numFmtId="0" fontId="0" fillId="0" borderId="1" xfId="0" applyBorder="1" applyAlignment="1">
      <alignment wrapText="1"/>
    </xf>
    <xf numFmtId="0" fontId="0" fillId="0" borderId="0" xfId="0" applyAlignment="1">
      <alignment wrapText="1"/>
    </xf>
    <xf numFmtId="0" fontId="3" fillId="0" borderId="1" xfId="0" applyFont="1" applyBorder="1" applyAlignment="1">
      <alignment wrapText="1"/>
    </xf>
    <xf numFmtId="0" fontId="0" fillId="7" borderId="1" xfId="0" applyFill="1" applyBorder="1" applyAlignment="1">
      <alignment horizontal="center"/>
    </xf>
    <xf numFmtId="0" fontId="3" fillId="8" borderId="1" xfId="0" applyFont="1" applyFill="1" applyBorder="1" applyAlignment="1">
      <alignment wrapText="1"/>
    </xf>
    <xf numFmtId="0" fontId="0" fillId="4" borderId="1" xfId="0" applyFill="1" applyBorder="1" applyAlignment="1">
      <alignment wrapText="1"/>
    </xf>
    <xf numFmtId="14" fontId="0" fillId="0" borderId="1" xfId="0" applyNumberFormat="1" applyBorder="1" applyAlignment="1">
      <alignment horizontal="center"/>
    </xf>
    <xf numFmtId="0" fontId="0" fillId="2" borderId="1" xfId="0" applyFill="1" applyBorder="1" applyAlignment="1">
      <alignment horizontal="center"/>
    </xf>
    <xf numFmtId="0" fontId="0" fillId="0" borderId="1" xfId="0" applyBorder="1" applyAlignment="1">
      <alignment vertical="center"/>
    </xf>
    <xf numFmtId="0" fontId="0" fillId="9" borderId="1" xfId="0" applyFill="1" applyBorder="1" applyAlignment="1">
      <alignment horizontal="center" vertical="center"/>
    </xf>
    <xf numFmtId="0" fontId="0" fillId="0" borderId="0" xfId="0" applyBorder="1"/>
    <xf numFmtId="0" fontId="0" fillId="0" borderId="0" xfId="0" applyBorder="1" applyAlignment="1">
      <alignment horizontal="center" vertic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0" xfId="0" applyBorder="1" applyAlignment="1">
      <alignment vertical="center"/>
    </xf>
    <xf numFmtId="0" fontId="0" fillId="12" borderId="1" xfId="0" applyFill="1" applyBorder="1" applyAlignment="1">
      <alignment horizontal="center" vertical="center" wrapText="1"/>
    </xf>
    <xf numFmtId="0" fontId="0" fillId="0" borderId="1" xfId="0" applyFill="1" applyBorder="1" applyAlignment="1">
      <alignment horizontal="center" vertical="center"/>
    </xf>
    <xf numFmtId="0" fontId="0" fillId="9" borderId="1" xfId="0" applyFill="1" applyBorder="1" applyAlignment="1">
      <alignment vertical="center" wrapText="1"/>
    </xf>
    <xf numFmtId="0" fontId="0" fillId="0" borderId="1" xfId="0" applyBorder="1" applyAlignment="1" applyProtection="1">
      <alignment horizontal="center" vertical="center" wrapText="1"/>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9" borderId="1" xfId="0" applyFill="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wrapText="1"/>
    </xf>
    <xf numFmtId="0" fontId="0" fillId="0" borderId="0" xfId="0" applyAlignment="1">
      <alignment horizontal="center"/>
    </xf>
    <xf numFmtId="0" fontId="0" fillId="0" borderId="1" xfId="0" applyBorder="1" applyAlignment="1">
      <alignment horizontal="center" vertical="center" wrapText="1"/>
    </xf>
    <xf numFmtId="0" fontId="0" fillId="11" borderId="1" xfId="0" applyFill="1" applyBorder="1" applyAlignment="1">
      <alignment horizontal="center" vertical="center"/>
    </xf>
    <xf numFmtId="0" fontId="3" fillId="0" borderId="0" xfId="0" applyFont="1" applyBorder="1" applyAlignment="1">
      <alignment horizontal="center" wrapText="1"/>
    </xf>
    <xf numFmtId="0" fontId="0" fillId="0" borderId="0" xfId="0" applyFill="1" applyBorder="1" applyAlignment="1">
      <alignment horizontal="center" wrapText="1"/>
    </xf>
    <xf numFmtId="0" fontId="0" fillId="2" borderId="1" xfId="0" applyFill="1" applyBorder="1"/>
    <xf numFmtId="0" fontId="3" fillId="8" borderId="1" xfId="0" applyFont="1" applyFill="1" applyBorder="1" applyAlignment="1">
      <alignment horizontal="center" wrapText="1"/>
    </xf>
    <xf numFmtId="0" fontId="0" fillId="11" borderId="0" xfId="0" applyFill="1" applyBorder="1" applyAlignment="1">
      <alignment horizontal="center" wrapText="1"/>
    </xf>
    <xf numFmtId="0" fontId="3" fillId="0" borderId="1" xfId="0" applyFont="1" applyBorder="1" applyAlignment="1">
      <alignment horizontal="center" vertical="center" wrapText="1"/>
    </xf>
    <xf numFmtId="0" fontId="3" fillId="8"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0" fillId="11" borderId="1" xfId="0" applyFill="1" applyBorder="1" applyAlignment="1">
      <alignment horizontal="center" vertical="center" wrapText="1"/>
    </xf>
    <xf numFmtId="0" fontId="3" fillId="0" borderId="2"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wrapText="1"/>
    </xf>
    <xf numFmtId="0" fontId="0" fillId="0" borderId="0" xfId="0" applyAlignment="1"/>
    <xf numFmtId="0" fontId="0" fillId="4" borderId="1" xfId="0" applyFill="1" applyBorder="1" applyAlignment="1">
      <alignment horizontal="center"/>
    </xf>
    <xf numFmtId="0" fontId="8" fillId="0" borderId="1" xfId="0" applyFont="1" applyBorder="1"/>
    <xf numFmtId="0" fontId="8" fillId="0" borderId="1" xfId="0" applyFont="1" applyBorder="1" applyAlignment="1">
      <alignment wrapText="1"/>
    </xf>
    <xf numFmtId="0" fontId="8" fillId="0" borderId="1" xfId="0" applyFont="1" applyBorder="1" applyAlignment="1">
      <alignment horizontal="left" vertical="center" wrapText="1"/>
    </xf>
    <xf numFmtId="0" fontId="7" fillId="0" borderId="1" xfId="0" applyFont="1" applyFill="1" applyBorder="1" applyAlignment="1">
      <alignment horizontal="left" vertical="center"/>
    </xf>
    <xf numFmtId="0" fontId="8" fillId="0" borderId="0" xfId="0" applyFont="1" applyFill="1" applyAlignment="1">
      <alignment horizontal="left" vertical="center"/>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1" xfId="0" applyFont="1" applyFill="1" applyBorder="1" applyAlignment="1">
      <alignment horizontal="left" vertical="center"/>
    </xf>
    <xf numFmtId="0" fontId="7" fillId="0" borderId="0" xfId="0" applyFont="1" applyFill="1" applyAlignment="1">
      <alignment horizontal="left" vertical="center"/>
    </xf>
    <xf numFmtId="0" fontId="8" fillId="2" borderId="1" xfId="0" applyFont="1" applyFill="1" applyBorder="1" applyAlignment="1">
      <alignment horizontal="left" vertical="center" wrapText="1"/>
    </xf>
    <xf numFmtId="0" fontId="8" fillId="11"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0" fillId="0" borderId="0" xfId="0" applyBorder="1" applyAlignment="1">
      <alignment wrapText="1"/>
    </xf>
    <xf numFmtId="0" fontId="3" fillId="5" borderId="1" xfId="0" applyFont="1" applyFill="1" applyBorder="1" applyAlignment="1">
      <alignment horizontal="center" vertical="center" wrapText="1"/>
    </xf>
    <xf numFmtId="0" fontId="3" fillId="5" borderId="1" xfId="0" applyFont="1" applyFill="1" applyBorder="1" applyAlignment="1">
      <alignment vertical="center" wrapText="1"/>
    </xf>
    <xf numFmtId="0" fontId="8" fillId="7" borderId="1" xfId="0" applyFont="1" applyFill="1" applyBorder="1" applyAlignment="1">
      <alignment horizontal="left" vertical="center" wrapText="1"/>
    </xf>
    <xf numFmtId="0" fontId="11" fillId="2" borderId="1" xfId="0" applyFont="1" applyFill="1" applyBorder="1"/>
    <xf numFmtId="0" fontId="12" fillId="0" borderId="1" xfId="23"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3" fillId="0" borderId="0" xfId="0" applyFont="1" applyBorder="1"/>
    <xf numFmtId="0" fontId="3" fillId="0" borderId="0" xfId="0" applyFont="1" applyBorder="1" applyAlignment="1">
      <alignment horizontal="center" vertical="center" wrapText="1"/>
    </xf>
    <xf numFmtId="0" fontId="13" fillId="4" borderId="1" xfId="0" applyFont="1" applyFill="1" applyBorder="1" applyAlignment="1">
      <alignment horizontal="center" vertical="center" wrapText="1"/>
    </xf>
    <xf numFmtId="0" fontId="12" fillId="0" borderId="1" xfId="23" applyFont="1" applyBorder="1" applyAlignment="1">
      <alignment horizontal="center" vertical="center" wrapText="1"/>
    </xf>
    <xf numFmtId="0" fontId="0" fillId="0" borderId="1" xfId="0" applyBorder="1" applyAlignment="1">
      <alignment vertical="center" wrapText="1"/>
    </xf>
    <xf numFmtId="0" fontId="0" fillId="0" borderId="0" xfId="0" applyBorder="1" applyAlignment="1">
      <alignment vertical="center" wrapText="1"/>
    </xf>
    <xf numFmtId="0" fontId="14" fillId="0" borderId="1" xfId="0" applyFont="1" applyBorder="1" applyAlignment="1">
      <alignment horizontal="center" vertical="center" wrapText="1"/>
    </xf>
    <xf numFmtId="0" fontId="8" fillId="0" borderId="1" xfId="0" applyFont="1" applyFill="1" applyBorder="1" applyAlignment="1">
      <alignment horizontal="left" vertical="center"/>
    </xf>
    <xf numFmtId="0" fontId="8" fillId="0" borderId="2" xfId="0" applyFont="1" applyFill="1" applyBorder="1" applyAlignment="1">
      <alignment horizontal="left" vertical="center"/>
    </xf>
    <xf numFmtId="0" fontId="8" fillId="0" borderId="3" xfId="0" applyFont="1" applyFill="1" applyBorder="1" applyAlignment="1">
      <alignment horizontal="left" vertical="center"/>
    </xf>
    <xf numFmtId="0" fontId="8" fillId="0" borderId="4" xfId="0" applyFont="1" applyFill="1" applyBorder="1" applyAlignment="1">
      <alignment horizontal="left" vertical="center"/>
    </xf>
    <xf numFmtId="0" fontId="0" fillId="9" borderId="1" xfId="0" applyFill="1" applyBorder="1" applyAlignment="1">
      <alignment horizontal="center" vertical="center"/>
    </xf>
    <xf numFmtId="0" fontId="0" fillId="10" borderId="0" xfId="0" applyFill="1" applyBorder="1" applyAlignment="1">
      <alignment horizontal="center" vertical="center"/>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wrapText="1"/>
    </xf>
    <xf numFmtId="0" fontId="0" fillId="9" borderId="1" xfId="0" applyFill="1" applyBorder="1" applyAlignment="1">
      <alignment horizontal="center" vertical="center" wrapText="1"/>
    </xf>
    <xf numFmtId="0" fontId="0" fillId="0" borderId="1" xfId="0" applyBorder="1" applyAlignment="1">
      <alignment horizontal="center" wrapText="1"/>
    </xf>
    <xf numFmtId="0" fontId="0" fillId="0" borderId="1" xfId="0" applyBorder="1" applyAlignment="1">
      <alignment horizontal="center" vertical="center"/>
    </xf>
    <xf numFmtId="0" fontId="0" fillId="11" borderId="1" xfId="0" applyFill="1" applyBorder="1" applyAlignment="1">
      <alignment horizontal="center" vertical="center" wrapText="1"/>
    </xf>
    <xf numFmtId="0" fontId="0" fillId="11" borderId="1" xfId="0" applyFill="1" applyBorder="1" applyAlignment="1">
      <alignment horizontal="center" vertical="center"/>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0" fillId="11" borderId="2" xfId="0" applyFill="1" applyBorder="1" applyAlignment="1">
      <alignment horizontal="center" vertical="center" wrapText="1"/>
    </xf>
    <xf numFmtId="0" fontId="0" fillId="11" borderId="3" xfId="0" applyFill="1" applyBorder="1" applyAlignment="1">
      <alignment horizontal="center" vertical="center" wrapText="1"/>
    </xf>
    <xf numFmtId="0" fontId="0" fillId="11" borderId="4" xfId="0" applyFill="1" applyBorder="1" applyAlignment="1">
      <alignment horizontal="center" vertical="center" wrapText="1"/>
    </xf>
    <xf numFmtId="0" fontId="0" fillId="0" borderId="0" xfId="0"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0" fillId="9" borderId="2" xfId="0" applyFill="1" applyBorder="1" applyAlignment="1">
      <alignment horizontal="center" vertical="center"/>
    </xf>
    <xf numFmtId="0" fontId="0" fillId="9" borderId="4" xfId="0" applyFill="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cellXfs>
  <cellStyles count="24">
    <cellStyle name="Followed Hyperlink" xfId="10" builtinId="9" hidden="1"/>
    <cellStyle name="Followed Hyperlink" xfId="12" builtinId="9" hidden="1"/>
    <cellStyle name="Followed Hyperlink" xfId="16" builtinId="9" hidden="1"/>
    <cellStyle name="Followed Hyperlink" xfId="18" builtinId="9" hidden="1"/>
    <cellStyle name="Followed Hyperlink" xfId="20" builtinId="9" hidden="1"/>
    <cellStyle name="Followed Hyperlink" xfId="14" builtinId="9" hidden="1"/>
    <cellStyle name="Followed Hyperlink" xfId="6" builtinId="9" hidden="1"/>
    <cellStyle name="Followed Hyperlink" xfId="8" builtinId="9" hidden="1"/>
    <cellStyle name="Followed Hyperlink" xfId="4" builtinId="9" hidden="1"/>
    <cellStyle name="Followed Hyperlink" xfId="2" builtinId="9" hidden="1"/>
    <cellStyle name="Hyperlink" xfId="15" builtinId="8" hidden="1"/>
    <cellStyle name="Hyperlink" xfId="17" builtinId="8" hidden="1"/>
    <cellStyle name="Hyperlink" xfId="19" builtinId="8" hidden="1"/>
    <cellStyle name="Hyperlink" xfId="13" builtinId="8" hidden="1"/>
    <cellStyle name="Hyperlink" xfId="7" builtinId="8" hidden="1"/>
    <cellStyle name="Hyperlink" xfId="9" builtinId="8" hidden="1"/>
    <cellStyle name="Hyperlink" xfId="11" builtinId="8" hidden="1"/>
    <cellStyle name="Hyperlink" xfId="3" builtinId="8" hidden="1"/>
    <cellStyle name="Hyperlink" xfId="5" builtinId="8" hidden="1"/>
    <cellStyle name="Hyperlink" xfId="1" builtinId="8" hidden="1"/>
    <cellStyle name="Hyperlink" xfId="23" builtinId="8"/>
    <cellStyle name="Normal" xfId="0" builtinId="0"/>
    <cellStyle name="Normal 2" xfId="21" xr:uid="{00000000-0005-0000-0000-000016000000}"/>
    <cellStyle name="Normal 2 2" xfId="22" xr:uid="{00000000-0005-0000-0000-000016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Medium7"/>
  <colors>
    <mruColors>
      <color rgb="FFFD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emf"/><Relationship Id="rId17" Type="http://schemas.openxmlformats.org/officeDocument/2006/relationships/image" Target="../media/image20.png"/><Relationship Id="rId2" Type="http://schemas.openxmlformats.org/officeDocument/2006/relationships/image" Target="../media/image5.emf"/><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emf"/><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2.png"/><Relationship Id="rId3" Type="http://schemas.openxmlformats.org/officeDocument/2006/relationships/image" Target="../media/image6.png"/><Relationship Id="rId21" Type="http://schemas.openxmlformats.org/officeDocument/2006/relationships/image" Target="../media/image35.png"/><Relationship Id="rId7" Type="http://schemas.openxmlformats.org/officeDocument/2006/relationships/image" Target="../media/image10.png"/><Relationship Id="rId12" Type="http://schemas.openxmlformats.org/officeDocument/2006/relationships/image" Target="../media/image32.emf"/><Relationship Id="rId17" Type="http://schemas.openxmlformats.org/officeDocument/2006/relationships/image" Target="../media/image21.png"/><Relationship Id="rId2" Type="http://schemas.openxmlformats.org/officeDocument/2006/relationships/image" Target="../media/image30.emf"/><Relationship Id="rId16" Type="http://schemas.openxmlformats.org/officeDocument/2006/relationships/image" Target="../media/image20.png"/><Relationship Id="rId20" Type="http://schemas.openxmlformats.org/officeDocument/2006/relationships/image" Target="../media/image34.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5" Type="http://schemas.openxmlformats.org/officeDocument/2006/relationships/image" Target="../media/image31.png"/><Relationship Id="rId15" Type="http://schemas.openxmlformats.org/officeDocument/2006/relationships/image" Target="../media/image19.png"/><Relationship Id="rId23" Type="http://schemas.openxmlformats.org/officeDocument/2006/relationships/image" Target="../media/image25.png"/><Relationship Id="rId10" Type="http://schemas.openxmlformats.org/officeDocument/2006/relationships/image" Target="../media/image13.png"/><Relationship Id="rId19" Type="http://schemas.openxmlformats.org/officeDocument/2006/relationships/image" Target="../media/image2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33.emf"/><Relationship Id="rId22" Type="http://schemas.openxmlformats.org/officeDocument/2006/relationships/image" Target="../media/image24.png"/></Relationships>
</file>

<file path=xl/drawings/_rels/drawing5.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51.png"/><Relationship Id="rId3" Type="http://schemas.openxmlformats.org/officeDocument/2006/relationships/image" Target="../media/image41.png"/><Relationship Id="rId7" Type="http://schemas.openxmlformats.org/officeDocument/2006/relationships/image" Target="../media/image45.png"/><Relationship Id="rId12" Type="http://schemas.openxmlformats.org/officeDocument/2006/relationships/image" Target="../media/image50.pn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11" Type="http://schemas.openxmlformats.org/officeDocument/2006/relationships/image" Target="../media/image49.png"/><Relationship Id="rId5" Type="http://schemas.openxmlformats.org/officeDocument/2006/relationships/image" Target="../media/image43.png"/><Relationship Id="rId10" Type="http://schemas.openxmlformats.org/officeDocument/2006/relationships/image" Target="../media/image48.png"/><Relationship Id="rId4" Type="http://schemas.openxmlformats.org/officeDocument/2006/relationships/image" Target="../media/image42.png"/><Relationship Id="rId9" Type="http://schemas.openxmlformats.org/officeDocument/2006/relationships/image" Target="../media/image4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editAs="oneCell">
    <xdr:from>
      <xdr:col>4</xdr:col>
      <xdr:colOff>56029</xdr:colOff>
      <xdr:row>11</xdr:row>
      <xdr:rowOff>212913</xdr:rowOff>
    </xdr:from>
    <xdr:to>
      <xdr:col>5</xdr:col>
      <xdr:colOff>821302</xdr:colOff>
      <xdr:row>13</xdr:row>
      <xdr:rowOff>137127</xdr:rowOff>
    </xdr:to>
    <xdr:pic>
      <xdr:nvPicPr>
        <xdr:cNvPr id="2" name="Picture 1">
          <a:extLst>
            <a:ext uri="{FF2B5EF4-FFF2-40B4-BE49-F238E27FC236}">
              <a16:creationId xmlns:a16="http://schemas.microsoft.com/office/drawing/2014/main" id="{D636FC23-9C78-4574-9249-6770CA890C47}"/>
            </a:ext>
          </a:extLst>
        </xdr:cNvPr>
        <xdr:cNvPicPr>
          <a:picLocks noChangeAspect="1"/>
        </xdr:cNvPicPr>
      </xdr:nvPicPr>
      <xdr:blipFill>
        <a:blip xmlns:r="http://schemas.openxmlformats.org/officeDocument/2006/relationships" r:embed="rId1"/>
        <a:stretch>
          <a:fillRect/>
        </a:stretch>
      </xdr:blipFill>
      <xdr:spPr>
        <a:xfrm>
          <a:off x="15318441" y="3787589"/>
          <a:ext cx="1601904" cy="2059047"/>
        </a:xfrm>
        <a:prstGeom prst="rect">
          <a:avLst/>
        </a:prstGeom>
      </xdr:spPr>
    </xdr:pic>
    <xdr:clientData/>
  </xdr:twoCellAnchor>
  <xdr:twoCellAnchor editAs="oneCell">
    <xdr:from>
      <xdr:col>4</xdr:col>
      <xdr:colOff>33618</xdr:colOff>
      <xdr:row>14</xdr:row>
      <xdr:rowOff>381000</xdr:rowOff>
    </xdr:from>
    <xdr:to>
      <xdr:col>9</xdr:col>
      <xdr:colOff>98079</xdr:colOff>
      <xdr:row>17</xdr:row>
      <xdr:rowOff>60486</xdr:rowOff>
    </xdr:to>
    <xdr:pic>
      <xdr:nvPicPr>
        <xdr:cNvPr id="3" name="Picture 2">
          <a:extLst>
            <a:ext uri="{FF2B5EF4-FFF2-40B4-BE49-F238E27FC236}">
              <a16:creationId xmlns:a16="http://schemas.microsoft.com/office/drawing/2014/main" id="{A4931C25-68B7-4F84-96DB-45E3AF2D3978}"/>
            </a:ext>
          </a:extLst>
        </xdr:cNvPr>
        <xdr:cNvPicPr>
          <a:picLocks noChangeAspect="1"/>
        </xdr:cNvPicPr>
      </xdr:nvPicPr>
      <xdr:blipFill>
        <a:blip xmlns:r="http://schemas.openxmlformats.org/officeDocument/2006/relationships" r:embed="rId2"/>
        <a:stretch>
          <a:fillRect/>
        </a:stretch>
      </xdr:blipFill>
      <xdr:spPr>
        <a:xfrm>
          <a:off x="14903824" y="6308912"/>
          <a:ext cx="4262857" cy="1095238"/>
        </a:xfrm>
        <a:prstGeom prst="rect">
          <a:avLst/>
        </a:prstGeom>
      </xdr:spPr>
    </xdr:pic>
    <xdr:clientData/>
  </xdr:twoCellAnchor>
  <xdr:twoCellAnchor editAs="oneCell">
    <xdr:from>
      <xdr:col>4</xdr:col>
      <xdr:colOff>33617</xdr:colOff>
      <xdr:row>17</xdr:row>
      <xdr:rowOff>44824</xdr:rowOff>
    </xdr:from>
    <xdr:to>
      <xdr:col>7</xdr:col>
      <xdr:colOff>74199</xdr:colOff>
      <xdr:row>18</xdr:row>
      <xdr:rowOff>362749</xdr:rowOff>
    </xdr:to>
    <xdr:pic>
      <xdr:nvPicPr>
        <xdr:cNvPr id="4" name="Picture 3">
          <a:extLst>
            <a:ext uri="{FF2B5EF4-FFF2-40B4-BE49-F238E27FC236}">
              <a16:creationId xmlns:a16="http://schemas.microsoft.com/office/drawing/2014/main" id="{4BF93A7F-D915-4201-8481-B6B4783330E4}"/>
            </a:ext>
          </a:extLst>
        </xdr:cNvPr>
        <xdr:cNvPicPr>
          <a:picLocks noChangeAspect="1"/>
        </xdr:cNvPicPr>
      </xdr:nvPicPr>
      <xdr:blipFill>
        <a:blip xmlns:r="http://schemas.openxmlformats.org/officeDocument/2006/relationships" r:embed="rId3"/>
        <a:stretch>
          <a:fillRect/>
        </a:stretch>
      </xdr:blipFill>
      <xdr:spPr>
        <a:xfrm>
          <a:off x="14903823" y="7384677"/>
          <a:ext cx="2561905" cy="7790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1251859</xdr:colOff>
      <xdr:row>6</xdr:row>
      <xdr:rowOff>94885</xdr:rowOff>
    </xdr:from>
    <xdr:to>
      <xdr:col>4</xdr:col>
      <xdr:colOff>3940651</xdr:colOff>
      <xdr:row>6</xdr:row>
      <xdr:rowOff>2074000</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stretch>
          <a:fillRect/>
        </a:stretch>
      </xdr:blipFill>
      <xdr:spPr>
        <a:xfrm>
          <a:off x="10817680" y="12831171"/>
          <a:ext cx="2688792" cy="1973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74615</xdr:colOff>
          <xdr:row>17</xdr:row>
          <xdr:rowOff>1857946</xdr:rowOff>
        </xdr:from>
        <xdr:to>
          <xdr:col>4</xdr:col>
          <xdr:colOff>5050267</xdr:colOff>
          <xdr:row>18</xdr:row>
          <xdr:rowOff>1888079</xdr:rowOff>
        </xdr:to>
        <xdr:pic>
          <xdr:nvPicPr>
            <xdr:cNvPr id="23" name="Picture 22">
              <a:extLst>
                <a:ext uri="{FF2B5EF4-FFF2-40B4-BE49-F238E27FC236}">
                  <a16:creationId xmlns:a16="http://schemas.microsoft.com/office/drawing/2014/main" id="{00000000-0008-0000-0300-000017000000}"/>
                </a:ext>
              </a:extLst>
            </xdr:cNvPr>
            <xdr:cNvPicPr>
              <a:picLocks noChangeAspect="1" noChangeArrowheads="1"/>
              <a:extLst>
                <a:ext uri="{84589F7E-364E-4C9E-8A38-B11213B215E9}">
                  <a14:cameraTool cellRange="Picture3" spid="_x0000_s2804"/>
                </a:ext>
              </a:extLst>
            </xdr:cNvPicPr>
          </xdr:nvPicPr>
          <xdr:blipFill>
            <a:blip xmlns:r="http://schemas.openxmlformats.org/officeDocument/2006/relationships" r:embed="rId2"/>
            <a:srcRect/>
            <a:stretch>
              <a:fillRect/>
            </a:stretch>
          </xdr:blipFill>
          <xdr:spPr bwMode="auto">
            <a:xfrm>
              <a:off x="9633233" y="32125034"/>
              <a:ext cx="4968032" cy="213134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1284520</xdr:colOff>
      <xdr:row>21</xdr:row>
      <xdr:rowOff>54435</xdr:rowOff>
    </xdr:from>
    <xdr:to>
      <xdr:col>4</xdr:col>
      <xdr:colOff>3698746</xdr:colOff>
      <xdr:row>21</xdr:row>
      <xdr:rowOff>2054097</xdr:rowOff>
    </xdr:to>
    <xdr:pic>
      <xdr:nvPicPr>
        <xdr:cNvPr id="30" name="Picture 29">
          <a:extLst>
            <a:ext uri="{FF2B5EF4-FFF2-40B4-BE49-F238E27FC236}">
              <a16:creationId xmlns:a16="http://schemas.microsoft.com/office/drawing/2014/main" id="{00000000-0008-0000-0300-00001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12291" y="20051492"/>
          <a:ext cx="2414226" cy="199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1458724</xdr:colOff>
      <xdr:row>23</xdr:row>
      <xdr:rowOff>28180</xdr:rowOff>
    </xdr:from>
    <xdr:to>
      <xdr:col>4</xdr:col>
      <xdr:colOff>3641911</xdr:colOff>
      <xdr:row>23</xdr:row>
      <xdr:rowOff>2094899</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4"/>
        <a:stretch>
          <a:fillRect/>
        </a:stretch>
      </xdr:blipFill>
      <xdr:spPr>
        <a:xfrm>
          <a:off x="11017342" y="39551327"/>
          <a:ext cx="2183187" cy="2066719"/>
        </a:xfrm>
        <a:prstGeom prst="rect">
          <a:avLst/>
        </a:prstGeom>
      </xdr:spPr>
    </xdr:pic>
    <xdr:clientData/>
  </xdr:twoCellAnchor>
  <xdr:twoCellAnchor editAs="oneCell">
    <xdr:from>
      <xdr:col>4</xdr:col>
      <xdr:colOff>859266</xdr:colOff>
      <xdr:row>27</xdr:row>
      <xdr:rowOff>44684</xdr:rowOff>
    </xdr:from>
    <xdr:to>
      <xdr:col>4</xdr:col>
      <xdr:colOff>4647248</xdr:colOff>
      <xdr:row>27</xdr:row>
      <xdr:rowOff>3025995</xdr:rowOff>
    </xdr:to>
    <xdr:pic>
      <xdr:nvPicPr>
        <xdr:cNvPr id="21" name="Picture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96172" y="46062340"/>
          <a:ext cx="3787982" cy="2981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908478</xdr:colOff>
      <xdr:row>1</xdr:row>
      <xdr:rowOff>89647</xdr:rowOff>
    </xdr:from>
    <xdr:to>
      <xdr:col>4</xdr:col>
      <xdr:colOff>4360001</xdr:colOff>
      <xdr:row>1</xdr:row>
      <xdr:rowOff>2495360</xdr:rowOff>
    </xdr:to>
    <xdr:pic>
      <xdr:nvPicPr>
        <xdr:cNvPr id="10" name="Picture 9">
          <a:extLst>
            <a:ext uri="{FF2B5EF4-FFF2-40B4-BE49-F238E27FC236}">
              <a16:creationId xmlns:a16="http://schemas.microsoft.com/office/drawing/2014/main" id="{E7D050BD-7978-4648-98EA-A2BFB1CCB396}"/>
            </a:ext>
          </a:extLst>
        </xdr:cNvPr>
        <xdr:cNvPicPr>
          <a:picLocks noChangeAspect="1"/>
        </xdr:cNvPicPr>
      </xdr:nvPicPr>
      <xdr:blipFill>
        <a:blip xmlns:r="http://schemas.openxmlformats.org/officeDocument/2006/relationships" r:embed="rId6"/>
        <a:stretch>
          <a:fillRect/>
        </a:stretch>
      </xdr:blipFill>
      <xdr:spPr>
        <a:xfrm>
          <a:off x="10474299" y="851647"/>
          <a:ext cx="3445808" cy="2420953"/>
        </a:xfrm>
        <a:prstGeom prst="rect">
          <a:avLst/>
        </a:prstGeom>
      </xdr:spPr>
    </xdr:pic>
    <xdr:clientData/>
  </xdr:twoCellAnchor>
  <xdr:twoCellAnchor editAs="oneCell">
    <xdr:from>
      <xdr:col>4</xdr:col>
      <xdr:colOff>661148</xdr:colOff>
      <xdr:row>2</xdr:row>
      <xdr:rowOff>112058</xdr:rowOff>
    </xdr:from>
    <xdr:to>
      <xdr:col>4</xdr:col>
      <xdr:colOff>4264096</xdr:colOff>
      <xdr:row>2</xdr:row>
      <xdr:rowOff>2418566</xdr:rowOff>
    </xdr:to>
    <xdr:pic>
      <xdr:nvPicPr>
        <xdr:cNvPr id="11" name="Picture 10">
          <a:extLst>
            <a:ext uri="{FF2B5EF4-FFF2-40B4-BE49-F238E27FC236}">
              <a16:creationId xmlns:a16="http://schemas.microsoft.com/office/drawing/2014/main" id="{D6BF31FE-221F-4950-83A4-18AD10F1BE1C}"/>
            </a:ext>
          </a:extLst>
        </xdr:cNvPr>
        <xdr:cNvPicPr>
          <a:picLocks noChangeAspect="1"/>
        </xdr:cNvPicPr>
      </xdr:nvPicPr>
      <xdr:blipFill>
        <a:blip xmlns:r="http://schemas.openxmlformats.org/officeDocument/2006/relationships" r:embed="rId7"/>
        <a:stretch>
          <a:fillRect/>
        </a:stretch>
      </xdr:blipFill>
      <xdr:spPr>
        <a:xfrm>
          <a:off x="10219766" y="3406587"/>
          <a:ext cx="3599138" cy="2308413"/>
        </a:xfrm>
        <a:prstGeom prst="rect">
          <a:avLst/>
        </a:prstGeom>
      </xdr:spPr>
    </xdr:pic>
    <xdr:clientData/>
  </xdr:twoCellAnchor>
  <xdr:twoCellAnchor editAs="oneCell">
    <xdr:from>
      <xdr:col>4</xdr:col>
      <xdr:colOff>802822</xdr:colOff>
      <xdr:row>3</xdr:row>
      <xdr:rowOff>41339</xdr:rowOff>
    </xdr:from>
    <xdr:to>
      <xdr:col>4</xdr:col>
      <xdr:colOff>4403000</xdr:colOff>
      <xdr:row>3</xdr:row>
      <xdr:rowOff>3906125</xdr:rowOff>
    </xdr:to>
    <xdr:pic>
      <xdr:nvPicPr>
        <xdr:cNvPr id="12" name="Picture 11">
          <a:extLst>
            <a:ext uri="{FF2B5EF4-FFF2-40B4-BE49-F238E27FC236}">
              <a16:creationId xmlns:a16="http://schemas.microsoft.com/office/drawing/2014/main" id="{280BF146-B37E-49A1-8119-65C500B94490}"/>
            </a:ext>
          </a:extLst>
        </xdr:cNvPr>
        <xdr:cNvPicPr>
          <a:picLocks noChangeAspect="1"/>
        </xdr:cNvPicPr>
      </xdr:nvPicPr>
      <xdr:blipFill>
        <a:blip xmlns:r="http://schemas.openxmlformats.org/officeDocument/2006/relationships" r:embed="rId8"/>
        <a:stretch>
          <a:fillRect/>
        </a:stretch>
      </xdr:blipFill>
      <xdr:spPr>
        <a:xfrm>
          <a:off x="10368643" y="5865196"/>
          <a:ext cx="3605893" cy="3853356"/>
        </a:xfrm>
        <a:prstGeom prst="rect">
          <a:avLst/>
        </a:prstGeom>
      </xdr:spPr>
    </xdr:pic>
    <xdr:clientData/>
  </xdr:twoCellAnchor>
  <xdr:twoCellAnchor editAs="oneCell">
    <xdr:from>
      <xdr:col>4</xdr:col>
      <xdr:colOff>896470</xdr:colOff>
      <xdr:row>4</xdr:row>
      <xdr:rowOff>56028</xdr:rowOff>
    </xdr:from>
    <xdr:to>
      <xdr:col>4</xdr:col>
      <xdr:colOff>4841741</xdr:colOff>
      <xdr:row>4</xdr:row>
      <xdr:rowOff>2435485</xdr:rowOff>
    </xdr:to>
    <xdr:pic>
      <xdr:nvPicPr>
        <xdr:cNvPr id="13" name="Picture 12">
          <a:extLst>
            <a:ext uri="{FF2B5EF4-FFF2-40B4-BE49-F238E27FC236}">
              <a16:creationId xmlns:a16="http://schemas.microsoft.com/office/drawing/2014/main" id="{F2BCEFE0-F88E-4D5A-882C-3D87A8597919}"/>
            </a:ext>
          </a:extLst>
        </xdr:cNvPr>
        <xdr:cNvPicPr>
          <a:picLocks noChangeAspect="1"/>
        </xdr:cNvPicPr>
      </xdr:nvPicPr>
      <xdr:blipFill>
        <a:blip xmlns:r="http://schemas.openxmlformats.org/officeDocument/2006/relationships" r:embed="rId9"/>
        <a:stretch>
          <a:fillRect/>
        </a:stretch>
      </xdr:blipFill>
      <xdr:spPr>
        <a:xfrm>
          <a:off x="10455088" y="9816352"/>
          <a:ext cx="3945271" cy="2375647"/>
        </a:xfrm>
        <a:prstGeom prst="rect">
          <a:avLst/>
        </a:prstGeom>
      </xdr:spPr>
    </xdr:pic>
    <xdr:clientData/>
  </xdr:twoCellAnchor>
  <xdr:twoCellAnchor editAs="oneCell">
    <xdr:from>
      <xdr:col>4</xdr:col>
      <xdr:colOff>313766</xdr:colOff>
      <xdr:row>11</xdr:row>
      <xdr:rowOff>1077854</xdr:rowOff>
    </xdr:from>
    <xdr:to>
      <xdr:col>4</xdr:col>
      <xdr:colOff>4741995</xdr:colOff>
      <xdr:row>12</xdr:row>
      <xdr:rowOff>2168450</xdr:rowOff>
    </xdr:to>
    <xdr:pic>
      <xdr:nvPicPr>
        <xdr:cNvPr id="4" name="Picture 3">
          <a:extLst>
            <a:ext uri="{FF2B5EF4-FFF2-40B4-BE49-F238E27FC236}">
              <a16:creationId xmlns:a16="http://schemas.microsoft.com/office/drawing/2014/main" id="{C3898D72-430E-4571-8ACE-0F819FDF2EDE}"/>
            </a:ext>
          </a:extLst>
        </xdr:cNvPr>
        <xdr:cNvPicPr>
          <a:picLocks noChangeAspect="1"/>
        </xdr:cNvPicPr>
      </xdr:nvPicPr>
      <xdr:blipFill>
        <a:blip xmlns:r="http://schemas.openxmlformats.org/officeDocument/2006/relationships" r:embed="rId10"/>
        <a:stretch>
          <a:fillRect/>
        </a:stretch>
      </xdr:blipFill>
      <xdr:spPr>
        <a:xfrm>
          <a:off x="8292354" y="21416530"/>
          <a:ext cx="4426324" cy="4200116"/>
        </a:xfrm>
        <a:prstGeom prst="rect">
          <a:avLst/>
        </a:prstGeom>
      </xdr:spPr>
    </xdr:pic>
    <xdr:clientData/>
  </xdr:twoCellAnchor>
  <xdr:twoCellAnchor editAs="oneCell">
    <xdr:from>
      <xdr:col>4</xdr:col>
      <xdr:colOff>907678</xdr:colOff>
      <xdr:row>10</xdr:row>
      <xdr:rowOff>44823</xdr:rowOff>
    </xdr:from>
    <xdr:to>
      <xdr:col>4</xdr:col>
      <xdr:colOff>4247562</xdr:colOff>
      <xdr:row>11</xdr:row>
      <xdr:rowOff>1165292</xdr:rowOff>
    </xdr:to>
    <xdr:pic>
      <xdr:nvPicPr>
        <xdr:cNvPr id="5" name="Picture 4">
          <a:extLst>
            <a:ext uri="{FF2B5EF4-FFF2-40B4-BE49-F238E27FC236}">
              <a16:creationId xmlns:a16="http://schemas.microsoft.com/office/drawing/2014/main" id="{EF24D02D-9B74-4E2C-883B-4DADE30D36BB}"/>
            </a:ext>
          </a:extLst>
        </xdr:cNvPr>
        <xdr:cNvPicPr>
          <a:picLocks noChangeAspect="1"/>
        </xdr:cNvPicPr>
      </xdr:nvPicPr>
      <xdr:blipFill>
        <a:blip xmlns:r="http://schemas.openxmlformats.org/officeDocument/2006/relationships" r:embed="rId11"/>
        <a:stretch>
          <a:fillRect/>
        </a:stretch>
      </xdr:blipFill>
      <xdr:spPr>
        <a:xfrm>
          <a:off x="8886266" y="17268264"/>
          <a:ext cx="3347504" cy="4228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78440</xdr:colOff>
          <xdr:row>17</xdr:row>
          <xdr:rowOff>89648</xdr:rowOff>
        </xdr:from>
        <xdr:to>
          <xdr:col>4</xdr:col>
          <xdr:colOff>5031441</xdr:colOff>
          <xdr:row>17</xdr:row>
          <xdr:rowOff>1470146</xdr:rowOff>
        </xdr:to>
        <xdr:pic>
          <xdr:nvPicPr>
            <xdr:cNvPr id="7" name="Picture 6">
              <a:extLst>
                <a:ext uri="{FF2B5EF4-FFF2-40B4-BE49-F238E27FC236}">
                  <a16:creationId xmlns:a16="http://schemas.microsoft.com/office/drawing/2014/main" id="{C722C110-5C93-492A-BE76-128F27A47DB2}"/>
                </a:ext>
              </a:extLst>
            </xdr:cNvPr>
            <xdr:cNvPicPr>
              <a:picLocks noChangeAspect="1"/>
              <a:extLst>
                <a:ext uri="{84589F7E-364E-4C9E-8A38-B11213B215E9}">
                  <a14:cameraTool cellRange="Picture2" spid="_x0000_s2805"/>
                </a:ext>
              </a:extLst>
            </xdr:cNvPicPr>
          </xdr:nvPicPr>
          <xdr:blipFill>
            <a:blip xmlns:r="http://schemas.openxmlformats.org/officeDocument/2006/relationships" r:embed="rId12"/>
            <a:stretch>
              <a:fillRect/>
            </a:stretch>
          </xdr:blipFill>
          <xdr:spPr>
            <a:xfrm>
              <a:off x="9637058" y="30356736"/>
              <a:ext cx="4953001" cy="1380498"/>
            </a:xfrm>
            <a:prstGeom prst="rect">
              <a:avLst/>
            </a:prstGeom>
          </xdr:spPr>
        </xdr:pic>
        <xdr:clientData/>
      </xdr:twoCellAnchor>
    </mc:Choice>
    <mc:Fallback/>
  </mc:AlternateContent>
  <xdr:twoCellAnchor editAs="oneCell">
    <xdr:from>
      <xdr:col>3</xdr:col>
      <xdr:colOff>381001</xdr:colOff>
      <xdr:row>78</xdr:row>
      <xdr:rowOff>112058</xdr:rowOff>
    </xdr:from>
    <xdr:to>
      <xdr:col>3</xdr:col>
      <xdr:colOff>5446059</xdr:colOff>
      <xdr:row>78</xdr:row>
      <xdr:rowOff>2282263</xdr:rowOff>
    </xdr:to>
    <xdr:pic>
      <xdr:nvPicPr>
        <xdr:cNvPr id="18" name="Picture 17">
          <a:extLst>
            <a:ext uri="{FF2B5EF4-FFF2-40B4-BE49-F238E27FC236}">
              <a16:creationId xmlns:a16="http://schemas.microsoft.com/office/drawing/2014/main" id="{3C4CD423-C654-4F94-9B70-A3B91A29F258}"/>
            </a:ext>
          </a:extLst>
        </xdr:cNvPr>
        <xdr:cNvPicPr>
          <a:picLocks noChangeAspect="1"/>
        </xdr:cNvPicPr>
      </xdr:nvPicPr>
      <xdr:blipFill>
        <a:blip xmlns:r="http://schemas.openxmlformats.org/officeDocument/2006/relationships" r:embed="rId13"/>
        <a:stretch>
          <a:fillRect/>
        </a:stretch>
      </xdr:blipFill>
      <xdr:spPr>
        <a:xfrm>
          <a:off x="3989295" y="60926382"/>
          <a:ext cx="5065058" cy="2170205"/>
        </a:xfrm>
        <a:prstGeom prst="rect">
          <a:avLst/>
        </a:prstGeom>
      </xdr:spPr>
    </xdr:pic>
    <xdr:clientData/>
  </xdr:twoCellAnchor>
  <xdr:twoCellAnchor editAs="oneCell">
    <xdr:from>
      <xdr:col>3</xdr:col>
      <xdr:colOff>235324</xdr:colOff>
      <xdr:row>79</xdr:row>
      <xdr:rowOff>89647</xdr:rowOff>
    </xdr:from>
    <xdr:to>
      <xdr:col>3</xdr:col>
      <xdr:colOff>5546912</xdr:colOff>
      <xdr:row>79</xdr:row>
      <xdr:rowOff>2265410</xdr:rowOff>
    </xdr:to>
    <xdr:pic>
      <xdr:nvPicPr>
        <xdr:cNvPr id="19" name="Picture 18">
          <a:extLst>
            <a:ext uri="{FF2B5EF4-FFF2-40B4-BE49-F238E27FC236}">
              <a16:creationId xmlns:a16="http://schemas.microsoft.com/office/drawing/2014/main" id="{8453DF57-A4EF-4125-B1D9-255C8D5AD4EC}"/>
            </a:ext>
          </a:extLst>
        </xdr:cNvPr>
        <xdr:cNvPicPr>
          <a:picLocks noChangeAspect="1"/>
        </xdr:cNvPicPr>
      </xdr:nvPicPr>
      <xdr:blipFill>
        <a:blip xmlns:r="http://schemas.openxmlformats.org/officeDocument/2006/relationships" r:embed="rId14"/>
        <a:stretch>
          <a:fillRect/>
        </a:stretch>
      </xdr:blipFill>
      <xdr:spPr>
        <a:xfrm>
          <a:off x="3843618" y="63268412"/>
          <a:ext cx="5311588" cy="21833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153966</xdr:colOff>
          <xdr:row>30</xdr:row>
          <xdr:rowOff>44825</xdr:rowOff>
        </xdr:from>
        <xdr:to>
          <xdr:col>4</xdr:col>
          <xdr:colOff>5009030</xdr:colOff>
          <xdr:row>40</xdr:row>
          <xdr:rowOff>190500</xdr:rowOff>
        </xdr:to>
        <xdr:pic>
          <xdr:nvPicPr>
            <xdr:cNvPr id="14" name="Picture 13">
              <a:extLst>
                <a:ext uri="{FF2B5EF4-FFF2-40B4-BE49-F238E27FC236}">
                  <a16:creationId xmlns:a16="http://schemas.microsoft.com/office/drawing/2014/main" id="{942955B0-B351-4C7A-A9BA-8C437A5A70F5}"/>
                </a:ext>
              </a:extLst>
            </xdr:cNvPr>
            <xdr:cNvPicPr>
              <a:picLocks noChangeAspect="1"/>
              <a:extLst>
                <a:ext uri="{84589F7E-364E-4C9E-8A38-B11213B215E9}">
                  <a14:cameraTool cellRange="Picture" spid="_x0000_s2806"/>
                </a:ext>
              </a:extLst>
            </xdr:cNvPicPr>
          </xdr:nvPicPr>
          <xdr:blipFill>
            <a:blip xmlns:r="http://schemas.openxmlformats.org/officeDocument/2006/relationships" r:embed="rId15"/>
            <a:stretch>
              <a:fillRect/>
            </a:stretch>
          </xdr:blipFill>
          <xdr:spPr>
            <a:xfrm>
              <a:off x="9712584" y="50762649"/>
              <a:ext cx="4866494" cy="2566145"/>
            </a:xfrm>
            <a:prstGeom prst="rect">
              <a:avLst/>
            </a:prstGeom>
          </xdr:spPr>
        </xdr:pic>
        <xdr:clientData/>
      </xdr:twoCellAnchor>
    </mc:Choice>
    <mc:Fallback/>
  </mc:AlternateContent>
  <xdr:twoCellAnchor editAs="oneCell">
    <xdr:from>
      <xdr:col>4</xdr:col>
      <xdr:colOff>268286</xdr:colOff>
      <xdr:row>8</xdr:row>
      <xdr:rowOff>136072</xdr:rowOff>
    </xdr:from>
    <xdr:to>
      <xdr:col>4</xdr:col>
      <xdr:colOff>4398140</xdr:colOff>
      <xdr:row>8</xdr:row>
      <xdr:rowOff>1926500</xdr:rowOff>
    </xdr:to>
    <xdr:pic>
      <xdr:nvPicPr>
        <xdr:cNvPr id="15" name="Picture 14">
          <a:extLst>
            <a:ext uri="{FF2B5EF4-FFF2-40B4-BE49-F238E27FC236}">
              <a16:creationId xmlns:a16="http://schemas.microsoft.com/office/drawing/2014/main" id="{B08043A4-54D4-45E7-A544-6C2A607779BF}"/>
            </a:ext>
          </a:extLst>
        </xdr:cNvPr>
        <xdr:cNvPicPr>
          <a:picLocks noChangeAspect="1"/>
        </xdr:cNvPicPr>
      </xdr:nvPicPr>
      <xdr:blipFill>
        <a:blip xmlns:r="http://schemas.openxmlformats.org/officeDocument/2006/relationships" r:embed="rId16"/>
        <a:stretch>
          <a:fillRect/>
        </a:stretch>
      </xdr:blipFill>
      <xdr:spPr>
        <a:xfrm>
          <a:off x="9834107" y="15403286"/>
          <a:ext cx="4129854" cy="1796143"/>
        </a:xfrm>
        <a:prstGeom prst="rect">
          <a:avLst/>
        </a:prstGeom>
      </xdr:spPr>
    </xdr:pic>
    <xdr:clientData/>
  </xdr:twoCellAnchor>
  <xdr:twoCellAnchor editAs="oneCell">
    <xdr:from>
      <xdr:col>3</xdr:col>
      <xdr:colOff>78441</xdr:colOff>
      <xdr:row>83</xdr:row>
      <xdr:rowOff>91236</xdr:rowOff>
    </xdr:from>
    <xdr:to>
      <xdr:col>4</xdr:col>
      <xdr:colOff>22411</xdr:colOff>
      <xdr:row>83</xdr:row>
      <xdr:rowOff>2511335</xdr:rowOff>
    </xdr:to>
    <xdr:pic>
      <xdr:nvPicPr>
        <xdr:cNvPr id="24" name="Picture 23">
          <a:extLst>
            <a:ext uri="{FF2B5EF4-FFF2-40B4-BE49-F238E27FC236}">
              <a16:creationId xmlns:a16="http://schemas.microsoft.com/office/drawing/2014/main" id="{D2773620-5AFC-4408-9BE2-A4466CF2DF20}"/>
            </a:ext>
          </a:extLst>
        </xdr:cNvPr>
        <xdr:cNvPicPr>
          <a:picLocks noChangeAspect="1"/>
        </xdr:cNvPicPr>
      </xdr:nvPicPr>
      <xdr:blipFill>
        <a:blip xmlns:r="http://schemas.openxmlformats.org/officeDocument/2006/relationships" r:embed="rId17"/>
        <a:stretch>
          <a:fillRect/>
        </a:stretch>
      </xdr:blipFill>
      <xdr:spPr>
        <a:xfrm>
          <a:off x="3686735" y="71528736"/>
          <a:ext cx="5894294" cy="2420099"/>
        </a:xfrm>
        <a:prstGeom prst="rect">
          <a:avLst/>
        </a:prstGeom>
      </xdr:spPr>
    </xdr:pic>
    <xdr:clientData/>
  </xdr:twoCellAnchor>
  <xdr:twoCellAnchor editAs="oneCell">
    <xdr:from>
      <xdr:col>3</xdr:col>
      <xdr:colOff>74141</xdr:colOff>
      <xdr:row>82</xdr:row>
      <xdr:rowOff>56030</xdr:rowOff>
    </xdr:from>
    <xdr:to>
      <xdr:col>3</xdr:col>
      <xdr:colOff>5924754</xdr:colOff>
      <xdr:row>82</xdr:row>
      <xdr:rowOff>1770530</xdr:rowOff>
    </xdr:to>
    <xdr:pic>
      <xdr:nvPicPr>
        <xdr:cNvPr id="25" name="Picture 24">
          <a:extLst>
            <a:ext uri="{FF2B5EF4-FFF2-40B4-BE49-F238E27FC236}">
              <a16:creationId xmlns:a16="http://schemas.microsoft.com/office/drawing/2014/main" id="{5F3677AC-0DFD-4E13-99A8-22961238CA97}"/>
            </a:ext>
          </a:extLst>
        </xdr:cNvPr>
        <xdr:cNvPicPr>
          <a:picLocks noChangeAspect="1"/>
        </xdr:cNvPicPr>
      </xdr:nvPicPr>
      <xdr:blipFill>
        <a:blip xmlns:r="http://schemas.openxmlformats.org/officeDocument/2006/relationships" r:embed="rId18"/>
        <a:stretch>
          <a:fillRect/>
        </a:stretch>
      </xdr:blipFill>
      <xdr:spPr>
        <a:xfrm>
          <a:off x="3682435" y="69700589"/>
          <a:ext cx="5835373" cy="1714500"/>
        </a:xfrm>
        <a:prstGeom prst="rect">
          <a:avLst/>
        </a:prstGeom>
      </xdr:spPr>
    </xdr:pic>
    <xdr:clientData/>
  </xdr:twoCellAnchor>
  <xdr:twoCellAnchor editAs="oneCell">
    <xdr:from>
      <xdr:col>3</xdr:col>
      <xdr:colOff>145677</xdr:colOff>
      <xdr:row>81</xdr:row>
      <xdr:rowOff>48996</xdr:rowOff>
    </xdr:from>
    <xdr:to>
      <xdr:col>3</xdr:col>
      <xdr:colOff>5851152</xdr:colOff>
      <xdr:row>81</xdr:row>
      <xdr:rowOff>1997567</xdr:rowOff>
    </xdr:to>
    <xdr:pic>
      <xdr:nvPicPr>
        <xdr:cNvPr id="28" name="Picture 27">
          <a:extLst>
            <a:ext uri="{FF2B5EF4-FFF2-40B4-BE49-F238E27FC236}">
              <a16:creationId xmlns:a16="http://schemas.microsoft.com/office/drawing/2014/main" id="{0A197CE8-5DF6-4AB6-81D1-F324D2BD445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53971" y="67609261"/>
          <a:ext cx="5715000" cy="194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79</xdr:row>
      <xdr:rowOff>2274794</xdr:rowOff>
    </xdr:from>
    <xdr:to>
      <xdr:col>3</xdr:col>
      <xdr:colOff>5923878</xdr:colOff>
      <xdr:row>81</xdr:row>
      <xdr:rowOff>0</xdr:rowOff>
    </xdr:to>
    <xdr:pic>
      <xdr:nvPicPr>
        <xdr:cNvPr id="29" name="Picture 28">
          <a:extLst>
            <a:ext uri="{FF2B5EF4-FFF2-40B4-BE49-F238E27FC236}">
              <a16:creationId xmlns:a16="http://schemas.microsoft.com/office/drawing/2014/main" id="{3B009AC3-4CBC-4EAE-A844-74334BACA972}"/>
            </a:ext>
          </a:extLst>
        </xdr:cNvPr>
        <xdr:cNvPicPr>
          <a:picLocks noChangeAspect="1"/>
        </xdr:cNvPicPr>
      </xdr:nvPicPr>
      <xdr:blipFill>
        <a:blip xmlns:r="http://schemas.openxmlformats.org/officeDocument/2006/relationships" r:embed="rId20"/>
        <a:stretch>
          <a:fillRect/>
        </a:stretch>
      </xdr:blipFill>
      <xdr:spPr>
        <a:xfrm>
          <a:off x="3675529" y="65879382"/>
          <a:ext cx="5871883" cy="1680883"/>
        </a:xfrm>
        <a:prstGeom prst="rect">
          <a:avLst/>
        </a:prstGeom>
      </xdr:spPr>
    </xdr:pic>
    <xdr:clientData/>
  </xdr:twoCellAnchor>
  <xdr:twoCellAnchor editAs="oneCell">
    <xdr:from>
      <xdr:col>4</xdr:col>
      <xdr:colOff>762000</xdr:colOff>
      <xdr:row>24</xdr:row>
      <xdr:rowOff>154781</xdr:rowOff>
    </xdr:from>
    <xdr:to>
      <xdr:col>4</xdr:col>
      <xdr:colOff>4287716</xdr:colOff>
      <xdr:row>24</xdr:row>
      <xdr:rowOff>2002400</xdr:rowOff>
    </xdr:to>
    <xdr:pic>
      <xdr:nvPicPr>
        <xdr:cNvPr id="2" name="Picture 1">
          <a:extLst>
            <a:ext uri="{FF2B5EF4-FFF2-40B4-BE49-F238E27FC236}">
              <a16:creationId xmlns:a16="http://schemas.microsoft.com/office/drawing/2014/main" id="{FC094957-34A4-4B54-A0D3-93FFB3646FAC}"/>
            </a:ext>
          </a:extLst>
        </xdr:cNvPr>
        <xdr:cNvPicPr>
          <a:picLocks noChangeAspect="1"/>
        </xdr:cNvPicPr>
      </xdr:nvPicPr>
      <xdr:blipFill>
        <a:blip xmlns:r="http://schemas.openxmlformats.org/officeDocument/2006/relationships" r:embed="rId21"/>
        <a:stretch>
          <a:fillRect/>
        </a:stretch>
      </xdr:blipFill>
      <xdr:spPr>
        <a:xfrm>
          <a:off x="10298906" y="41540906"/>
          <a:ext cx="3516191" cy="1851429"/>
        </a:xfrm>
        <a:prstGeom prst="rect">
          <a:avLst/>
        </a:prstGeom>
      </xdr:spPr>
    </xdr:pic>
    <xdr:clientData/>
  </xdr:twoCellAnchor>
  <xdr:twoCellAnchor editAs="oneCell">
    <xdr:from>
      <xdr:col>4</xdr:col>
      <xdr:colOff>35718</xdr:colOff>
      <xdr:row>27</xdr:row>
      <xdr:rowOff>3071813</xdr:rowOff>
    </xdr:from>
    <xdr:to>
      <xdr:col>4</xdr:col>
      <xdr:colOff>5067383</xdr:colOff>
      <xdr:row>27</xdr:row>
      <xdr:rowOff>3795270</xdr:rowOff>
    </xdr:to>
    <xdr:pic>
      <xdr:nvPicPr>
        <xdr:cNvPr id="26" name="Picture 25">
          <a:extLst>
            <a:ext uri="{FF2B5EF4-FFF2-40B4-BE49-F238E27FC236}">
              <a16:creationId xmlns:a16="http://schemas.microsoft.com/office/drawing/2014/main" id="{7C522FD6-FCD6-4369-B52A-0266681C8355}"/>
            </a:ext>
          </a:extLst>
        </xdr:cNvPr>
        <xdr:cNvPicPr>
          <a:picLocks noChangeAspect="1"/>
        </xdr:cNvPicPr>
      </xdr:nvPicPr>
      <xdr:blipFill>
        <a:blip xmlns:r="http://schemas.openxmlformats.org/officeDocument/2006/relationships" r:embed="rId22"/>
        <a:stretch>
          <a:fillRect/>
        </a:stretch>
      </xdr:blipFill>
      <xdr:spPr>
        <a:xfrm>
          <a:off x="9572624" y="49089469"/>
          <a:ext cx="5031665" cy="723457"/>
        </a:xfrm>
        <a:prstGeom prst="rect">
          <a:avLst/>
        </a:prstGeom>
      </xdr:spPr>
    </xdr:pic>
    <xdr:clientData/>
  </xdr:twoCellAnchor>
  <xdr:twoCellAnchor editAs="oneCell">
    <xdr:from>
      <xdr:col>4</xdr:col>
      <xdr:colOff>95141</xdr:colOff>
      <xdr:row>27</xdr:row>
      <xdr:rowOff>3769833</xdr:rowOff>
    </xdr:from>
    <xdr:to>
      <xdr:col>4</xdr:col>
      <xdr:colOff>5007280</xdr:colOff>
      <xdr:row>27</xdr:row>
      <xdr:rowOff>4869771</xdr:rowOff>
    </xdr:to>
    <xdr:pic>
      <xdr:nvPicPr>
        <xdr:cNvPr id="27" name="Picture 26">
          <a:extLst>
            <a:ext uri="{FF2B5EF4-FFF2-40B4-BE49-F238E27FC236}">
              <a16:creationId xmlns:a16="http://schemas.microsoft.com/office/drawing/2014/main" id="{734AC6FB-80CC-415E-B5DA-70E65A62C704}"/>
            </a:ext>
          </a:extLst>
        </xdr:cNvPr>
        <xdr:cNvPicPr>
          <a:picLocks noChangeAspect="1"/>
        </xdr:cNvPicPr>
      </xdr:nvPicPr>
      <xdr:blipFill>
        <a:blip xmlns:r="http://schemas.openxmlformats.org/officeDocument/2006/relationships" r:embed="rId23"/>
        <a:stretch>
          <a:fillRect/>
        </a:stretch>
      </xdr:blipFill>
      <xdr:spPr>
        <a:xfrm>
          <a:off x="9632047" y="49787489"/>
          <a:ext cx="4912139" cy="10999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655544</xdr:colOff>
      <xdr:row>30</xdr:row>
      <xdr:rowOff>150159</xdr:rowOff>
    </xdr:from>
    <xdr:to>
      <xdr:col>19</xdr:col>
      <xdr:colOff>214406</xdr:colOff>
      <xdr:row>33</xdr:row>
      <xdr:rowOff>99733</xdr:rowOff>
    </xdr:to>
    <xdr:sp macro="" textlink="">
      <xdr:nvSpPr>
        <xdr:cNvPr id="2" name="Rounded Rectangle 1">
          <a:extLst>
            <a:ext uri="{FF2B5EF4-FFF2-40B4-BE49-F238E27FC236}">
              <a16:creationId xmlns:a16="http://schemas.microsoft.com/office/drawing/2014/main" id="{B0D0B910-9216-4124-863C-B75597EC05F4}"/>
            </a:ext>
          </a:extLst>
        </xdr:cNvPr>
        <xdr:cNvSpPr/>
      </xdr:nvSpPr>
      <xdr:spPr>
        <a:xfrm>
          <a:off x="14895419" y="350184"/>
          <a:ext cx="2263962" cy="7496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Enter</a:t>
          </a:r>
          <a:r>
            <a:rPr lang="en-US" sz="1100" baseline="0"/>
            <a:t> Configuration Customer is planning to use for the DP83867 through Straps</a:t>
          </a:r>
          <a:endParaRPr lang="en-US" sz="1100"/>
        </a:p>
      </xdr:txBody>
    </xdr:sp>
    <xdr:clientData/>
  </xdr:twoCellAnchor>
  <xdr:twoCellAnchor>
    <xdr:from>
      <xdr:col>15</xdr:col>
      <xdr:colOff>14941</xdr:colOff>
      <xdr:row>31</xdr:row>
      <xdr:rowOff>321400</xdr:rowOff>
    </xdr:from>
    <xdr:to>
      <xdr:col>15</xdr:col>
      <xdr:colOff>655544</xdr:colOff>
      <xdr:row>32</xdr:row>
      <xdr:rowOff>115421</xdr:rowOff>
    </xdr:to>
    <xdr:cxnSp macro="">
      <xdr:nvCxnSpPr>
        <xdr:cNvPr id="3" name="Straight Arrow Connector 2">
          <a:extLst>
            <a:ext uri="{FF2B5EF4-FFF2-40B4-BE49-F238E27FC236}">
              <a16:creationId xmlns:a16="http://schemas.microsoft.com/office/drawing/2014/main" id="{3894C968-0584-4558-80C3-E3611C4313DC}"/>
            </a:ext>
          </a:extLst>
        </xdr:cNvPr>
        <xdr:cNvCxnSpPr>
          <a:endCxn id="2" idx="1"/>
        </xdr:cNvCxnSpPr>
      </xdr:nvCxnSpPr>
      <xdr:spPr>
        <a:xfrm flipV="1">
          <a:off x="14254816" y="721450"/>
          <a:ext cx="640603" cy="194071"/>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629386</xdr:colOff>
      <xdr:row>37</xdr:row>
      <xdr:rowOff>98955</xdr:rowOff>
    </xdr:from>
    <xdr:to>
      <xdr:col>7</xdr:col>
      <xdr:colOff>213854</xdr:colOff>
      <xdr:row>40</xdr:row>
      <xdr:rowOff>11906</xdr:rowOff>
    </xdr:to>
    <xdr:sp macro="" textlink="">
      <xdr:nvSpPr>
        <xdr:cNvPr id="4" name="Rounded Rectangle 4">
          <a:extLst>
            <a:ext uri="{FF2B5EF4-FFF2-40B4-BE49-F238E27FC236}">
              <a16:creationId xmlns:a16="http://schemas.microsoft.com/office/drawing/2014/main" id="{73B6F0EC-87B9-43ED-B3C7-F327A8625932}"/>
            </a:ext>
          </a:extLst>
        </xdr:cNvPr>
        <xdr:cNvSpPr/>
      </xdr:nvSpPr>
      <xdr:spPr>
        <a:xfrm>
          <a:off x="5363311" y="2337330"/>
          <a:ext cx="1489468" cy="51302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xdr:txBody>
    </xdr:sp>
    <xdr:clientData/>
  </xdr:twoCellAnchor>
  <xdr:twoCellAnchor>
    <xdr:from>
      <xdr:col>5</xdr:col>
      <xdr:colOff>9159</xdr:colOff>
      <xdr:row>38</xdr:row>
      <xdr:rowOff>193260</xdr:rowOff>
    </xdr:from>
    <xdr:to>
      <xdr:col>5</xdr:col>
      <xdr:colOff>623956</xdr:colOff>
      <xdr:row>39</xdr:row>
      <xdr:rowOff>8890</xdr:rowOff>
    </xdr:to>
    <xdr:cxnSp macro="">
      <xdr:nvCxnSpPr>
        <xdr:cNvPr id="5" name="Straight Arrow Connector 4">
          <a:extLst>
            <a:ext uri="{FF2B5EF4-FFF2-40B4-BE49-F238E27FC236}">
              <a16:creationId xmlns:a16="http://schemas.microsoft.com/office/drawing/2014/main" id="{FEEC5965-360D-46AF-9E32-ECA31231974B}"/>
            </a:ext>
          </a:extLst>
        </xdr:cNvPr>
        <xdr:cNvCxnSpPr/>
      </xdr:nvCxnSpPr>
      <xdr:spPr>
        <a:xfrm flipV="1">
          <a:off x="4743084" y="2631660"/>
          <a:ext cx="614797" cy="1565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295835</xdr:colOff>
      <xdr:row>0</xdr:row>
      <xdr:rowOff>166915</xdr:rowOff>
    </xdr:from>
    <xdr:to>
      <xdr:col>3</xdr:col>
      <xdr:colOff>603997</xdr:colOff>
      <xdr:row>3</xdr:row>
      <xdr:rowOff>71718</xdr:rowOff>
    </xdr:to>
    <xdr:sp macro="" textlink="">
      <xdr:nvSpPr>
        <xdr:cNvPr id="6" name="Rounded Rectangle 6">
          <a:extLst>
            <a:ext uri="{FF2B5EF4-FFF2-40B4-BE49-F238E27FC236}">
              <a16:creationId xmlns:a16="http://schemas.microsoft.com/office/drawing/2014/main" id="{C6B62134-C605-476C-A0A1-5029E78FEB39}"/>
            </a:ext>
          </a:extLst>
        </xdr:cNvPr>
        <xdr:cNvSpPr/>
      </xdr:nvSpPr>
      <xdr:spPr>
        <a:xfrm>
          <a:off x="1248335" y="4605565"/>
          <a:ext cx="2194112" cy="5048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desired</a:t>
          </a:r>
          <a:r>
            <a:rPr lang="en-US" sz="1100" baseline="0"/>
            <a:t> feature from the drop down list for each line item.</a:t>
          </a:r>
          <a:endParaRPr lang="en-US" sz="1100"/>
        </a:p>
      </xdr:txBody>
    </xdr:sp>
    <xdr:clientData/>
  </xdr:twoCellAnchor>
  <xdr:twoCellAnchor>
    <xdr:from>
      <xdr:col>2</xdr:col>
      <xdr:colOff>449917</xdr:colOff>
      <xdr:row>3</xdr:row>
      <xdr:rowOff>71718</xdr:rowOff>
    </xdr:from>
    <xdr:to>
      <xdr:col>2</xdr:col>
      <xdr:colOff>449943</xdr:colOff>
      <xdr:row>4</xdr:row>
      <xdr:rowOff>192318</xdr:rowOff>
    </xdr:to>
    <xdr:cxnSp macro="">
      <xdr:nvCxnSpPr>
        <xdr:cNvPr id="7" name="Straight Arrow Connector 6">
          <a:extLst>
            <a:ext uri="{FF2B5EF4-FFF2-40B4-BE49-F238E27FC236}">
              <a16:creationId xmlns:a16="http://schemas.microsoft.com/office/drawing/2014/main" id="{8A6495DF-9F4A-4AA6-8A48-72C3C7DF2D1D}"/>
            </a:ext>
          </a:extLst>
        </xdr:cNvPr>
        <xdr:cNvCxnSpPr>
          <a:endCxn id="6" idx="2"/>
        </xdr:cNvCxnSpPr>
      </xdr:nvCxnSpPr>
      <xdr:spPr>
        <a:xfrm flipH="1" flipV="1">
          <a:off x="2345392" y="5110443"/>
          <a:ext cx="26" cy="32062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2015</xdr:colOff>
      <xdr:row>7</xdr:row>
      <xdr:rowOff>170896</xdr:rowOff>
    </xdr:from>
    <xdr:to>
      <xdr:col>11</xdr:col>
      <xdr:colOff>554356</xdr:colOff>
      <xdr:row>13</xdr:row>
      <xdr:rowOff>295274</xdr:rowOff>
    </xdr:to>
    <xdr:sp macro="" textlink="">
      <xdr:nvSpPr>
        <xdr:cNvPr id="8" name="Rounded Rectangle 13">
          <a:extLst>
            <a:ext uri="{FF2B5EF4-FFF2-40B4-BE49-F238E27FC236}">
              <a16:creationId xmlns:a16="http://schemas.microsoft.com/office/drawing/2014/main" id="{A4E0A398-94A9-4EA7-84C7-E30FC4B87EA0}"/>
            </a:ext>
          </a:extLst>
        </xdr:cNvPr>
        <xdr:cNvSpPr/>
      </xdr:nvSpPr>
      <xdr:spPr>
        <a:xfrm>
          <a:off x="10993865" y="1999696"/>
          <a:ext cx="2447816" cy="152455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a:p>
          <a:pPr algn="l"/>
          <a:r>
            <a:rPr lang="en-US" sz="1100"/>
            <a:t>1% tolerant</a:t>
          </a:r>
          <a:r>
            <a:rPr lang="en-US" sz="1100" baseline="0"/>
            <a:t> recommended</a:t>
          </a:r>
        </a:p>
        <a:p>
          <a:pPr algn="l"/>
          <a:endParaRPr lang="en-US" sz="1100" baseline="0"/>
        </a:p>
        <a:p>
          <a:pPr algn="l"/>
          <a:r>
            <a:rPr lang="en-US" sz="1100" baseline="0"/>
            <a:t>RX_D1/3 dummy loading required in SGMII for balancing purposes. Not required in RGMII mode</a:t>
          </a:r>
          <a:endParaRPr lang="en-US" sz="1100"/>
        </a:p>
      </xdr:txBody>
    </xdr:sp>
    <xdr:clientData/>
  </xdr:twoCellAnchor>
  <xdr:twoCellAnchor>
    <xdr:from>
      <xdr:col>8</xdr:col>
      <xdr:colOff>9293</xdr:colOff>
      <xdr:row>10</xdr:row>
      <xdr:rowOff>226178</xdr:rowOff>
    </xdr:from>
    <xdr:to>
      <xdr:col>9</xdr:col>
      <xdr:colOff>3823</xdr:colOff>
      <xdr:row>10</xdr:row>
      <xdr:rowOff>257098</xdr:rowOff>
    </xdr:to>
    <xdr:cxnSp macro="">
      <xdr:nvCxnSpPr>
        <xdr:cNvPr id="9" name="Straight Arrow Connector 8">
          <a:extLst>
            <a:ext uri="{FF2B5EF4-FFF2-40B4-BE49-F238E27FC236}">
              <a16:creationId xmlns:a16="http://schemas.microsoft.com/office/drawing/2014/main" id="{DC532FCE-AED3-40E0-8FD7-7CC5E4B52219}"/>
            </a:ext>
          </a:extLst>
        </xdr:cNvPr>
        <xdr:cNvCxnSpPr/>
      </xdr:nvCxnSpPr>
      <xdr:spPr>
        <a:xfrm flipV="1">
          <a:off x="7600718" y="6703178"/>
          <a:ext cx="947030" cy="30920"/>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818030</xdr:colOff>
      <xdr:row>35</xdr:row>
      <xdr:rowOff>448235</xdr:rowOff>
    </xdr:from>
    <xdr:to>
      <xdr:col>14</xdr:col>
      <xdr:colOff>818030</xdr:colOff>
      <xdr:row>43</xdr:row>
      <xdr:rowOff>156881</xdr:rowOff>
    </xdr:to>
    <xdr:sp macro="" textlink="">
      <xdr:nvSpPr>
        <xdr:cNvPr id="10" name="Rounded Rectangle 9">
          <a:extLst>
            <a:ext uri="{FF2B5EF4-FFF2-40B4-BE49-F238E27FC236}">
              <a16:creationId xmlns:a16="http://schemas.microsoft.com/office/drawing/2014/main" id="{51A57049-3CA8-4173-BF22-A5A7FDBE4A56}"/>
            </a:ext>
          </a:extLst>
        </xdr:cNvPr>
        <xdr:cNvSpPr/>
      </xdr:nvSpPr>
      <xdr:spPr>
        <a:xfrm>
          <a:off x="8409455" y="1848410"/>
          <a:ext cx="5695950" cy="174699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NOTE For</a:t>
          </a:r>
          <a:r>
            <a:rPr lang="en-US" sz="1200" b="1" baseline="0"/>
            <a:t> SGMII Operation</a:t>
          </a:r>
        </a:p>
        <a:p>
          <a:pPr algn="l"/>
          <a:r>
            <a:rPr lang="en-US" sz="1200"/>
            <a:t>For SGMII Mode 4 strap, TI recommends using Rhi = 4 k</a:t>
          </a:r>
          <a:r>
            <a:rPr lang="el-GR" sz="1200"/>
            <a:t>Ω </a:t>
          </a:r>
          <a:r>
            <a:rPr lang="en-US" sz="1200"/>
            <a:t>and Rlo = 10 k</a:t>
          </a:r>
          <a:r>
            <a:rPr lang="el-GR" sz="1200"/>
            <a:t>Ω </a:t>
          </a:r>
          <a:r>
            <a:rPr lang="en-US" sz="1200"/>
            <a:t>on  RX_D0 and RX_D1 , RX_D2 and RX_D3. </a:t>
          </a:r>
        </a:p>
        <a:p>
          <a:pPr algn="l"/>
          <a:r>
            <a:rPr lang="en-US" sz="1200"/>
            <a:t>RX_D1 and RX_D3 are not a strap inputs,</a:t>
          </a:r>
          <a:r>
            <a:rPr lang="en-US" sz="1200" baseline="0"/>
            <a:t> </a:t>
          </a:r>
          <a:r>
            <a:rPr lang="en-US" sz="1200"/>
            <a:t>but these</a:t>
          </a:r>
          <a:r>
            <a:rPr lang="en-US" sz="1200" baseline="0"/>
            <a:t> </a:t>
          </a:r>
          <a:r>
            <a:rPr lang="en-US" sz="1200"/>
            <a:t>pins must be populated with the same strap resistors chosen for RX_D0</a:t>
          </a:r>
          <a:r>
            <a:rPr lang="en-US" sz="1200" baseline="0"/>
            <a:t> </a:t>
          </a:r>
          <a:r>
            <a:rPr lang="en-US" sz="1200"/>
            <a:t>and RX_D2</a:t>
          </a:r>
          <a:r>
            <a:rPr lang="en-US" sz="1200" baseline="0"/>
            <a:t> respectively.</a:t>
          </a:r>
          <a:r>
            <a:rPr lang="en-US" sz="1200"/>
            <a:t> </a:t>
          </a:r>
          <a:r>
            <a:rPr lang="en-US" sz="1200">
              <a:solidFill>
                <a:schemeClr val="lt1"/>
              </a:solidFill>
              <a:effectLst/>
              <a:latin typeface="+mn-lt"/>
              <a:ea typeface="+mn-ea"/>
              <a:cs typeface="+mn-cs"/>
            </a:rPr>
            <a:t>RX_D0 and RX_D1 form an SGMII differential pair. RX_D2</a:t>
          </a:r>
          <a:r>
            <a:rPr lang="en-US" sz="1200" baseline="0">
              <a:solidFill>
                <a:schemeClr val="lt1"/>
              </a:solidFill>
              <a:effectLst/>
              <a:latin typeface="+mn-lt"/>
              <a:ea typeface="+mn-ea"/>
              <a:cs typeface="+mn-cs"/>
            </a:rPr>
            <a:t> </a:t>
          </a:r>
          <a:r>
            <a:rPr lang="en-US" sz="1200">
              <a:solidFill>
                <a:schemeClr val="lt1"/>
              </a:solidFill>
              <a:effectLst/>
              <a:latin typeface="+mn-lt"/>
              <a:ea typeface="+mn-ea"/>
              <a:cs typeface="+mn-cs"/>
            </a:rPr>
            <a:t>and RX_D3</a:t>
          </a:r>
          <a:r>
            <a:rPr lang="en-US" sz="1200" baseline="0">
              <a:solidFill>
                <a:schemeClr val="lt1"/>
              </a:solidFill>
              <a:effectLst/>
              <a:latin typeface="+mn-lt"/>
              <a:ea typeface="+mn-ea"/>
              <a:cs typeface="+mn-cs"/>
            </a:rPr>
            <a:t> </a:t>
          </a:r>
          <a:r>
            <a:rPr lang="en-US" sz="1200">
              <a:solidFill>
                <a:schemeClr val="lt1"/>
              </a:solidFill>
              <a:effectLst/>
              <a:latin typeface="+mn-lt"/>
              <a:ea typeface="+mn-ea"/>
              <a:cs typeface="+mn-cs"/>
            </a:rPr>
            <a:t>form another SGMII differential pair</a:t>
          </a:r>
          <a:r>
            <a:rPr lang="en-US" sz="1200"/>
            <a:t>. The dummy straps on RX_D1 and RX_D3 are required to provide a balanced load for the</a:t>
          </a:r>
          <a:r>
            <a:rPr lang="en-US" sz="1200" baseline="0"/>
            <a:t> </a:t>
          </a:r>
          <a:r>
            <a:rPr lang="en-US" sz="1200"/>
            <a:t>SGMII differential pairs</a:t>
          </a:r>
          <a:r>
            <a:rPr lang="en-US"/>
            <a:t>.</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1251859</xdr:colOff>
      <xdr:row>6</xdr:row>
      <xdr:rowOff>94885</xdr:rowOff>
    </xdr:from>
    <xdr:to>
      <xdr:col>4</xdr:col>
      <xdr:colOff>3944461</xdr:colOff>
      <xdr:row>6</xdr:row>
      <xdr:rowOff>2077810</xdr:rowOff>
    </xdr:to>
    <xdr:pic>
      <xdr:nvPicPr>
        <xdr:cNvPr id="2" name="Picture 1">
          <a:extLst>
            <a:ext uri="{FF2B5EF4-FFF2-40B4-BE49-F238E27FC236}">
              <a16:creationId xmlns:a16="http://schemas.microsoft.com/office/drawing/2014/main" id="{BF42199E-A36A-4912-B545-06042F838FC3}"/>
            </a:ext>
          </a:extLst>
        </xdr:cNvPr>
        <xdr:cNvPicPr>
          <a:picLocks noChangeAspect="1"/>
        </xdr:cNvPicPr>
      </xdr:nvPicPr>
      <xdr:blipFill>
        <a:blip xmlns:r="http://schemas.openxmlformats.org/officeDocument/2006/relationships" r:embed="rId1"/>
        <a:stretch>
          <a:fillRect/>
        </a:stretch>
      </xdr:blipFill>
      <xdr:spPr>
        <a:xfrm>
          <a:off x="10814959" y="12820285"/>
          <a:ext cx="2688792" cy="1973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74615</xdr:colOff>
          <xdr:row>13</xdr:row>
          <xdr:rowOff>1857946</xdr:rowOff>
        </xdr:from>
        <xdr:to>
          <xdr:col>4</xdr:col>
          <xdr:colOff>5012839</xdr:colOff>
          <xdr:row>14</xdr:row>
          <xdr:rowOff>1850549</xdr:rowOff>
        </xdr:to>
        <xdr:pic>
          <xdr:nvPicPr>
            <xdr:cNvPr id="3" name="Picture 2">
              <a:extLst>
                <a:ext uri="{FF2B5EF4-FFF2-40B4-BE49-F238E27FC236}">
                  <a16:creationId xmlns:a16="http://schemas.microsoft.com/office/drawing/2014/main" id="{5ADEB4EE-7F59-4C39-9F4A-0D4D9BA7D1CC}"/>
                </a:ext>
              </a:extLst>
            </xdr:cNvPr>
            <xdr:cNvPicPr>
              <a:picLocks noChangeAspect="1" noChangeArrowheads="1"/>
              <a:extLst>
                <a:ext uri="{84589F7E-364E-4C9E-8A38-B11213B215E9}">
                  <a14:cameraTool cellRange="Picture3" spid="_x0000_s7786"/>
                </a:ext>
              </a:extLst>
            </xdr:cNvPicPr>
          </xdr:nvPicPr>
          <xdr:blipFill>
            <a:blip xmlns:r="http://schemas.openxmlformats.org/officeDocument/2006/relationships" r:embed="rId2"/>
            <a:srcRect/>
            <a:stretch>
              <a:fillRect/>
            </a:stretch>
          </xdr:blipFill>
          <xdr:spPr bwMode="auto">
            <a:xfrm>
              <a:off x="9633233" y="31934534"/>
              <a:ext cx="4934414" cy="20842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1284520</xdr:colOff>
      <xdr:row>17</xdr:row>
      <xdr:rowOff>54435</xdr:rowOff>
    </xdr:from>
    <xdr:to>
      <xdr:col>4</xdr:col>
      <xdr:colOff>3698746</xdr:colOff>
      <xdr:row>17</xdr:row>
      <xdr:rowOff>2050922</xdr:rowOff>
    </xdr:to>
    <xdr:pic>
      <xdr:nvPicPr>
        <xdr:cNvPr id="4" name="Picture 3">
          <a:extLst>
            <a:ext uri="{FF2B5EF4-FFF2-40B4-BE49-F238E27FC236}">
              <a16:creationId xmlns:a16="http://schemas.microsoft.com/office/drawing/2014/main" id="{257002C3-BD84-4CF7-9C9F-BD8F70C9BA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47620" y="37059060"/>
          <a:ext cx="2414226" cy="1999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1458724</xdr:colOff>
      <xdr:row>19</xdr:row>
      <xdr:rowOff>28180</xdr:rowOff>
    </xdr:from>
    <xdr:to>
      <xdr:col>4</xdr:col>
      <xdr:colOff>3638101</xdr:colOff>
      <xdr:row>19</xdr:row>
      <xdr:rowOff>2094899</xdr:rowOff>
    </xdr:to>
    <xdr:pic>
      <xdr:nvPicPr>
        <xdr:cNvPr id="5" name="Picture 4">
          <a:extLst>
            <a:ext uri="{FF2B5EF4-FFF2-40B4-BE49-F238E27FC236}">
              <a16:creationId xmlns:a16="http://schemas.microsoft.com/office/drawing/2014/main" id="{5627AF3B-B208-49FA-B7D0-D9DD77CA0345}"/>
            </a:ext>
          </a:extLst>
        </xdr:cNvPr>
        <xdr:cNvPicPr>
          <a:picLocks noChangeAspect="1"/>
        </xdr:cNvPicPr>
      </xdr:nvPicPr>
      <xdr:blipFill>
        <a:blip xmlns:r="http://schemas.openxmlformats.org/officeDocument/2006/relationships" r:embed="rId4"/>
        <a:stretch>
          <a:fillRect/>
        </a:stretch>
      </xdr:blipFill>
      <xdr:spPr>
        <a:xfrm>
          <a:off x="11021824" y="39566455"/>
          <a:ext cx="2183187" cy="2066719"/>
        </a:xfrm>
        <a:prstGeom prst="rect">
          <a:avLst/>
        </a:prstGeom>
      </xdr:spPr>
    </xdr:pic>
    <xdr:clientData/>
  </xdr:twoCellAnchor>
  <xdr:twoCellAnchor editAs="oneCell">
    <xdr:from>
      <xdr:col>4</xdr:col>
      <xdr:colOff>814442</xdr:colOff>
      <xdr:row>23</xdr:row>
      <xdr:rowOff>117103</xdr:rowOff>
    </xdr:from>
    <xdr:to>
      <xdr:col>4</xdr:col>
      <xdr:colOff>4411942</xdr:colOff>
      <xdr:row>23</xdr:row>
      <xdr:rowOff>2978396</xdr:rowOff>
    </xdr:to>
    <xdr:pic>
      <xdr:nvPicPr>
        <xdr:cNvPr id="6" name="Picture 5">
          <a:extLst>
            <a:ext uri="{FF2B5EF4-FFF2-40B4-BE49-F238E27FC236}">
              <a16:creationId xmlns:a16="http://schemas.microsoft.com/office/drawing/2014/main" id="{F8D2F9CB-3D29-418B-A0F3-309D9AB37F4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30795" y="44279485"/>
          <a:ext cx="3600675" cy="285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908478</xdr:colOff>
      <xdr:row>1</xdr:row>
      <xdr:rowOff>89647</xdr:rowOff>
    </xdr:from>
    <xdr:to>
      <xdr:col>4</xdr:col>
      <xdr:colOff>4363811</xdr:colOff>
      <xdr:row>1</xdr:row>
      <xdr:rowOff>2502345</xdr:rowOff>
    </xdr:to>
    <xdr:pic>
      <xdr:nvPicPr>
        <xdr:cNvPr id="7" name="Picture 6">
          <a:extLst>
            <a:ext uri="{FF2B5EF4-FFF2-40B4-BE49-F238E27FC236}">
              <a16:creationId xmlns:a16="http://schemas.microsoft.com/office/drawing/2014/main" id="{C1517BDA-76B9-48B0-BCC8-DBEAA5B9DF8F}"/>
            </a:ext>
          </a:extLst>
        </xdr:cNvPr>
        <xdr:cNvPicPr>
          <a:picLocks noChangeAspect="1"/>
        </xdr:cNvPicPr>
      </xdr:nvPicPr>
      <xdr:blipFill>
        <a:blip xmlns:r="http://schemas.openxmlformats.org/officeDocument/2006/relationships" r:embed="rId6"/>
        <a:stretch>
          <a:fillRect/>
        </a:stretch>
      </xdr:blipFill>
      <xdr:spPr>
        <a:xfrm>
          <a:off x="10471578" y="851647"/>
          <a:ext cx="3445808" cy="2420953"/>
        </a:xfrm>
        <a:prstGeom prst="rect">
          <a:avLst/>
        </a:prstGeom>
      </xdr:spPr>
    </xdr:pic>
    <xdr:clientData/>
  </xdr:twoCellAnchor>
  <xdr:twoCellAnchor editAs="oneCell">
    <xdr:from>
      <xdr:col>4</xdr:col>
      <xdr:colOff>661148</xdr:colOff>
      <xdr:row>2</xdr:row>
      <xdr:rowOff>112058</xdr:rowOff>
    </xdr:from>
    <xdr:to>
      <xdr:col>4</xdr:col>
      <xdr:colOff>4264096</xdr:colOff>
      <xdr:row>2</xdr:row>
      <xdr:rowOff>2422376</xdr:rowOff>
    </xdr:to>
    <xdr:pic>
      <xdr:nvPicPr>
        <xdr:cNvPr id="8" name="Picture 7">
          <a:extLst>
            <a:ext uri="{FF2B5EF4-FFF2-40B4-BE49-F238E27FC236}">
              <a16:creationId xmlns:a16="http://schemas.microsoft.com/office/drawing/2014/main" id="{78FA445C-82BA-4C78-88F4-7B5AE4D69BC9}"/>
            </a:ext>
          </a:extLst>
        </xdr:cNvPr>
        <xdr:cNvPicPr>
          <a:picLocks noChangeAspect="1"/>
        </xdr:cNvPicPr>
      </xdr:nvPicPr>
      <xdr:blipFill>
        <a:blip xmlns:r="http://schemas.openxmlformats.org/officeDocument/2006/relationships" r:embed="rId7"/>
        <a:stretch>
          <a:fillRect/>
        </a:stretch>
      </xdr:blipFill>
      <xdr:spPr>
        <a:xfrm>
          <a:off x="10224248" y="3407708"/>
          <a:ext cx="3602948" cy="2317938"/>
        </a:xfrm>
        <a:prstGeom prst="rect">
          <a:avLst/>
        </a:prstGeom>
      </xdr:spPr>
    </xdr:pic>
    <xdr:clientData/>
  </xdr:twoCellAnchor>
  <xdr:twoCellAnchor editAs="oneCell">
    <xdr:from>
      <xdr:col>4</xdr:col>
      <xdr:colOff>802822</xdr:colOff>
      <xdr:row>3</xdr:row>
      <xdr:rowOff>41339</xdr:rowOff>
    </xdr:from>
    <xdr:to>
      <xdr:col>4</xdr:col>
      <xdr:colOff>4399190</xdr:colOff>
      <xdr:row>3</xdr:row>
      <xdr:rowOff>3902315</xdr:rowOff>
    </xdr:to>
    <xdr:pic>
      <xdr:nvPicPr>
        <xdr:cNvPr id="9" name="Picture 8">
          <a:extLst>
            <a:ext uri="{FF2B5EF4-FFF2-40B4-BE49-F238E27FC236}">
              <a16:creationId xmlns:a16="http://schemas.microsoft.com/office/drawing/2014/main" id="{DB919723-856C-4754-9E7B-9491BCCAE2D8}"/>
            </a:ext>
          </a:extLst>
        </xdr:cNvPr>
        <xdr:cNvPicPr>
          <a:picLocks noChangeAspect="1"/>
        </xdr:cNvPicPr>
      </xdr:nvPicPr>
      <xdr:blipFill>
        <a:blip xmlns:r="http://schemas.openxmlformats.org/officeDocument/2006/relationships" r:embed="rId8"/>
        <a:stretch>
          <a:fillRect/>
        </a:stretch>
      </xdr:blipFill>
      <xdr:spPr>
        <a:xfrm>
          <a:off x="10365922" y="5861114"/>
          <a:ext cx="3605893" cy="3853356"/>
        </a:xfrm>
        <a:prstGeom prst="rect">
          <a:avLst/>
        </a:prstGeom>
      </xdr:spPr>
    </xdr:pic>
    <xdr:clientData/>
  </xdr:twoCellAnchor>
  <xdr:twoCellAnchor editAs="oneCell">
    <xdr:from>
      <xdr:col>4</xdr:col>
      <xdr:colOff>896470</xdr:colOff>
      <xdr:row>4</xdr:row>
      <xdr:rowOff>56028</xdr:rowOff>
    </xdr:from>
    <xdr:to>
      <xdr:col>4</xdr:col>
      <xdr:colOff>4841741</xdr:colOff>
      <xdr:row>4</xdr:row>
      <xdr:rowOff>2435485</xdr:rowOff>
    </xdr:to>
    <xdr:pic>
      <xdr:nvPicPr>
        <xdr:cNvPr id="10" name="Picture 9">
          <a:extLst>
            <a:ext uri="{FF2B5EF4-FFF2-40B4-BE49-F238E27FC236}">
              <a16:creationId xmlns:a16="http://schemas.microsoft.com/office/drawing/2014/main" id="{845BA3AD-BB3F-4DCC-8921-433E4245A23A}"/>
            </a:ext>
          </a:extLst>
        </xdr:cNvPr>
        <xdr:cNvPicPr>
          <a:picLocks noChangeAspect="1"/>
        </xdr:cNvPicPr>
      </xdr:nvPicPr>
      <xdr:blipFill>
        <a:blip xmlns:r="http://schemas.openxmlformats.org/officeDocument/2006/relationships" r:embed="rId9"/>
        <a:stretch>
          <a:fillRect/>
        </a:stretch>
      </xdr:blipFill>
      <xdr:spPr>
        <a:xfrm>
          <a:off x="10459570" y="9819153"/>
          <a:ext cx="3945271" cy="2379457"/>
        </a:xfrm>
        <a:prstGeom prst="rect">
          <a:avLst/>
        </a:prstGeom>
      </xdr:spPr>
    </xdr:pic>
    <xdr:clientData/>
  </xdr:twoCellAnchor>
  <xdr:twoCellAnchor editAs="oneCell">
    <xdr:from>
      <xdr:col>4</xdr:col>
      <xdr:colOff>267414</xdr:colOff>
      <xdr:row>10</xdr:row>
      <xdr:rowOff>4207353</xdr:rowOff>
    </xdr:from>
    <xdr:to>
      <xdr:col>4</xdr:col>
      <xdr:colOff>4705465</xdr:colOff>
      <xdr:row>11</xdr:row>
      <xdr:rowOff>3449551</xdr:rowOff>
    </xdr:to>
    <xdr:pic>
      <xdr:nvPicPr>
        <xdr:cNvPr id="11" name="Picture 10">
          <a:extLst>
            <a:ext uri="{FF2B5EF4-FFF2-40B4-BE49-F238E27FC236}">
              <a16:creationId xmlns:a16="http://schemas.microsoft.com/office/drawing/2014/main" id="{85066CBE-A6F1-488F-870B-FCB564038B17}"/>
            </a:ext>
          </a:extLst>
        </xdr:cNvPr>
        <xdr:cNvPicPr>
          <a:picLocks noChangeAspect="1"/>
        </xdr:cNvPicPr>
      </xdr:nvPicPr>
      <xdr:blipFill>
        <a:blip xmlns:r="http://schemas.openxmlformats.org/officeDocument/2006/relationships" r:embed="rId10"/>
        <a:stretch>
          <a:fillRect/>
        </a:stretch>
      </xdr:blipFill>
      <xdr:spPr>
        <a:xfrm>
          <a:off x="9827050" y="21802626"/>
          <a:ext cx="4428526" cy="4202992"/>
        </a:xfrm>
        <a:prstGeom prst="rect">
          <a:avLst/>
        </a:prstGeom>
      </xdr:spPr>
    </xdr:pic>
    <xdr:clientData/>
  </xdr:twoCellAnchor>
  <xdr:twoCellAnchor editAs="oneCell">
    <xdr:from>
      <xdr:col>4</xdr:col>
      <xdr:colOff>771606</xdr:colOff>
      <xdr:row>10</xdr:row>
      <xdr:rowOff>95250</xdr:rowOff>
    </xdr:from>
    <xdr:to>
      <xdr:col>4</xdr:col>
      <xdr:colOff>4127365</xdr:colOff>
      <xdr:row>10</xdr:row>
      <xdr:rowOff>4323335</xdr:rowOff>
    </xdr:to>
    <xdr:pic>
      <xdr:nvPicPr>
        <xdr:cNvPr id="12" name="Picture 11">
          <a:extLst>
            <a:ext uri="{FF2B5EF4-FFF2-40B4-BE49-F238E27FC236}">
              <a16:creationId xmlns:a16="http://schemas.microsoft.com/office/drawing/2014/main" id="{3B1FFA6C-D439-4485-AAA4-DFDD3B3DEDCD}"/>
            </a:ext>
          </a:extLst>
        </xdr:cNvPr>
        <xdr:cNvPicPr>
          <a:picLocks noChangeAspect="1"/>
        </xdr:cNvPicPr>
      </xdr:nvPicPr>
      <xdr:blipFill>
        <a:blip xmlns:r="http://schemas.openxmlformats.org/officeDocument/2006/relationships" r:embed="rId11"/>
        <a:stretch>
          <a:fillRect/>
        </a:stretch>
      </xdr:blipFill>
      <xdr:spPr>
        <a:xfrm>
          <a:off x="10337427" y="17702893"/>
          <a:ext cx="3355124" cy="42414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78440</xdr:colOff>
          <xdr:row>13</xdr:row>
          <xdr:rowOff>89648</xdr:rowOff>
        </xdr:from>
        <xdr:to>
          <xdr:col>4</xdr:col>
          <xdr:colOff>5065058</xdr:colOff>
          <xdr:row>13</xdr:row>
          <xdr:rowOff>1430543</xdr:rowOff>
        </xdr:to>
        <xdr:pic>
          <xdr:nvPicPr>
            <xdr:cNvPr id="13" name="Picture 12">
              <a:extLst>
                <a:ext uri="{FF2B5EF4-FFF2-40B4-BE49-F238E27FC236}">
                  <a16:creationId xmlns:a16="http://schemas.microsoft.com/office/drawing/2014/main" id="{02222247-769C-4DC5-8FAC-AEB9175CDF06}"/>
                </a:ext>
              </a:extLst>
            </xdr:cNvPr>
            <xdr:cNvPicPr>
              <a:picLocks noChangeAspect="1"/>
              <a:extLst>
                <a:ext uri="{84589F7E-364E-4C9E-8A38-B11213B215E9}">
                  <a14:cameraTool cellRange="Picture2" spid="_x0000_s7787"/>
                </a:ext>
              </a:extLst>
            </xdr:cNvPicPr>
          </xdr:nvPicPr>
          <xdr:blipFill>
            <a:blip xmlns:r="http://schemas.openxmlformats.org/officeDocument/2006/relationships" r:embed="rId12"/>
            <a:stretch>
              <a:fillRect/>
            </a:stretch>
          </xdr:blipFill>
          <xdr:spPr>
            <a:xfrm>
              <a:off x="9637058" y="30166236"/>
              <a:ext cx="4986618" cy="1344705"/>
            </a:xfrm>
            <a:prstGeom prst="rect">
              <a:avLst/>
            </a:prstGeom>
          </xdr:spPr>
        </xdr:pic>
        <xdr:clientData/>
      </xdr:twoCellAnchor>
    </mc:Choice>
    <mc:Fallback/>
  </mc:AlternateContent>
  <xdr:twoCellAnchor editAs="oneCell">
    <xdr:from>
      <xdr:col>3</xdr:col>
      <xdr:colOff>381001</xdr:colOff>
      <xdr:row>87</xdr:row>
      <xdr:rowOff>112058</xdr:rowOff>
    </xdr:from>
    <xdr:to>
      <xdr:col>3</xdr:col>
      <xdr:colOff>5446059</xdr:colOff>
      <xdr:row>87</xdr:row>
      <xdr:rowOff>2279088</xdr:rowOff>
    </xdr:to>
    <xdr:pic>
      <xdr:nvPicPr>
        <xdr:cNvPr id="14" name="Picture 13">
          <a:extLst>
            <a:ext uri="{FF2B5EF4-FFF2-40B4-BE49-F238E27FC236}">
              <a16:creationId xmlns:a16="http://schemas.microsoft.com/office/drawing/2014/main" id="{71983AF6-2AD8-41AD-A298-747031DD6384}"/>
            </a:ext>
          </a:extLst>
        </xdr:cNvPr>
        <xdr:cNvPicPr>
          <a:picLocks noChangeAspect="1"/>
        </xdr:cNvPicPr>
      </xdr:nvPicPr>
      <xdr:blipFill>
        <a:blip xmlns:r="http://schemas.openxmlformats.org/officeDocument/2006/relationships" r:embed="rId13"/>
        <a:stretch>
          <a:fillRect/>
        </a:stretch>
      </xdr:blipFill>
      <xdr:spPr>
        <a:xfrm>
          <a:off x="3990976" y="61281608"/>
          <a:ext cx="5065058" cy="217020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153966</xdr:colOff>
          <xdr:row>25</xdr:row>
          <xdr:rowOff>332974</xdr:rowOff>
        </xdr:from>
        <xdr:to>
          <xdr:col>4</xdr:col>
          <xdr:colOff>5012839</xdr:colOff>
          <xdr:row>44</xdr:row>
          <xdr:rowOff>855980</xdr:rowOff>
        </xdr:to>
        <xdr:pic>
          <xdr:nvPicPr>
            <xdr:cNvPr id="16" name="Picture 15">
              <a:extLst>
                <a:ext uri="{FF2B5EF4-FFF2-40B4-BE49-F238E27FC236}">
                  <a16:creationId xmlns:a16="http://schemas.microsoft.com/office/drawing/2014/main" id="{83DD9C5E-3803-49ED-8610-F49564D89FD7}"/>
                </a:ext>
              </a:extLst>
            </xdr:cNvPr>
            <xdr:cNvPicPr>
              <a:picLocks noChangeAspect="1"/>
              <a:extLst>
                <a:ext uri="{84589F7E-364E-4C9E-8A38-B11213B215E9}">
                  <a14:cameraTool cellRange="Picture" spid="_x0000_s7788"/>
                </a:ext>
              </a:extLst>
            </xdr:cNvPicPr>
          </xdr:nvPicPr>
          <xdr:blipFill>
            <a:blip xmlns:r="http://schemas.openxmlformats.org/officeDocument/2006/relationships" r:embed="rId14"/>
            <a:stretch>
              <a:fillRect/>
            </a:stretch>
          </xdr:blipFill>
          <xdr:spPr>
            <a:xfrm>
              <a:off x="9964716" y="48434224"/>
              <a:ext cx="4855063" cy="6579454"/>
            </a:xfrm>
            <a:prstGeom prst="rect">
              <a:avLst/>
            </a:prstGeom>
          </xdr:spPr>
        </xdr:pic>
        <xdr:clientData/>
      </xdr:twoCellAnchor>
    </mc:Choice>
    <mc:Fallback/>
  </mc:AlternateContent>
  <xdr:twoCellAnchor editAs="oneCell">
    <xdr:from>
      <xdr:col>4</xdr:col>
      <xdr:colOff>268286</xdr:colOff>
      <xdr:row>8</xdr:row>
      <xdr:rowOff>136072</xdr:rowOff>
    </xdr:from>
    <xdr:to>
      <xdr:col>4</xdr:col>
      <xdr:colOff>4401950</xdr:colOff>
      <xdr:row>8</xdr:row>
      <xdr:rowOff>1922690</xdr:rowOff>
    </xdr:to>
    <xdr:pic>
      <xdr:nvPicPr>
        <xdr:cNvPr id="17" name="Picture 16">
          <a:extLst>
            <a:ext uri="{FF2B5EF4-FFF2-40B4-BE49-F238E27FC236}">
              <a16:creationId xmlns:a16="http://schemas.microsoft.com/office/drawing/2014/main" id="{84B2A628-3667-4217-A2A6-6C66FBB30038}"/>
            </a:ext>
          </a:extLst>
        </xdr:cNvPr>
        <xdr:cNvPicPr>
          <a:picLocks noChangeAspect="1"/>
        </xdr:cNvPicPr>
      </xdr:nvPicPr>
      <xdr:blipFill>
        <a:blip xmlns:r="http://schemas.openxmlformats.org/officeDocument/2006/relationships" r:embed="rId15"/>
        <a:stretch>
          <a:fillRect/>
        </a:stretch>
      </xdr:blipFill>
      <xdr:spPr>
        <a:xfrm>
          <a:off x="9831386" y="15395122"/>
          <a:ext cx="4129854" cy="1796143"/>
        </a:xfrm>
        <a:prstGeom prst="rect">
          <a:avLst/>
        </a:prstGeom>
      </xdr:spPr>
    </xdr:pic>
    <xdr:clientData/>
  </xdr:twoCellAnchor>
  <xdr:twoCellAnchor editAs="oneCell">
    <xdr:from>
      <xdr:col>3</xdr:col>
      <xdr:colOff>78441</xdr:colOff>
      <xdr:row>93</xdr:row>
      <xdr:rowOff>91236</xdr:rowOff>
    </xdr:from>
    <xdr:to>
      <xdr:col>3</xdr:col>
      <xdr:colOff>5965115</xdr:colOff>
      <xdr:row>93</xdr:row>
      <xdr:rowOff>2508160</xdr:rowOff>
    </xdr:to>
    <xdr:pic>
      <xdr:nvPicPr>
        <xdr:cNvPr id="18" name="Picture 17">
          <a:extLst>
            <a:ext uri="{FF2B5EF4-FFF2-40B4-BE49-F238E27FC236}">
              <a16:creationId xmlns:a16="http://schemas.microsoft.com/office/drawing/2014/main" id="{2785E6EF-3988-48A3-BD39-C109C426977F}"/>
            </a:ext>
          </a:extLst>
        </xdr:cNvPr>
        <xdr:cNvPicPr>
          <a:picLocks noChangeAspect="1"/>
        </xdr:cNvPicPr>
      </xdr:nvPicPr>
      <xdr:blipFill>
        <a:blip xmlns:r="http://schemas.openxmlformats.org/officeDocument/2006/relationships" r:embed="rId16"/>
        <a:stretch>
          <a:fillRect/>
        </a:stretch>
      </xdr:blipFill>
      <xdr:spPr>
        <a:xfrm>
          <a:off x="3688416" y="71452536"/>
          <a:ext cx="5897095" cy="2420099"/>
        </a:xfrm>
        <a:prstGeom prst="rect">
          <a:avLst/>
        </a:prstGeom>
      </xdr:spPr>
    </xdr:pic>
    <xdr:clientData/>
  </xdr:twoCellAnchor>
  <xdr:twoCellAnchor editAs="oneCell">
    <xdr:from>
      <xdr:col>3</xdr:col>
      <xdr:colOff>74141</xdr:colOff>
      <xdr:row>92</xdr:row>
      <xdr:rowOff>56030</xdr:rowOff>
    </xdr:from>
    <xdr:to>
      <xdr:col>3</xdr:col>
      <xdr:colOff>5917769</xdr:colOff>
      <xdr:row>92</xdr:row>
      <xdr:rowOff>1774340</xdr:rowOff>
    </xdr:to>
    <xdr:pic>
      <xdr:nvPicPr>
        <xdr:cNvPr id="19" name="Picture 18">
          <a:extLst>
            <a:ext uri="{FF2B5EF4-FFF2-40B4-BE49-F238E27FC236}">
              <a16:creationId xmlns:a16="http://schemas.microsoft.com/office/drawing/2014/main" id="{8DC6C3CF-DB02-4E0B-87CD-9FAC2BF76021}"/>
            </a:ext>
          </a:extLst>
        </xdr:cNvPr>
        <xdr:cNvPicPr>
          <a:picLocks noChangeAspect="1"/>
        </xdr:cNvPicPr>
      </xdr:nvPicPr>
      <xdr:blipFill>
        <a:blip xmlns:r="http://schemas.openxmlformats.org/officeDocument/2006/relationships" r:embed="rId17"/>
        <a:stretch>
          <a:fillRect/>
        </a:stretch>
      </xdr:blipFill>
      <xdr:spPr>
        <a:xfrm>
          <a:off x="3684116" y="69626630"/>
          <a:ext cx="5835373" cy="1714500"/>
        </a:xfrm>
        <a:prstGeom prst="rect">
          <a:avLst/>
        </a:prstGeom>
      </xdr:spPr>
    </xdr:pic>
    <xdr:clientData/>
  </xdr:twoCellAnchor>
  <xdr:twoCellAnchor editAs="oneCell">
    <xdr:from>
      <xdr:col>3</xdr:col>
      <xdr:colOff>145677</xdr:colOff>
      <xdr:row>91</xdr:row>
      <xdr:rowOff>48996</xdr:rowOff>
    </xdr:from>
    <xdr:to>
      <xdr:col>3</xdr:col>
      <xdr:colOff>5847342</xdr:colOff>
      <xdr:row>91</xdr:row>
      <xdr:rowOff>2001377</xdr:rowOff>
    </xdr:to>
    <xdr:pic>
      <xdr:nvPicPr>
        <xdr:cNvPr id="20" name="Picture 19">
          <a:extLst>
            <a:ext uri="{FF2B5EF4-FFF2-40B4-BE49-F238E27FC236}">
              <a16:creationId xmlns:a16="http://schemas.microsoft.com/office/drawing/2014/main" id="{FB143B6F-38D4-450C-A3CC-A034878799C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755652" y="67533621"/>
          <a:ext cx="5715000" cy="194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xdr:colOff>
      <xdr:row>90</xdr:row>
      <xdr:rowOff>67235</xdr:rowOff>
    </xdr:from>
    <xdr:to>
      <xdr:col>3</xdr:col>
      <xdr:colOff>5927688</xdr:colOff>
      <xdr:row>91</xdr:row>
      <xdr:rowOff>0</xdr:rowOff>
    </xdr:to>
    <xdr:pic>
      <xdr:nvPicPr>
        <xdr:cNvPr id="21" name="Picture 20">
          <a:extLst>
            <a:ext uri="{FF2B5EF4-FFF2-40B4-BE49-F238E27FC236}">
              <a16:creationId xmlns:a16="http://schemas.microsoft.com/office/drawing/2014/main" id="{F0594D3C-E123-4BF5-A157-546BECB6CD2B}"/>
            </a:ext>
          </a:extLst>
        </xdr:cNvPr>
        <xdr:cNvPicPr>
          <a:picLocks noChangeAspect="1"/>
        </xdr:cNvPicPr>
      </xdr:nvPicPr>
      <xdr:blipFill>
        <a:blip xmlns:r="http://schemas.openxmlformats.org/officeDocument/2006/relationships" r:embed="rId19"/>
        <a:stretch>
          <a:fillRect/>
        </a:stretch>
      </xdr:blipFill>
      <xdr:spPr>
        <a:xfrm>
          <a:off x="3675529" y="68075735"/>
          <a:ext cx="5871883" cy="1591236"/>
        </a:xfrm>
        <a:prstGeom prst="rect">
          <a:avLst/>
        </a:prstGeom>
      </xdr:spPr>
    </xdr:pic>
    <xdr:clientData/>
  </xdr:twoCellAnchor>
  <xdr:twoCellAnchor editAs="oneCell">
    <xdr:from>
      <xdr:col>3</xdr:col>
      <xdr:colOff>268941</xdr:colOff>
      <xdr:row>88</xdr:row>
      <xdr:rowOff>47878</xdr:rowOff>
    </xdr:from>
    <xdr:to>
      <xdr:col>3</xdr:col>
      <xdr:colOff>5827059</xdr:colOff>
      <xdr:row>89</xdr:row>
      <xdr:rowOff>16452</xdr:rowOff>
    </xdr:to>
    <xdr:pic>
      <xdr:nvPicPr>
        <xdr:cNvPr id="25" name="Picture 24">
          <a:extLst>
            <a:ext uri="{FF2B5EF4-FFF2-40B4-BE49-F238E27FC236}">
              <a16:creationId xmlns:a16="http://schemas.microsoft.com/office/drawing/2014/main" id="{81F7DD15-BBA2-488B-943C-D792F2A37D3B}"/>
            </a:ext>
          </a:extLst>
        </xdr:cNvPr>
        <xdr:cNvPicPr>
          <a:picLocks noChangeAspect="1"/>
        </xdr:cNvPicPr>
      </xdr:nvPicPr>
      <xdr:blipFill>
        <a:blip xmlns:r="http://schemas.openxmlformats.org/officeDocument/2006/relationships" r:embed="rId20"/>
        <a:stretch>
          <a:fillRect/>
        </a:stretch>
      </xdr:blipFill>
      <xdr:spPr>
        <a:xfrm>
          <a:off x="3877235" y="65871231"/>
          <a:ext cx="5558118" cy="2254349"/>
        </a:xfrm>
        <a:prstGeom prst="rect">
          <a:avLst/>
        </a:prstGeom>
      </xdr:spPr>
    </xdr:pic>
    <xdr:clientData/>
  </xdr:twoCellAnchor>
  <xdr:twoCellAnchor editAs="oneCell">
    <xdr:from>
      <xdr:col>3</xdr:col>
      <xdr:colOff>108857</xdr:colOff>
      <xdr:row>89</xdr:row>
      <xdr:rowOff>70160</xdr:rowOff>
    </xdr:from>
    <xdr:to>
      <xdr:col>3</xdr:col>
      <xdr:colOff>6096000</xdr:colOff>
      <xdr:row>89</xdr:row>
      <xdr:rowOff>2265215</xdr:rowOff>
    </xdr:to>
    <xdr:pic>
      <xdr:nvPicPr>
        <xdr:cNvPr id="26" name="Picture 25">
          <a:extLst>
            <a:ext uri="{FF2B5EF4-FFF2-40B4-BE49-F238E27FC236}">
              <a16:creationId xmlns:a16="http://schemas.microsoft.com/office/drawing/2014/main" id="{BA7B3C58-BA1B-4051-9DAC-DD72CD2E37CE}"/>
            </a:ext>
          </a:extLst>
        </xdr:cNvPr>
        <xdr:cNvPicPr>
          <a:picLocks noChangeAspect="1"/>
        </xdr:cNvPicPr>
      </xdr:nvPicPr>
      <xdr:blipFill>
        <a:blip xmlns:r="http://schemas.openxmlformats.org/officeDocument/2006/relationships" r:embed="rId21"/>
        <a:stretch>
          <a:fillRect/>
        </a:stretch>
      </xdr:blipFill>
      <xdr:spPr>
        <a:xfrm>
          <a:off x="3714750" y="68255553"/>
          <a:ext cx="5987143" cy="2191245"/>
        </a:xfrm>
        <a:prstGeom prst="rect">
          <a:avLst/>
        </a:prstGeom>
      </xdr:spPr>
    </xdr:pic>
    <xdr:clientData/>
  </xdr:twoCellAnchor>
  <xdr:twoCellAnchor editAs="oneCell">
    <xdr:from>
      <xdr:col>4</xdr:col>
      <xdr:colOff>862853</xdr:colOff>
      <xdr:row>20</xdr:row>
      <xdr:rowOff>112059</xdr:rowOff>
    </xdr:from>
    <xdr:to>
      <xdr:col>4</xdr:col>
      <xdr:colOff>4379044</xdr:colOff>
      <xdr:row>20</xdr:row>
      <xdr:rowOff>1959678</xdr:rowOff>
    </xdr:to>
    <xdr:pic>
      <xdr:nvPicPr>
        <xdr:cNvPr id="15" name="Picture 14">
          <a:extLst>
            <a:ext uri="{FF2B5EF4-FFF2-40B4-BE49-F238E27FC236}">
              <a16:creationId xmlns:a16="http://schemas.microsoft.com/office/drawing/2014/main" id="{60950CD4-973C-42C0-95B5-F6156898AF38}"/>
            </a:ext>
          </a:extLst>
        </xdr:cNvPr>
        <xdr:cNvPicPr>
          <a:picLocks noChangeAspect="1"/>
        </xdr:cNvPicPr>
      </xdr:nvPicPr>
      <xdr:blipFill>
        <a:blip xmlns:r="http://schemas.openxmlformats.org/officeDocument/2006/relationships" r:embed="rId22"/>
        <a:stretch>
          <a:fillRect/>
        </a:stretch>
      </xdr:blipFill>
      <xdr:spPr>
        <a:xfrm>
          <a:off x="10679206" y="39646412"/>
          <a:ext cx="3516191" cy="1851429"/>
        </a:xfrm>
        <a:prstGeom prst="rect">
          <a:avLst/>
        </a:prstGeom>
      </xdr:spPr>
    </xdr:pic>
    <xdr:clientData/>
  </xdr:twoCellAnchor>
  <xdr:twoCellAnchor editAs="oneCell">
    <xdr:from>
      <xdr:col>4</xdr:col>
      <xdr:colOff>37203</xdr:colOff>
      <xdr:row>23</xdr:row>
      <xdr:rowOff>2993168</xdr:rowOff>
    </xdr:from>
    <xdr:to>
      <xdr:col>4</xdr:col>
      <xdr:colOff>5068868</xdr:colOff>
      <xdr:row>23</xdr:row>
      <xdr:rowOff>3716625</xdr:rowOff>
    </xdr:to>
    <xdr:pic>
      <xdr:nvPicPr>
        <xdr:cNvPr id="22" name="Picture 21">
          <a:extLst>
            <a:ext uri="{FF2B5EF4-FFF2-40B4-BE49-F238E27FC236}">
              <a16:creationId xmlns:a16="http://schemas.microsoft.com/office/drawing/2014/main" id="{9BE8970A-F213-418F-9783-9F4B8A852AC6}"/>
            </a:ext>
          </a:extLst>
        </xdr:cNvPr>
        <xdr:cNvPicPr>
          <a:picLocks noChangeAspect="1"/>
        </xdr:cNvPicPr>
      </xdr:nvPicPr>
      <xdr:blipFill>
        <a:blip xmlns:r="http://schemas.openxmlformats.org/officeDocument/2006/relationships" r:embed="rId23"/>
        <a:stretch>
          <a:fillRect/>
        </a:stretch>
      </xdr:blipFill>
      <xdr:spPr>
        <a:xfrm>
          <a:off x="9853556" y="47155550"/>
          <a:ext cx="5031665" cy="723457"/>
        </a:xfrm>
        <a:prstGeom prst="rect">
          <a:avLst/>
        </a:prstGeom>
      </xdr:spPr>
    </xdr:pic>
    <xdr:clientData/>
  </xdr:twoCellAnchor>
  <xdr:twoCellAnchor editAs="oneCell">
    <xdr:from>
      <xdr:col>4</xdr:col>
      <xdr:colOff>89006</xdr:colOff>
      <xdr:row>23</xdr:row>
      <xdr:rowOff>3687378</xdr:rowOff>
    </xdr:from>
    <xdr:to>
      <xdr:col>4</xdr:col>
      <xdr:colOff>5008130</xdr:colOff>
      <xdr:row>23</xdr:row>
      <xdr:rowOff>4793666</xdr:rowOff>
    </xdr:to>
    <xdr:pic>
      <xdr:nvPicPr>
        <xdr:cNvPr id="24" name="Picture 23">
          <a:extLst>
            <a:ext uri="{FF2B5EF4-FFF2-40B4-BE49-F238E27FC236}">
              <a16:creationId xmlns:a16="http://schemas.microsoft.com/office/drawing/2014/main" id="{2CC6DE2B-D90A-4099-99C2-0DE2F4864436}"/>
            </a:ext>
          </a:extLst>
        </xdr:cNvPr>
        <xdr:cNvPicPr>
          <a:picLocks noChangeAspect="1"/>
        </xdr:cNvPicPr>
      </xdr:nvPicPr>
      <xdr:blipFill>
        <a:blip xmlns:r="http://schemas.openxmlformats.org/officeDocument/2006/relationships" r:embed="rId24"/>
        <a:stretch>
          <a:fillRect/>
        </a:stretch>
      </xdr:blipFill>
      <xdr:spPr>
        <a:xfrm>
          <a:off x="9908415" y="47883378"/>
          <a:ext cx="4915949" cy="10999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xdr:colOff>
      <xdr:row>1</xdr:row>
      <xdr:rowOff>19050</xdr:rowOff>
    </xdr:from>
    <xdr:to>
      <xdr:col>11</xdr:col>
      <xdr:colOff>53113</xdr:colOff>
      <xdr:row>15</xdr:row>
      <xdr:rowOff>91711</xdr:rowOff>
    </xdr:to>
    <xdr:pic>
      <xdr:nvPicPr>
        <xdr:cNvPr id="2" name="Picture 1">
          <a:extLst>
            <a:ext uri="{FF2B5EF4-FFF2-40B4-BE49-F238E27FC236}">
              <a16:creationId xmlns:a16="http://schemas.microsoft.com/office/drawing/2014/main" id="{4B6971E5-E221-3906-6420-6D50D5A14B64}"/>
            </a:ext>
          </a:extLst>
        </xdr:cNvPr>
        <xdr:cNvPicPr>
          <a:picLocks noChangeAspect="1"/>
        </xdr:cNvPicPr>
      </xdr:nvPicPr>
      <xdr:blipFill>
        <a:blip xmlns:r="http://schemas.openxmlformats.org/officeDocument/2006/relationships" r:embed="rId1"/>
        <a:stretch>
          <a:fillRect/>
        </a:stretch>
      </xdr:blipFill>
      <xdr:spPr>
        <a:xfrm>
          <a:off x="698500" y="285750"/>
          <a:ext cx="6895238" cy="2917461"/>
        </a:xfrm>
        <a:prstGeom prst="rect">
          <a:avLst/>
        </a:prstGeom>
      </xdr:spPr>
    </xdr:pic>
    <xdr:clientData/>
  </xdr:twoCellAnchor>
  <xdr:twoCellAnchor editAs="oneCell">
    <xdr:from>
      <xdr:col>1</xdr:col>
      <xdr:colOff>31750</xdr:colOff>
      <xdr:row>18</xdr:row>
      <xdr:rowOff>38100</xdr:rowOff>
    </xdr:from>
    <xdr:to>
      <xdr:col>7</xdr:col>
      <xdr:colOff>548698</xdr:colOff>
      <xdr:row>32</xdr:row>
      <xdr:rowOff>148856</xdr:rowOff>
    </xdr:to>
    <xdr:pic>
      <xdr:nvPicPr>
        <xdr:cNvPr id="3" name="Picture 2">
          <a:extLst>
            <a:ext uri="{FF2B5EF4-FFF2-40B4-BE49-F238E27FC236}">
              <a16:creationId xmlns:a16="http://schemas.microsoft.com/office/drawing/2014/main" id="{76BDA212-E5B6-4AF2-016F-5A3718054353}"/>
            </a:ext>
          </a:extLst>
        </xdr:cNvPr>
        <xdr:cNvPicPr>
          <a:picLocks noChangeAspect="1"/>
        </xdr:cNvPicPr>
      </xdr:nvPicPr>
      <xdr:blipFill>
        <a:blip xmlns:r="http://schemas.openxmlformats.org/officeDocument/2006/relationships" r:embed="rId2"/>
        <a:stretch>
          <a:fillRect/>
        </a:stretch>
      </xdr:blipFill>
      <xdr:spPr>
        <a:xfrm>
          <a:off x="717550" y="3822700"/>
          <a:ext cx="4622223" cy="2955556"/>
        </a:xfrm>
        <a:prstGeom prst="rect">
          <a:avLst/>
        </a:prstGeom>
      </xdr:spPr>
    </xdr:pic>
    <xdr:clientData/>
  </xdr:twoCellAnchor>
  <xdr:twoCellAnchor editAs="oneCell">
    <xdr:from>
      <xdr:col>1</xdr:col>
      <xdr:colOff>95250</xdr:colOff>
      <xdr:row>35</xdr:row>
      <xdr:rowOff>38100</xdr:rowOff>
    </xdr:from>
    <xdr:to>
      <xdr:col>11</xdr:col>
      <xdr:colOff>510267</xdr:colOff>
      <xdr:row>48</xdr:row>
      <xdr:rowOff>186976</xdr:rowOff>
    </xdr:to>
    <xdr:pic>
      <xdr:nvPicPr>
        <xdr:cNvPr id="4" name="Picture 3">
          <a:extLst>
            <a:ext uri="{FF2B5EF4-FFF2-40B4-BE49-F238E27FC236}">
              <a16:creationId xmlns:a16="http://schemas.microsoft.com/office/drawing/2014/main" id="{83589500-5508-8CD8-B13F-983FE8DCB50E}"/>
            </a:ext>
          </a:extLst>
        </xdr:cNvPr>
        <xdr:cNvPicPr>
          <a:picLocks noChangeAspect="1"/>
        </xdr:cNvPicPr>
      </xdr:nvPicPr>
      <xdr:blipFill>
        <a:blip xmlns:r="http://schemas.openxmlformats.org/officeDocument/2006/relationships" r:embed="rId3"/>
        <a:stretch>
          <a:fillRect/>
        </a:stretch>
      </xdr:blipFill>
      <xdr:spPr>
        <a:xfrm>
          <a:off x="781050" y="7340600"/>
          <a:ext cx="7269842" cy="2790476"/>
        </a:xfrm>
        <a:prstGeom prst="rect">
          <a:avLst/>
        </a:prstGeom>
      </xdr:spPr>
    </xdr:pic>
    <xdr:clientData/>
  </xdr:twoCellAnchor>
  <xdr:twoCellAnchor editAs="oneCell">
    <xdr:from>
      <xdr:col>1</xdr:col>
      <xdr:colOff>0</xdr:colOff>
      <xdr:row>52</xdr:row>
      <xdr:rowOff>0</xdr:rowOff>
    </xdr:from>
    <xdr:to>
      <xdr:col>7</xdr:col>
      <xdr:colOff>589962</xdr:colOff>
      <xdr:row>64</xdr:row>
      <xdr:rowOff>2870</xdr:rowOff>
    </xdr:to>
    <xdr:pic>
      <xdr:nvPicPr>
        <xdr:cNvPr id="5" name="Picture 4">
          <a:extLst>
            <a:ext uri="{FF2B5EF4-FFF2-40B4-BE49-F238E27FC236}">
              <a16:creationId xmlns:a16="http://schemas.microsoft.com/office/drawing/2014/main" id="{75FFEE70-C0DD-8E3D-EF6F-9211444AF7B9}"/>
            </a:ext>
          </a:extLst>
        </xdr:cNvPr>
        <xdr:cNvPicPr>
          <a:picLocks noChangeAspect="1"/>
        </xdr:cNvPicPr>
      </xdr:nvPicPr>
      <xdr:blipFill>
        <a:blip xmlns:r="http://schemas.openxmlformats.org/officeDocument/2006/relationships" r:embed="rId4"/>
        <a:stretch>
          <a:fillRect/>
        </a:stretch>
      </xdr:blipFill>
      <xdr:spPr>
        <a:xfrm>
          <a:off x="685800" y="10756900"/>
          <a:ext cx="4704762" cy="2438095"/>
        </a:xfrm>
        <a:prstGeom prst="rect">
          <a:avLst/>
        </a:prstGeom>
      </xdr:spPr>
    </xdr:pic>
    <xdr:clientData/>
  </xdr:twoCellAnchor>
  <xdr:twoCellAnchor editAs="oneCell">
    <xdr:from>
      <xdr:col>1</xdr:col>
      <xdr:colOff>0</xdr:colOff>
      <xdr:row>67</xdr:row>
      <xdr:rowOff>0</xdr:rowOff>
    </xdr:from>
    <xdr:to>
      <xdr:col>15</xdr:col>
      <xdr:colOff>281340</xdr:colOff>
      <xdr:row>93</xdr:row>
      <xdr:rowOff>91404</xdr:rowOff>
    </xdr:to>
    <xdr:pic>
      <xdr:nvPicPr>
        <xdr:cNvPr id="6" name="Picture 5">
          <a:extLst>
            <a:ext uri="{FF2B5EF4-FFF2-40B4-BE49-F238E27FC236}">
              <a16:creationId xmlns:a16="http://schemas.microsoft.com/office/drawing/2014/main" id="{D668B5FC-2CE6-4805-9ED7-D1AE39555C20}"/>
            </a:ext>
          </a:extLst>
        </xdr:cNvPr>
        <xdr:cNvPicPr>
          <a:picLocks noChangeAspect="1"/>
        </xdr:cNvPicPr>
      </xdr:nvPicPr>
      <xdr:blipFill>
        <a:blip xmlns:r="http://schemas.openxmlformats.org/officeDocument/2006/relationships" r:embed="rId5"/>
        <a:stretch>
          <a:fillRect/>
        </a:stretch>
      </xdr:blipFill>
      <xdr:spPr>
        <a:xfrm>
          <a:off x="685800" y="13868400"/>
          <a:ext cx="9876190" cy="5371429"/>
        </a:xfrm>
        <a:prstGeom prst="rect">
          <a:avLst/>
        </a:prstGeom>
      </xdr:spPr>
    </xdr:pic>
    <xdr:clientData/>
  </xdr:twoCellAnchor>
  <xdr:twoCellAnchor editAs="oneCell">
    <xdr:from>
      <xdr:col>1</xdr:col>
      <xdr:colOff>0</xdr:colOff>
      <xdr:row>98</xdr:row>
      <xdr:rowOff>0</xdr:rowOff>
    </xdr:from>
    <xdr:to>
      <xdr:col>10</xdr:col>
      <xdr:colOff>72245</xdr:colOff>
      <xdr:row>101</xdr:row>
      <xdr:rowOff>3099</xdr:rowOff>
    </xdr:to>
    <xdr:pic>
      <xdr:nvPicPr>
        <xdr:cNvPr id="7" name="Picture 6">
          <a:extLst>
            <a:ext uri="{FF2B5EF4-FFF2-40B4-BE49-F238E27FC236}">
              <a16:creationId xmlns:a16="http://schemas.microsoft.com/office/drawing/2014/main" id="{AB3A526A-CB79-99E7-A509-91EDCC12D540}"/>
            </a:ext>
          </a:extLst>
        </xdr:cNvPr>
        <xdr:cNvPicPr>
          <a:picLocks noChangeAspect="1"/>
        </xdr:cNvPicPr>
      </xdr:nvPicPr>
      <xdr:blipFill>
        <a:blip xmlns:r="http://schemas.openxmlformats.org/officeDocument/2006/relationships" r:embed="rId6"/>
        <a:stretch>
          <a:fillRect/>
        </a:stretch>
      </xdr:blipFill>
      <xdr:spPr>
        <a:xfrm>
          <a:off x="685800" y="20231100"/>
          <a:ext cx="6238095" cy="609524"/>
        </a:xfrm>
        <a:prstGeom prst="rect">
          <a:avLst/>
        </a:prstGeom>
      </xdr:spPr>
    </xdr:pic>
    <xdr:clientData/>
  </xdr:twoCellAnchor>
  <xdr:twoCellAnchor editAs="oneCell">
    <xdr:from>
      <xdr:col>1</xdr:col>
      <xdr:colOff>0</xdr:colOff>
      <xdr:row>103</xdr:row>
      <xdr:rowOff>0</xdr:rowOff>
    </xdr:from>
    <xdr:to>
      <xdr:col>4</xdr:col>
      <xdr:colOff>171171</xdr:colOff>
      <xdr:row>106</xdr:row>
      <xdr:rowOff>95162</xdr:rowOff>
    </xdr:to>
    <xdr:pic>
      <xdr:nvPicPr>
        <xdr:cNvPr id="8" name="Picture 7">
          <a:extLst>
            <a:ext uri="{FF2B5EF4-FFF2-40B4-BE49-F238E27FC236}">
              <a16:creationId xmlns:a16="http://schemas.microsoft.com/office/drawing/2014/main" id="{8444BFE2-4B51-A6D8-5251-9D2992292259}"/>
            </a:ext>
          </a:extLst>
        </xdr:cNvPr>
        <xdr:cNvPicPr>
          <a:picLocks noChangeAspect="1"/>
        </xdr:cNvPicPr>
      </xdr:nvPicPr>
      <xdr:blipFill>
        <a:blip xmlns:r="http://schemas.openxmlformats.org/officeDocument/2006/relationships" r:embed="rId7"/>
        <a:stretch>
          <a:fillRect/>
        </a:stretch>
      </xdr:blipFill>
      <xdr:spPr>
        <a:xfrm>
          <a:off x="685800" y="21310600"/>
          <a:ext cx="2228571" cy="704762"/>
        </a:xfrm>
        <a:prstGeom prst="rect">
          <a:avLst/>
        </a:prstGeom>
      </xdr:spPr>
    </xdr:pic>
    <xdr:clientData/>
  </xdr:twoCellAnchor>
  <xdr:twoCellAnchor editAs="oneCell">
    <xdr:from>
      <xdr:col>1</xdr:col>
      <xdr:colOff>37811</xdr:colOff>
      <xdr:row>110</xdr:row>
      <xdr:rowOff>34637</xdr:rowOff>
    </xdr:from>
    <xdr:to>
      <xdr:col>14</xdr:col>
      <xdr:colOff>399762</xdr:colOff>
      <xdr:row>118</xdr:row>
      <xdr:rowOff>193965</xdr:rowOff>
    </xdr:to>
    <xdr:pic>
      <xdr:nvPicPr>
        <xdr:cNvPr id="9" name="Picture 8">
          <a:extLst>
            <a:ext uri="{FF2B5EF4-FFF2-40B4-BE49-F238E27FC236}">
              <a16:creationId xmlns:a16="http://schemas.microsoft.com/office/drawing/2014/main" id="{82E5D91F-9772-9D9E-0767-FAD082B6D48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8993" y="23241001"/>
          <a:ext cx="9217314" cy="1831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0</xdr:rowOff>
    </xdr:from>
    <xdr:to>
      <xdr:col>14</xdr:col>
      <xdr:colOff>185907</xdr:colOff>
      <xdr:row>127</xdr:row>
      <xdr:rowOff>90832</xdr:rowOff>
    </xdr:to>
    <xdr:pic>
      <xdr:nvPicPr>
        <xdr:cNvPr id="11" name="Picture 10">
          <a:extLst>
            <a:ext uri="{FF2B5EF4-FFF2-40B4-BE49-F238E27FC236}">
              <a16:creationId xmlns:a16="http://schemas.microsoft.com/office/drawing/2014/main" id="{CB92828E-38DE-14F0-C602-C3ABB3C13351}"/>
            </a:ext>
          </a:extLst>
        </xdr:cNvPr>
        <xdr:cNvPicPr>
          <a:picLocks noChangeAspect="1"/>
        </xdr:cNvPicPr>
      </xdr:nvPicPr>
      <xdr:blipFill>
        <a:blip xmlns:r="http://schemas.openxmlformats.org/officeDocument/2006/relationships" r:embed="rId9"/>
        <a:stretch>
          <a:fillRect/>
        </a:stretch>
      </xdr:blipFill>
      <xdr:spPr>
        <a:xfrm>
          <a:off x="681182" y="26173545"/>
          <a:ext cx="9038095" cy="714286"/>
        </a:xfrm>
        <a:prstGeom prst="rect">
          <a:avLst/>
        </a:prstGeom>
      </xdr:spPr>
    </xdr:pic>
    <xdr:clientData/>
  </xdr:twoCellAnchor>
  <xdr:twoCellAnchor editAs="oneCell">
    <xdr:from>
      <xdr:col>1</xdr:col>
      <xdr:colOff>0</xdr:colOff>
      <xdr:row>132</xdr:row>
      <xdr:rowOff>0</xdr:rowOff>
    </xdr:from>
    <xdr:to>
      <xdr:col>10</xdr:col>
      <xdr:colOff>136031</xdr:colOff>
      <xdr:row>134</xdr:row>
      <xdr:rowOff>130395</xdr:rowOff>
    </xdr:to>
    <xdr:pic>
      <xdr:nvPicPr>
        <xdr:cNvPr id="12" name="Picture 11">
          <a:extLst>
            <a:ext uri="{FF2B5EF4-FFF2-40B4-BE49-F238E27FC236}">
              <a16:creationId xmlns:a16="http://schemas.microsoft.com/office/drawing/2014/main" id="{035858D9-7145-7FFB-9FD2-8B20C4B6ED64}"/>
            </a:ext>
          </a:extLst>
        </xdr:cNvPr>
        <xdr:cNvPicPr>
          <a:picLocks noChangeAspect="1"/>
        </xdr:cNvPicPr>
      </xdr:nvPicPr>
      <xdr:blipFill>
        <a:blip xmlns:r="http://schemas.openxmlformats.org/officeDocument/2006/relationships" r:embed="rId10"/>
        <a:stretch>
          <a:fillRect/>
        </a:stretch>
      </xdr:blipFill>
      <xdr:spPr>
        <a:xfrm>
          <a:off x="681182" y="27893818"/>
          <a:ext cx="6266667" cy="542857"/>
        </a:xfrm>
        <a:prstGeom prst="rect">
          <a:avLst/>
        </a:prstGeom>
      </xdr:spPr>
    </xdr:pic>
    <xdr:clientData/>
  </xdr:twoCellAnchor>
  <xdr:twoCellAnchor editAs="oneCell">
    <xdr:from>
      <xdr:col>1</xdr:col>
      <xdr:colOff>0</xdr:colOff>
      <xdr:row>140</xdr:row>
      <xdr:rowOff>0</xdr:rowOff>
    </xdr:from>
    <xdr:to>
      <xdr:col>21</xdr:col>
      <xdr:colOff>509697</xdr:colOff>
      <xdr:row>179</xdr:row>
      <xdr:rowOff>12552</xdr:rowOff>
    </xdr:to>
    <xdr:pic>
      <xdr:nvPicPr>
        <xdr:cNvPr id="13" name="Picture 12">
          <a:extLst>
            <a:ext uri="{FF2B5EF4-FFF2-40B4-BE49-F238E27FC236}">
              <a16:creationId xmlns:a16="http://schemas.microsoft.com/office/drawing/2014/main" id="{8E66D5AE-2D64-0517-BE65-BB6D360044BF}"/>
            </a:ext>
          </a:extLst>
        </xdr:cNvPr>
        <xdr:cNvPicPr>
          <a:picLocks noChangeAspect="1"/>
        </xdr:cNvPicPr>
      </xdr:nvPicPr>
      <xdr:blipFill>
        <a:blip xmlns:r="http://schemas.openxmlformats.org/officeDocument/2006/relationships" r:embed="rId11"/>
        <a:stretch>
          <a:fillRect/>
        </a:stretch>
      </xdr:blipFill>
      <xdr:spPr>
        <a:xfrm>
          <a:off x="681182" y="29614091"/>
          <a:ext cx="14133333" cy="8114286"/>
        </a:xfrm>
        <a:prstGeom prst="rect">
          <a:avLst/>
        </a:prstGeom>
      </xdr:spPr>
    </xdr:pic>
    <xdr:clientData/>
  </xdr:twoCellAnchor>
  <xdr:twoCellAnchor editAs="oneCell">
    <xdr:from>
      <xdr:col>1</xdr:col>
      <xdr:colOff>15873</xdr:colOff>
      <xdr:row>183</xdr:row>
      <xdr:rowOff>0</xdr:rowOff>
    </xdr:from>
    <xdr:to>
      <xdr:col>13</xdr:col>
      <xdr:colOff>346939</xdr:colOff>
      <xdr:row>188</xdr:row>
      <xdr:rowOff>154421</xdr:rowOff>
    </xdr:to>
    <xdr:pic>
      <xdr:nvPicPr>
        <xdr:cNvPr id="10" name="Picture 9">
          <a:extLst>
            <a:ext uri="{FF2B5EF4-FFF2-40B4-BE49-F238E27FC236}">
              <a16:creationId xmlns:a16="http://schemas.microsoft.com/office/drawing/2014/main" id="{C7F26DDC-7E30-40DE-A1AF-12B52E92452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6273" y="36791900"/>
          <a:ext cx="8255866" cy="1138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190</xdr:row>
      <xdr:rowOff>118341</xdr:rowOff>
    </xdr:from>
    <xdr:to>
      <xdr:col>14</xdr:col>
      <xdr:colOff>634385</xdr:colOff>
      <xdr:row>219</xdr:row>
      <xdr:rowOff>151063</xdr:rowOff>
    </xdr:to>
    <xdr:pic>
      <xdr:nvPicPr>
        <xdr:cNvPr id="14" name="Picture 13">
          <a:extLst>
            <a:ext uri="{FF2B5EF4-FFF2-40B4-BE49-F238E27FC236}">
              <a16:creationId xmlns:a16="http://schemas.microsoft.com/office/drawing/2014/main" id="{6CFD61B3-564A-44C6-B287-EF44F5DC2091}"/>
            </a:ext>
          </a:extLst>
        </xdr:cNvPr>
        <xdr:cNvPicPr>
          <a:picLocks noChangeAspect="1"/>
        </xdr:cNvPicPr>
      </xdr:nvPicPr>
      <xdr:blipFill>
        <a:blip xmlns:r="http://schemas.openxmlformats.org/officeDocument/2006/relationships" r:embed="rId13"/>
        <a:stretch>
          <a:fillRect/>
        </a:stretch>
      </xdr:blipFill>
      <xdr:spPr>
        <a:xfrm>
          <a:off x="660400" y="38288191"/>
          <a:ext cx="9219585" cy="5741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295835</xdr:colOff>
      <xdr:row>0</xdr:row>
      <xdr:rowOff>166915</xdr:rowOff>
    </xdr:from>
    <xdr:to>
      <xdr:col>3</xdr:col>
      <xdr:colOff>603997</xdr:colOff>
      <xdr:row>3</xdr:row>
      <xdr:rowOff>71718</xdr:rowOff>
    </xdr:to>
    <xdr:sp macro="" textlink="">
      <xdr:nvSpPr>
        <xdr:cNvPr id="6" name="Rounded Rectangle 6">
          <a:extLst>
            <a:ext uri="{FF2B5EF4-FFF2-40B4-BE49-F238E27FC236}">
              <a16:creationId xmlns:a16="http://schemas.microsoft.com/office/drawing/2014/main" id="{AFC2234E-E7F8-4D7F-B118-A8B7AC77B0DA}"/>
            </a:ext>
          </a:extLst>
        </xdr:cNvPr>
        <xdr:cNvSpPr/>
      </xdr:nvSpPr>
      <xdr:spPr>
        <a:xfrm>
          <a:off x="1248335" y="166915"/>
          <a:ext cx="2803712" cy="5048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Select desired</a:t>
          </a:r>
          <a:r>
            <a:rPr lang="en-US" sz="1100" baseline="0"/>
            <a:t> feature from the drop down list for each line item.</a:t>
          </a:r>
          <a:endParaRPr lang="en-US" sz="1100"/>
        </a:p>
      </xdr:txBody>
    </xdr:sp>
    <xdr:clientData/>
  </xdr:twoCellAnchor>
  <xdr:twoCellAnchor>
    <xdr:from>
      <xdr:col>2</xdr:col>
      <xdr:colOff>449917</xdr:colOff>
      <xdr:row>3</xdr:row>
      <xdr:rowOff>71718</xdr:rowOff>
    </xdr:from>
    <xdr:to>
      <xdr:col>2</xdr:col>
      <xdr:colOff>449943</xdr:colOff>
      <xdr:row>4</xdr:row>
      <xdr:rowOff>192318</xdr:rowOff>
    </xdr:to>
    <xdr:cxnSp macro="">
      <xdr:nvCxnSpPr>
        <xdr:cNvPr id="7" name="Straight Arrow Connector 6">
          <a:extLst>
            <a:ext uri="{FF2B5EF4-FFF2-40B4-BE49-F238E27FC236}">
              <a16:creationId xmlns:a16="http://schemas.microsoft.com/office/drawing/2014/main" id="{BA2546F3-12FE-4AD7-93E7-5D2CE6E168A7}"/>
            </a:ext>
          </a:extLst>
        </xdr:cNvPr>
        <xdr:cNvCxnSpPr>
          <a:endCxn id="6" idx="2"/>
        </xdr:cNvCxnSpPr>
      </xdr:nvCxnSpPr>
      <xdr:spPr>
        <a:xfrm flipH="1" flipV="1">
          <a:off x="2888317" y="671793"/>
          <a:ext cx="26" cy="32062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2013</xdr:colOff>
      <xdr:row>7</xdr:row>
      <xdr:rowOff>182327</xdr:rowOff>
    </xdr:from>
    <xdr:to>
      <xdr:col>11</xdr:col>
      <xdr:colOff>705970</xdr:colOff>
      <xdr:row>10</xdr:row>
      <xdr:rowOff>0</xdr:rowOff>
    </xdr:to>
    <xdr:sp macro="" textlink="">
      <xdr:nvSpPr>
        <xdr:cNvPr id="8" name="Rounded Rectangle 13">
          <a:extLst>
            <a:ext uri="{FF2B5EF4-FFF2-40B4-BE49-F238E27FC236}">
              <a16:creationId xmlns:a16="http://schemas.microsoft.com/office/drawing/2014/main" id="{946477F2-7D89-4E27-90F5-73E57106C20B}"/>
            </a:ext>
          </a:extLst>
        </xdr:cNvPr>
        <xdr:cNvSpPr/>
      </xdr:nvSpPr>
      <xdr:spPr>
        <a:xfrm>
          <a:off x="12182807" y="2020092"/>
          <a:ext cx="2597751" cy="62449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a:p>
          <a:pPr algn="l"/>
          <a:r>
            <a:rPr lang="en-US" sz="1100"/>
            <a:t>1%</a:t>
          </a:r>
          <a:r>
            <a:rPr lang="en-US" sz="1100" baseline="0"/>
            <a:t> resistor tolerant recommended</a:t>
          </a:r>
          <a:endParaRPr lang="en-US" sz="1100"/>
        </a:p>
      </xdr:txBody>
    </xdr:sp>
    <xdr:clientData/>
  </xdr:twoCellAnchor>
  <xdr:twoCellAnchor>
    <xdr:from>
      <xdr:col>8</xdr:col>
      <xdr:colOff>9293</xdr:colOff>
      <xdr:row>8</xdr:row>
      <xdr:rowOff>226178</xdr:rowOff>
    </xdr:from>
    <xdr:to>
      <xdr:col>9</xdr:col>
      <xdr:colOff>3823</xdr:colOff>
      <xdr:row>8</xdr:row>
      <xdr:rowOff>257098</xdr:rowOff>
    </xdr:to>
    <xdr:cxnSp macro="">
      <xdr:nvCxnSpPr>
        <xdr:cNvPr id="9" name="Straight Arrow Connector 8">
          <a:extLst>
            <a:ext uri="{FF2B5EF4-FFF2-40B4-BE49-F238E27FC236}">
              <a16:creationId xmlns:a16="http://schemas.microsoft.com/office/drawing/2014/main" id="{4FB3BD36-CE7B-4674-8677-CC0B017BBBDD}"/>
            </a:ext>
          </a:extLst>
        </xdr:cNvPr>
        <xdr:cNvCxnSpPr/>
      </xdr:nvCxnSpPr>
      <xdr:spPr>
        <a:xfrm flipV="1">
          <a:off x="8438918" y="2235953"/>
          <a:ext cx="947030" cy="2345"/>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2:Q20"/>
  <sheetViews>
    <sheetView topLeftCell="A3" zoomScale="70" zoomScaleNormal="70" workbookViewId="0">
      <selection activeCell="F8" sqref="F8"/>
    </sheetView>
  </sheetViews>
  <sheetFormatPr defaultColWidth="11" defaultRowHeight="15.6"/>
  <cols>
    <col min="3" max="3" width="24.5" bestFit="1" customWidth="1"/>
    <col min="4" max="4" width="96" customWidth="1"/>
  </cols>
  <sheetData>
    <row r="2" spans="3:17" ht="73.2">
      <c r="C2" s="57" t="s">
        <v>0</v>
      </c>
      <c r="D2" s="56" t="s">
        <v>245</v>
      </c>
      <c r="E2" s="5"/>
      <c r="F2" s="5"/>
      <c r="G2" s="5"/>
      <c r="H2" s="5"/>
      <c r="I2" s="5"/>
      <c r="J2" s="5"/>
      <c r="K2" s="5"/>
      <c r="L2" s="5"/>
      <c r="M2" s="5"/>
      <c r="N2" s="5"/>
      <c r="O2" s="5"/>
      <c r="P2" s="5"/>
      <c r="Q2" s="5"/>
    </row>
    <row r="3" spans="3:17" ht="18.3">
      <c r="C3" s="58"/>
      <c r="D3" s="59"/>
      <c r="E3" s="3"/>
      <c r="F3" s="3"/>
      <c r="G3" s="3"/>
      <c r="H3" s="3"/>
      <c r="I3" s="3"/>
      <c r="J3" s="3"/>
      <c r="K3" s="3"/>
      <c r="L3" s="3"/>
      <c r="M3" s="3"/>
      <c r="N3" s="3"/>
      <c r="O3" s="3"/>
      <c r="P3" s="3"/>
      <c r="Q3" s="3"/>
    </row>
    <row r="4" spans="3:17" ht="18.3">
      <c r="C4" s="57" t="s">
        <v>231</v>
      </c>
      <c r="D4" s="60"/>
      <c r="E4" s="3"/>
      <c r="F4" s="3"/>
      <c r="G4" s="3"/>
      <c r="H4" s="3"/>
      <c r="I4" s="3"/>
      <c r="J4" s="3"/>
      <c r="K4" s="3"/>
      <c r="L4" s="3"/>
      <c r="M4" s="3"/>
      <c r="N4" s="3"/>
      <c r="O4" s="3"/>
      <c r="P4" s="3"/>
      <c r="Q4" s="3"/>
    </row>
    <row r="5" spans="3:17" ht="18.3">
      <c r="C5" s="61">
        <v>1</v>
      </c>
      <c r="D5" s="60" t="s">
        <v>230</v>
      </c>
      <c r="E5" s="3"/>
      <c r="F5" s="3"/>
      <c r="G5" s="3"/>
      <c r="H5" s="3"/>
      <c r="I5" s="3"/>
      <c r="J5" s="3"/>
      <c r="K5" s="3"/>
      <c r="L5" s="3"/>
      <c r="M5" s="3"/>
      <c r="N5" s="3"/>
      <c r="O5" s="3"/>
      <c r="P5" s="3"/>
      <c r="Q5" s="3"/>
    </row>
    <row r="6" spans="3:17" ht="18.3">
      <c r="C6" s="61">
        <v>2</v>
      </c>
      <c r="D6" s="60" t="s">
        <v>1</v>
      </c>
      <c r="E6" s="3"/>
      <c r="F6" s="3"/>
      <c r="G6" s="3"/>
      <c r="H6" s="3"/>
      <c r="I6" s="3"/>
      <c r="J6" s="3"/>
      <c r="K6" s="3"/>
      <c r="L6" s="3"/>
      <c r="M6" s="3"/>
      <c r="N6" s="3"/>
      <c r="O6" s="3"/>
      <c r="P6" s="3"/>
      <c r="Q6" s="3"/>
    </row>
    <row r="7" spans="3:17" ht="18.3">
      <c r="C7" s="61">
        <v>3</v>
      </c>
      <c r="D7" s="60" t="s">
        <v>232</v>
      </c>
      <c r="E7" s="3"/>
      <c r="F7" s="3"/>
      <c r="G7" s="3"/>
      <c r="H7" s="3"/>
      <c r="I7" s="3"/>
      <c r="J7" s="3"/>
      <c r="K7" s="3"/>
      <c r="L7" s="3"/>
      <c r="M7" s="3"/>
      <c r="N7" s="3"/>
      <c r="O7" s="3"/>
      <c r="P7" s="3"/>
      <c r="Q7" s="3"/>
    </row>
    <row r="8" spans="3:17" ht="18.3">
      <c r="C8" s="61">
        <v>4</v>
      </c>
      <c r="D8" s="60" t="s">
        <v>2</v>
      </c>
      <c r="E8" s="3"/>
      <c r="F8" s="3"/>
      <c r="G8" s="3"/>
      <c r="H8" s="3"/>
      <c r="I8" s="3"/>
      <c r="J8" s="3"/>
      <c r="K8" s="3"/>
      <c r="L8" s="3"/>
      <c r="M8" s="3"/>
      <c r="N8" s="3"/>
      <c r="O8" s="3"/>
      <c r="P8" s="3"/>
      <c r="Q8" s="3"/>
    </row>
    <row r="9" spans="3:17" ht="18.3">
      <c r="C9" s="61">
        <v>5</v>
      </c>
      <c r="D9" s="60" t="s">
        <v>3</v>
      </c>
      <c r="E9" s="3"/>
      <c r="F9" s="3"/>
      <c r="G9" s="3"/>
      <c r="H9" s="3"/>
      <c r="I9" s="3"/>
      <c r="J9" s="3"/>
      <c r="K9" s="3"/>
      <c r="L9" s="3"/>
      <c r="M9" s="3"/>
      <c r="N9" s="3"/>
      <c r="O9" s="3"/>
      <c r="P9" s="3"/>
      <c r="Q9" s="3"/>
    </row>
    <row r="10" spans="3:17" ht="18.3">
      <c r="C10" s="61">
        <v>6</v>
      </c>
      <c r="D10" s="60" t="s">
        <v>247</v>
      </c>
      <c r="E10" s="3"/>
      <c r="F10" s="3"/>
      <c r="G10" s="3"/>
      <c r="H10" s="3"/>
      <c r="I10" s="3"/>
      <c r="J10" s="3"/>
      <c r="K10" s="3"/>
      <c r="L10" s="3"/>
      <c r="M10" s="3"/>
      <c r="N10" s="3"/>
      <c r="O10" s="3"/>
      <c r="P10" s="3"/>
      <c r="Q10" s="3"/>
    </row>
    <row r="11" spans="3:17" ht="18.3">
      <c r="C11" s="62"/>
      <c r="D11" s="59"/>
      <c r="E11" s="3"/>
      <c r="F11" s="3"/>
      <c r="G11" s="3"/>
      <c r="H11" s="3"/>
      <c r="I11" s="3"/>
      <c r="J11" s="3"/>
      <c r="K11" s="3"/>
      <c r="L11" s="3"/>
      <c r="M11" s="3"/>
      <c r="N11" s="3"/>
      <c r="O11" s="3"/>
      <c r="P11" s="3"/>
      <c r="Q11" s="3"/>
    </row>
    <row r="12" spans="3:17" ht="18.3">
      <c r="C12" s="57" t="s">
        <v>233</v>
      </c>
      <c r="D12" s="60"/>
      <c r="E12" s="3"/>
      <c r="F12" s="3"/>
      <c r="G12" s="3"/>
      <c r="H12" s="3"/>
      <c r="I12" s="3"/>
      <c r="J12" s="3"/>
      <c r="K12" s="3"/>
      <c r="L12" s="3"/>
      <c r="M12" s="3"/>
      <c r="N12" s="3"/>
      <c r="O12" s="3"/>
      <c r="P12" s="3"/>
      <c r="Q12" s="3"/>
    </row>
    <row r="13" spans="3:17" ht="150" customHeight="1">
      <c r="C13" s="81" t="s">
        <v>234</v>
      </c>
      <c r="D13" s="63" t="s">
        <v>237</v>
      </c>
      <c r="E13" s="6"/>
      <c r="F13" s="6"/>
      <c r="G13" s="6"/>
      <c r="H13" s="6"/>
      <c r="I13" s="6"/>
      <c r="J13" s="6"/>
      <c r="K13" s="6"/>
      <c r="L13" s="6"/>
      <c r="M13" s="6"/>
      <c r="N13" s="6"/>
      <c r="O13" s="6"/>
      <c r="P13" s="6"/>
      <c r="Q13" s="3"/>
    </row>
    <row r="14" spans="3:17" ht="36.6">
      <c r="C14" s="81"/>
      <c r="D14" s="64" t="s">
        <v>235</v>
      </c>
      <c r="E14" s="3"/>
      <c r="F14" s="3"/>
      <c r="G14" s="3"/>
      <c r="H14" s="3"/>
      <c r="I14" s="3"/>
      <c r="J14" s="3"/>
      <c r="K14" s="3"/>
      <c r="L14" s="3"/>
      <c r="M14" s="3"/>
      <c r="N14" s="3"/>
      <c r="O14" s="3"/>
      <c r="P14" s="3"/>
      <c r="Q14" s="3"/>
    </row>
    <row r="15" spans="3:17" ht="37" customHeight="1">
      <c r="C15" s="82" t="s">
        <v>242</v>
      </c>
      <c r="D15" s="56" t="s">
        <v>238</v>
      </c>
      <c r="E15" s="6"/>
      <c r="F15" s="6"/>
      <c r="G15" s="6"/>
      <c r="H15" s="6"/>
      <c r="I15" s="6"/>
      <c r="J15" s="6"/>
      <c r="K15" s="6"/>
      <c r="L15" s="6"/>
      <c r="M15" s="6"/>
      <c r="N15" s="6"/>
      <c r="O15" s="6"/>
      <c r="P15" s="3"/>
      <c r="Q15" s="3"/>
    </row>
    <row r="16" spans="3:17" ht="37" customHeight="1">
      <c r="C16" s="83"/>
      <c r="D16" s="64" t="s">
        <v>240</v>
      </c>
      <c r="E16" s="6"/>
      <c r="F16" s="6"/>
      <c r="G16" s="6"/>
      <c r="H16" s="6"/>
      <c r="I16" s="6"/>
      <c r="J16" s="6"/>
      <c r="K16" s="6"/>
      <c r="L16" s="6"/>
      <c r="M16" s="6"/>
      <c r="N16" s="6"/>
      <c r="O16" s="6"/>
      <c r="P16" s="3"/>
      <c r="Q16" s="3"/>
    </row>
    <row r="17" spans="3:17" ht="37" customHeight="1">
      <c r="C17" s="83"/>
      <c r="D17" s="65" t="s">
        <v>241</v>
      </c>
      <c r="E17" s="6"/>
      <c r="F17" s="6"/>
      <c r="G17" s="6"/>
      <c r="H17" s="6"/>
      <c r="I17" s="6"/>
      <c r="J17" s="6"/>
      <c r="K17" s="6"/>
      <c r="L17" s="6"/>
      <c r="M17" s="6"/>
      <c r="N17" s="6"/>
      <c r="O17" s="6"/>
      <c r="P17" s="3"/>
      <c r="Q17" s="3"/>
    </row>
    <row r="18" spans="3:17" ht="37" customHeight="1">
      <c r="C18" s="83"/>
      <c r="D18" s="69" t="s">
        <v>244</v>
      </c>
      <c r="E18" s="6"/>
      <c r="F18" s="6"/>
      <c r="G18" s="6"/>
      <c r="H18" s="6"/>
      <c r="I18" s="6"/>
      <c r="J18" s="6"/>
      <c r="K18" s="6"/>
      <c r="L18" s="6"/>
      <c r="M18" s="6"/>
      <c r="N18" s="6"/>
      <c r="O18" s="6"/>
      <c r="P18" s="3"/>
      <c r="Q18" s="3"/>
    </row>
    <row r="19" spans="3:17" ht="37" customHeight="1">
      <c r="C19" s="84"/>
      <c r="D19" s="65" t="s">
        <v>241</v>
      </c>
      <c r="E19" s="6"/>
      <c r="F19" s="6"/>
      <c r="G19" s="6"/>
      <c r="H19" s="6"/>
      <c r="I19" s="6"/>
      <c r="J19" s="6"/>
      <c r="K19" s="6"/>
      <c r="L19" s="6"/>
      <c r="M19" s="6"/>
      <c r="N19" s="6"/>
      <c r="O19" s="6"/>
      <c r="P19" s="3"/>
      <c r="Q19" s="3"/>
    </row>
    <row r="20" spans="3:17" ht="36.6">
      <c r="C20" s="54" t="s">
        <v>243</v>
      </c>
      <c r="D20" s="55" t="s">
        <v>246</v>
      </c>
    </row>
  </sheetData>
  <mergeCells count="2">
    <mergeCell ref="C13:C14"/>
    <mergeCell ref="C15:C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84"/>
  <sheetViews>
    <sheetView zoomScale="80" zoomScaleNormal="80" workbookViewId="0">
      <pane ySplit="1" topLeftCell="A2" activePane="bottomLeft" state="frozen"/>
      <selection pane="bottomLeft" activeCell="A2" sqref="A2:A5"/>
    </sheetView>
  </sheetViews>
  <sheetFormatPr defaultColWidth="10.84765625" defaultRowHeight="15.6" outlineLevelRow="1"/>
  <cols>
    <col min="1" max="1" width="17.84765625" style="22" bestFit="1" customWidth="1"/>
    <col min="2" max="2" width="17" style="22" bestFit="1" customWidth="1"/>
    <col min="3" max="3" width="12.09765625" style="22" customWidth="1"/>
    <col min="4" max="4" width="78.09765625" style="23" bestFit="1" customWidth="1"/>
    <col min="5" max="5" width="66.84765625" style="22" customWidth="1"/>
    <col min="6" max="6" width="14.59765625" style="23" bestFit="1" customWidth="1"/>
    <col min="7" max="7" width="18.84765625" style="32" bestFit="1" customWidth="1"/>
    <col min="8" max="8" width="10.84765625" style="66" bestFit="1" customWidth="1"/>
    <col min="9" max="16384" width="10.84765625" style="21"/>
  </cols>
  <sheetData>
    <row r="1" spans="1:8" ht="43.2">
      <c r="A1" s="1" t="s">
        <v>66</v>
      </c>
      <c r="B1" s="2" t="s">
        <v>67</v>
      </c>
      <c r="C1" s="2" t="s">
        <v>126</v>
      </c>
      <c r="D1" s="2" t="s">
        <v>68</v>
      </c>
      <c r="E1" s="1" t="s">
        <v>69</v>
      </c>
      <c r="F1" s="67" t="s">
        <v>177</v>
      </c>
      <c r="G1" s="67" t="s">
        <v>229</v>
      </c>
      <c r="H1" s="68" t="s">
        <v>236</v>
      </c>
    </row>
    <row r="2" spans="1:8" ht="199.5" customHeight="1" outlineLevel="1">
      <c r="A2" s="85" t="s">
        <v>70</v>
      </c>
      <c r="B2" s="8" t="s">
        <v>71</v>
      </c>
      <c r="C2" s="8" t="s">
        <v>72</v>
      </c>
      <c r="D2" s="9" t="s">
        <v>113</v>
      </c>
      <c r="E2" s="10"/>
      <c r="F2" s="29" t="s">
        <v>123</v>
      </c>
      <c r="G2" s="50"/>
      <c r="H2" s="11"/>
    </row>
    <row r="3" spans="1:8" ht="198.75" customHeight="1" outlineLevel="1">
      <c r="A3" s="85"/>
      <c r="B3" s="8" t="s">
        <v>73</v>
      </c>
      <c r="C3" s="8" t="s">
        <v>74</v>
      </c>
      <c r="D3" s="9" t="s">
        <v>114</v>
      </c>
      <c r="E3" s="10"/>
      <c r="F3" s="24" t="s">
        <v>123</v>
      </c>
      <c r="G3" s="50"/>
      <c r="H3" s="11"/>
    </row>
    <row r="4" spans="1:8" ht="310.5" customHeight="1" outlineLevel="1">
      <c r="A4" s="85"/>
      <c r="B4" s="8" t="s">
        <v>75</v>
      </c>
      <c r="C4" s="8" t="s">
        <v>76</v>
      </c>
      <c r="D4" s="9" t="s">
        <v>115</v>
      </c>
      <c r="E4" s="10"/>
      <c r="F4" s="24" t="s">
        <v>123</v>
      </c>
      <c r="G4" s="50"/>
      <c r="H4" s="11"/>
    </row>
    <row r="5" spans="1:8" ht="198.75" customHeight="1" outlineLevel="1">
      <c r="A5" s="85"/>
      <c r="B5" s="8" t="s">
        <v>77</v>
      </c>
      <c r="C5" s="8" t="s">
        <v>78</v>
      </c>
      <c r="D5" s="9" t="s">
        <v>139</v>
      </c>
      <c r="E5" s="10"/>
      <c r="F5" s="26" t="s">
        <v>123</v>
      </c>
      <c r="G5" s="50"/>
      <c r="H5" s="11"/>
    </row>
    <row r="6" spans="1:8" s="86" customFormat="1" ht="34.5" customHeight="1" outlineLevel="1"/>
    <row r="7" spans="1:8" ht="165" customHeight="1">
      <c r="A7" s="20" t="s">
        <v>79</v>
      </c>
      <c r="B7" s="8" t="s">
        <v>79</v>
      </c>
      <c r="C7" s="8" t="s">
        <v>80</v>
      </c>
      <c r="D7" s="9" t="s">
        <v>135</v>
      </c>
      <c r="E7" s="8"/>
      <c r="F7" s="26" t="s">
        <v>123</v>
      </c>
      <c r="G7" s="50"/>
      <c r="H7" s="11"/>
    </row>
    <row r="8" spans="1:8" s="86" customFormat="1" ht="34.5" customHeight="1" outlineLevel="1"/>
    <row r="9" spans="1:8" ht="165" customHeight="1">
      <c r="A9" s="20" t="s">
        <v>81</v>
      </c>
      <c r="B9" s="8" t="s">
        <v>81</v>
      </c>
      <c r="C9" s="8">
        <v>12</v>
      </c>
      <c r="D9" s="9" t="s">
        <v>82</v>
      </c>
      <c r="E9" s="27"/>
      <c r="F9" s="24" t="s">
        <v>123</v>
      </c>
      <c r="G9" s="50"/>
      <c r="H9" s="11"/>
    </row>
    <row r="10" spans="1:8" s="86" customFormat="1" ht="34.5" customHeight="1" outlineLevel="1"/>
    <row r="11" spans="1:8" ht="245.25" customHeight="1">
      <c r="A11" s="85" t="s">
        <v>83</v>
      </c>
      <c r="B11" s="8" t="s">
        <v>29</v>
      </c>
      <c r="C11" s="30" t="s">
        <v>132</v>
      </c>
      <c r="D11" s="9" t="s">
        <v>136</v>
      </c>
      <c r="E11" s="95" t="s">
        <v>116</v>
      </c>
      <c r="F11" s="24" t="s">
        <v>123</v>
      </c>
      <c r="G11" s="50"/>
      <c r="H11" s="11"/>
    </row>
    <row r="12" spans="1:8" ht="245.25" customHeight="1">
      <c r="A12" s="85"/>
      <c r="B12" s="8" t="s">
        <v>30</v>
      </c>
      <c r="C12" s="30" t="s">
        <v>133</v>
      </c>
      <c r="D12" s="9" t="s">
        <v>137</v>
      </c>
      <c r="E12" s="95"/>
      <c r="F12" s="24" t="s">
        <v>123</v>
      </c>
      <c r="G12" s="50"/>
      <c r="H12" s="11"/>
    </row>
    <row r="13" spans="1:8" ht="245.25" customHeight="1">
      <c r="A13" s="85"/>
      <c r="B13" s="8" t="s">
        <v>31</v>
      </c>
      <c r="C13" s="30" t="s">
        <v>134</v>
      </c>
      <c r="D13" s="9" t="s">
        <v>138</v>
      </c>
      <c r="E13" s="95"/>
      <c r="F13" s="30" t="s">
        <v>123</v>
      </c>
      <c r="G13" s="50"/>
      <c r="H13" s="11"/>
    </row>
    <row r="14" spans="1:8" s="86" customFormat="1" ht="34.5" customHeight="1" outlineLevel="1"/>
    <row r="15" spans="1:8" ht="89.25" customHeight="1">
      <c r="A15" s="85" t="s">
        <v>84</v>
      </c>
      <c r="B15" s="8" t="s">
        <v>27</v>
      </c>
      <c r="C15" s="30" t="s">
        <v>130</v>
      </c>
      <c r="D15" s="9" t="s">
        <v>125</v>
      </c>
      <c r="E15" s="96"/>
      <c r="F15" s="30" t="s">
        <v>123</v>
      </c>
      <c r="G15" s="50"/>
      <c r="H15" s="11"/>
    </row>
    <row r="16" spans="1:8" ht="89.25" customHeight="1">
      <c r="A16" s="85"/>
      <c r="B16" s="8" t="s">
        <v>28</v>
      </c>
      <c r="C16" s="30" t="s">
        <v>131</v>
      </c>
      <c r="D16" s="9" t="s">
        <v>117</v>
      </c>
      <c r="E16" s="96"/>
      <c r="F16" s="30" t="s">
        <v>123</v>
      </c>
      <c r="G16" s="50"/>
      <c r="H16" s="11"/>
    </row>
    <row r="17" spans="1:8" s="86" customFormat="1" ht="34.5" customHeight="1" outlineLevel="1"/>
    <row r="18" spans="1:8" ht="165" customHeight="1" outlineLevel="1">
      <c r="A18" s="97" t="s">
        <v>118</v>
      </c>
      <c r="B18" s="8" t="s">
        <v>85</v>
      </c>
      <c r="C18" s="8">
        <v>15</v>
      </c>
      <c r="D18" s="93" t="str">
        <f>IF(A18="Clock
(Crystal)", "Reference clock 25-MHz crystal.
Ensure it meets the ppm and ESR spec as defined in datasheet and load capacitance as defined by crystal manufacturer.", "Ensure Oscillator signal meets spec as defined in datasheet and is in 1.8V domain. If VDDIO is 2.5V or 3.3V, then capacitor divider needs to be used. 
Starting Capacitor Recommendation: For 3.3V, CD1=CD2=27pF. For 2.5V, CD1=27pF and CD2=16pF.")</f>
        <v>Reference clock 25-MHz crystal.
Ensure it meets the ppm and ESR spec as defined in datasheet and load capacitance as defined by crystal manufacturer.</v>
      </c>
      <c r="E18" s="96"/>
      <c r="F18" s="93" t="s">
        <v>123</v>
      </c>
      <c r="G18" s="93"/>
      <c r="H18" s="11"/>
    </row>
    <row r="19" spans="1:8" ht="165" customHeight="1" outlineLevel="1">
      <c r="A19" s="98"/>
      <c r="B19" s="8" t="str">
        <f>IF(A18="Clock
(Crystal)", "XO", "XO 
(Unused, DNC)")</f>
        <v>XO</v>
      </c>
      <c r="C19" s="8">
        <v>14</v>
      </c>
      <c r="D19" s="93"/>
      <c r="E19" s="96"/>
      <c r="F19" s="93"/>
      <c r="G19" s="93"/>
      <c r="H19" s="11"/>
    </row>
    <row r="20" spans="1:8" s="86" customFormat="1" ht="34.5" customHeight="1" outlineLevel="1"/>
    <row r="21" spans="1:8" ht="165" customHeight="1">
      <c r="A21" s="94" t="s">
        <v>178</v>
      </c>
      <c r="B21" s="8" t="s">
        <v>87</v>
      </c>
      <c r="C21" s="8">
        <v>16</v>
      </c>
      <c r="D21" s="9" t="s">
        <v>179</v>
      </c>
      <c r="E21" s="8"/>
      <c r="F21" s="30" t="s">
        <v>123</v>
      </c>
      <c r="G21" s="50"/>
      <c r="H21" s="11"/>
    </row>
    <row r="22" spans="1:8" ht="165" customHeight="1">
      <c r="A22" s="94"/>
      <c r="B22" s="8" t="s">
        <v>88</v>
      </c>
      <c r="C22" s="8">
        <v>17</v>
      </c>
      <c r="D22" s="9" t="s">
        <v>119</v>
      </c>
      <c r="E22" s="8"/>
      <c r="F22" s="30" t="s">
        <v>123</v>
      </c>
      <c r="G22" s="50"/>
      <c r="H22" s="11"/>
    </row>
    <row r="23" spans="1:8" s="86" customFormat="1" ht="34.5" customHeight="1" outlineLevel="1"/>
    <row r="24" spans="1:8" ht="165" customHeight="1">
      <c r="A24" s="31" t="s">
        <v>89</v>
      </c>
      <c r="B24" s="8" t="s">
        <v>90</v>
      </c>
      <c r="C24" s="8">
        <v>43</v>
      </c>
      <c r="D24" s="9" t="s">
        <v>91</v>
      </c>
      <c r="E24" s="8"/>
      <c r="F24" s="30" t="s">
        <v>123</v>
      </c>
      <c r="G24" s="50"/>
      <c r="H24" s="11"/>
    </row>
    <row r="25" spans="1:8" ht="165" customHeight="1">
      <c r="A25" s="39" t="s">
        <v>161</v>
      </c>
      <c r="B25" s="8" t="s">
        <v>160</v>
      </c>
      <c r="C25" s="8">
        <v>44</v>
      </c>
      <c r="D25" s="50" t="str">
        <f>IF($A$21="Power Down", "(Default) Active Low input to enable power down mode. Register access available to reconfigure.", "Active Low output, asserted when an interrupt condition occurs. Pin has a weak internal pullup. Register access necessary to enable various interrupt triggers. Deasserted once register reads interrupt register")</f>
        <v>Active Low output, asserted when an interrupt condition occurs. Pin has a weak internal pullup. Register access necessary to enable various interrupt triggers. Deasserted once register reads interrupt register</v>
      </c>
      <c r="E25" s="19"/>
      <c r="F25" s="30" t="s">
        <v>123</v>
      </c>
      <c r="G25" s="50"/>
      <c r="H25" s="11"/>
    </row>
    <row r="26" spans="1:8" ht="165" customHeight="1">
      <c r="A26" s="31" t="s">
        <v>93</v>
      </c>
      <c r="B26" s="8" t="s">
        <v>93</v>
      </c>
      <c r="C26" s="8">
        <v>18</v>
      </c>
      <c r="D26" s="9" t="s">
        <v>124</v>
      </c>
      <c r="E26" s="19"/>
      <c r="F26" s="30" t="s">
        <v>123</v>
      </c>
      <c r="G26" s="50"/>
      <c r="H26" s="11"/>
    </row>
    <row r="27" spans="1:8" s="86" customFormat="1" ht="34.5" customHeight="1" outlineLevel="1"/>
    <row r="28" spans="1:8" ht="397.9" customHeight="1" outlineLevel="1">
      <c r="A28" s="28" t="s">
        <v>94</v>
      </c>
      <c r="B28" s="9" t="s">
        <v>95</v>
      </c>
      <c r="C28" s="9" t="s">
        <v>122</v>
      </c>
      <c r="D28" s="9" t="s">
        <v>140</v>
      </c>
      <c r="E28" s="19"/>
      <c r="F28" s="30" t="s">
        <v>123</v>
      </c>
      <c r="G28" s="50"/>
      <c r="H28" s="11"/>
    </row>
    <row r="29" spans="1:8" s="86" customFormat="1" ht="34.5" customHeight="1" outlineLevel="1"/>
    <row r="30" spans="1:8" ht="31.2">
      <c r="A30" s="87" t="s">
        <v>120</v>
      </c>
      <c r="B30" s="9" t="str">
        <f>IF($A$30="RGMII","GTX_CLK","No function")</f>
        <v>GTX_CLK</v>
      </c>
      <c r="C30" s="8">
        <v>29</v>
      </c>
      <c r="D30" s="9" t="str">
        <f>IF($A$30="RGMII","Transmit Clock
2.5MHz for 10Mbps, 25MHz for 100Mbps, 125MHz for 1000Mbps","No function")</f>
        <v>Transmit Clock
2.5MHz for 10Mbps, 25MHz for 100Mbps, 125MHz for 1000Mbps</v>
      </c>
      <c r="E30" s="90"/>
      <c r="F30" s="30" t="s">
        <v>123</v>
      </c>
      <c r="G30" s="50"/>
      <c r="H30" s="11"/>
    </row>
    <row r="31" spans="1:8" ht="93.6">
      <c r="A31" s="88"/>
      <c r="B31" s="9" t="str">
        <f>IF($A$30="RGMII","TX_CTRL","No function")</f>
        <v>TX_CTRL</v>
      </c>
      <c r="C31" s="8">
        <v>37</v>
      </c>
      <c r="D31" s="9" t="str">
        <f>IF($A$30="RGMII","Transmit Control
Rising: TX_EN, Falling: (TX_EN XOR TX_ER)
High on both edges of GTK_CLK if error-free packet present
Low on both edges of GTK_CLK if no packet present
High on rising edge and low on falling edge of GTK_CLK if error packet present","No function")</f>
        <v>Transmit Control
Rising: TX_EN, Falling: (TX_EN XOR TX_ER)
High on both edges of GTK_CLK if error-free packet present
Low on both edges of GTK_CLK if no packet present
High on rising edge and low on falling edge of GTK_CLK if error packet present</v>
      </c>
      <c r="E31" s="91"/>
      <c r="F31" s="30" t="s">
        <v>123</v>
      </c>
      <c r="G31" s="50"/>
      <c r="H31" s="11"/>
    </row>
    <row r="32" spans="1:8">
      <c r="A32" s="88"/>
      <c r="B32" s="9" t="str">
        <f>IF($A$30="RGMII","TX_D3","No function")</f>
        <v>TX_D3</v>
      </c>
      <c r="C32" s="8">
        <v>25</v>
      </c>
      <c r="D32" s="9" t="str">
        <f>IF($A$30="RGMII","Transmit Data","No function")</f>
        <v>Transmit Data</v>
      </c>
      <c r="E32" s="91"/>
      <c r="F32" s="30" t="s">
        <v>123</v>
      </c>
      <c r="G32" s="50"/>
      <c r="H32" s="11"/>
    </row>
    <row r="33" spans="1:8">
      <c r="A33" s="88"/>
      <c r="B33" s="9" t="str">
        <f>IF($A$30="RGMII","TX_D2","No function")</f>
        <v>TX_D2</v>
      </c>
      <c r="C33" s="8">
        <v>26</v>
      </c>
      <c r="D33" s="9" t="str">
        <f t="shared" ref="D33" si="0">IF($A$30="RGMII","Transmit Data","No function")</f>
        <v>Transmit Data</v>
      </c>
      <c r="E33" s="91"/>
      <c r="F33" s="30" t="s">
        <v>123</v>
      </c>
      <c r="G33" s="50"/>
      <c r="H33" s="11"/>
    </row>
    <row r="34" spans="1:8">
      <c r="A34" s="88"/>
      <c r="B34" s="9" t="str">
        <f>IF($A$30="RGMII","TX_D1","SI_P")</f>
        <v>TX_D1</v>
      </c>
      <c r="C34" s="8">
        <v>27</v>
      </c>
      <c r="D34" s="9" t="str">
        <f>IF($A$30="RGMII","Transmit Data","SGMII Data Input, positive end")</f>
        <v>Transmit Data</v>
      </c>
      <c r="E34" s="91"/>
      <c r="F34" s="30" t="s">
        <v>123</v>
      </c>
      <c r="G34" s="50"/>
      <c r="H34" s="11"/>
    </row>
    <row r="35" spans="1:8">
      <c r="A35" s="88"/>
      <c r="B35" s="9" t="str">
        <f>IF($A$30="RGMII","TX_D0","SI_N")</f>
        <v>TX_D0</v>
      </c>
      <c r="C35" s="8">
        <v>28</v>
      </c>
      <c r="D35" s="9" t="str">
        <f>IF($A$30="RGMII","Transmit Data","SGMII Data Input, negative end")</f>
        <v>Transmit Data</v>
      </c>
      <c r="E35" s="91"/>
      <c r="F35" s="30" t="s">
        <v>123</v>
      </c>
      <c r="G35" s="50"/>
      <c r="H35" s="11"/>
    </row>
    <row r="36" spans="1:8" ht="31.2">
      <c r="A36" s="88"/>
      <c r="B36" s="9" t="str">
        <f>IF($A$30="RGMII","RX_CLK","No function")</f>
        <v>RX_CLK</v>
      </c>
      <c r="C36" s="8">
        <v>32</v>
      </c>
      <c r="D36" s="9" t="str">
        <f>IF($A$30="RGMII","Receive Clock
2.5MHz for 10Mbps, 25MHz for 100Mbps, 125MHz for 1000Mbps","No function")</f>
        <v>Receive Clock
2.5MHz for 10Mbps, 25MHz for 100Mbps, 125MHz for 1000Mbps</v>
      </c>
      <c r="E36" s="91"/>
      <c r="F36" s="30" t="s">
        <v>123</v>
      </c>
      <c r="G36" s="50"/>
      <c r="H36" s="11"/>
    </row>
    <row r="37" spans="1:8" ht="31.2">
      <c r="A37" s="88"/>
      <c r="B37" s="9" t="str">
        <f>IF($A$30="RGMII","RX_D0","CO_P")</f>
        <v>RX_D0</v>
      </c>
      <c r="C37" s="30" t="s">
        <v>127</v>
      </c>
      <c r="D37" s="9" t="str">
        <f>IF($A$30="RGMII","Receive Data","SGMII Clock Output (optional; see 0xD3[14]), positive end")</f>
        <v>Receive Data</v>
      </c>
      <c r="E37" s="91"/>
      <c r="F37" s="30" t="s">
        <v>123</v>
      </c>
      <c r="G37" s="50"/>
      <c r="H37" s="11"/>
    </row>
    <row r="38" spans="1:8">
      <c r="A38" s="88"/>
      <c r="B38" s="9" t="str">
        <f>IF($A$30="RGMII","RX_D1","CO_N")</f>
        <v>RX_D1</v>
      </c>
      <c r="C38" s="8">
        <v>34</v>
      </c>
      <c r="D38" s="9" t="str">
        <f>IF($A$30="RGMII","Receive Data","SGMII Clock Output (optional; see 0xD3[14]), negative end")</f>
        <v>Receive Data</v>
      </c>
      <c r="E38" s="91"/>
      <c r="F38" s="30" t="s">
        <v>123</v>
      </c>
      <c r="G38" s="50"/>
      <c r="H38" s="11"/>
    </row>
    <row r="39" spans="1:8" ht="31.2">
      <c r="A39" s="88"/>
      <c r="B39" s="9" t="str">
        <f>IF($A$30="RGMII","RX_D2","SO_P")</f>
        <v>RX_D2</v>
      </c>
      <c r="C39" s="30" t="s">
        <v>128</v>
      </c>
      <c r="D39" s="9" t="str">
        <f>IF($A$30="RGMII","Receive Data","SGMII Data Output, positive end")</f>
        <v>Receive Data</v>
      </c>
      <c r="E39" s="91"/>
      <c r="F39" s="30" t="s">
        <v>123</v>
      </c>
      <c r="G39" s="50"/>
      <c r="H39" s="11"/>
    </row>
    <row r="40" spans="1:8">
      <c r="A40" s="88"/>
      <c r="B40" s="9" t="str">
        <f>IF($A$30="RGMII","RX_D3","SO_N")</f>
        <v>RX_D3</v>
      </c>
      <c r="C40" s="8">
        <v>36</v>
      </c>
      <c r="D40" s="9" t="str">
        <f>IF($A$30="RGMII","Receive Data","SGMII Data Output, negative end")</f>
        <v>Receive Data</v>
      </c>
      <c r="E40" s="91"/>
      <c r="F40" s="30" t="s">
        <v>123</v>
      </c>
      <c r="G40" s="50"/>
      <c r="H40" s="11"/>
    </row>
    <row r="41" spans="1:8" ht="124.8">
      <c r="A41" s="89"/>
      <c r="B41" s="9" t="str">
        <f>IF($A$30="RGMII","RX_CTRL","No function")</f>
        <v>RX_CTRL</v>
      </c>
      <c r="C41" s="30" t="s">
        <v>129</v>
      </c>
      <c r="D41" s="9" t="str">
        <f>IF($A$30="RGMII","Receive Control
Rising: RX_DV, Falling: (RX_DV XOR RX_ER)
High on both edges of RX_CLK if error-free packet
Low on both edges of RX_CLK if no packet
High on rising edge and low on falling edge of RX_CLK if error packet
Strap for Mode 3 or 4 only","No function
Strap for Mode 3 or 4 only")</f>
        <v>Receive Control
Rising: RX_DV, Falling: (RX_DV XOR RX_ER)
High on both edges of RX_CLK if error-free packet
Low on both edges of RX_CLK if no packet
High on rising edge and low on falling edge of RX_CLK if error packet
Strap for Mode 3 or 4 only</v>
      </c>
      <c r="E41" s="92"/>
      <c r="F41" s="30" t="s">
        <v>123</v>
      </c>
      <c r="G41" s="50"/>
      <c r="H41" s="11"/>
    </row>
    <row r="42" spans="1:8" s="86" customFormat="1" ht="34.5" customHeight="1" outlineLevel="1"/>
    <row r="43" spans="1:8">
      <c r="A43" s="85" t="s">
        <v>96</v>
      </c>
      <c r="B43" s="8" t="s">
        <v>97</v>
      </c>
      <c r="C43" s="8">
        <v>20</v>
      </c>
      <c r="D43" s="9" t="s">
        <v>98</v>
      </c>
      <c r="E43" s="19"/>
      <c r="F43" s="30" t="s">
        <v>123</v>
      </c>
      <c r="G43" s="50"/>
      <c r="H43" s="11"/>
    </row>
    <row r="44" spans="1:8">
      <c r="A44" s="85"/>
      <c r="B44" s="8" t="s">
        <v>99</v>
      </c>
      <c r="C44" s="8">
        <v>21</v>
      </c>
      <c r="D44" s="9" t="s">
        <v>100</v>
      </c>
      <c r="E44" s="19"/>
      <c r="F44" s="30" t="s">
        <v>123</v>
      </c>
      <c r="G44" s="50"/>
      <c r="H44" s="11"/>
    </row>
    <row r="45" spans="1:8">
      <c r="A45" s="85"/>
      <c r="B45" s="8" t="s">
        <v>101</v>
      </c>
      <c r="C45" s="8">
        <v>22</v>
      </c>
      <c r="D45" s="9" t="s">
        <v>102</v>
      </c>
      <c r="E45" s="19"/>
      <c r="F45" s="30" t="s">
        <v>123</v>
      </c>
      <c r="G45" s="50"/>
      <c r="H45" s="11"/>
    </row>
    <row r="46" spans="1:8">
      <c r="A46" s="85"/>
      <c r="B46" s="8" t="s">
        <v>103</v>
      </c>
      <c r="C46" s="8">
        <v>23</v>
      </c>
      <c r="D46" s="9" t="s">
        <v>104</v>
      </c>
      <c r="E46" s="19"/>
      <c r="F46" s="30" t="s">
        <v>123</v>
      </c>
      <c r="G46" s="50"/>
      <c r="H46" s="11"/>
    </row>
    <row r="47" spans="1:8">
      <c r="E47" s="25"/>
    </row>
    <row r="48" spans="1:8">
      <c r="E48" s="25"/>
    </row>
    <row r="49" spans="5:5">
      <c r="E49" s="25"/>
    </row>
    <row r="50" spans="5:5">
      <c r="E50" s="25"/>
    </row>
    <row r="51" spans="5:5">
      <c r="E51" s="25"/>
    </row>
    <row r="52" spans="5:5">
      <c r="E52" s="25"/>
    </row>
    <row r="53" spans="5:5">
      <c r="E53" s="25"/>
    </row>
    <row r="54" spans="5:5">
      <c r="E54" s="25"/>
    </row>
    <row r="55" spans="5:5">
      <c r="E55" s="25"/>
    </row>
    <row r="56" spans="5:5">
      <c r="E56" s="25"/>
    </row>
    <row r="57" spans="5:5">
      <c r="E57" s="25"/>
    </row>
    <row r="58" spans="5:5">
      <c r="E58" s="25"/>
    </row>
    <row r="59" spans="5:5">
      <c r="E59" s="25"/>
    </row>
    <row r="60" spans="5:5">
      <c r="E60" s="25"/>
    </row>
    <row r="61" spans="5:5">
      <c r="E61" s="25"/>
    </row>
    <row r="62" spans="5:5">
      <c r="E62" s="25"/>
    </row>
    <row r="63" spans="5:5">
      <c r="E63" s="25"/>
    </row>
    <row r="64" spans="5:5">
      <c r="E64" s="25"/>
    </row>
    <row r="65" spans="1:5">
      <c r="E65" s="25"/>
    </row>
    <row r="66" spans="1:5">
      <c r="E66" s="25"/>
    </row>
    <row r="67" spans="1:5">
      <c r="E67" s="25"/>
    </row>
    <row r="68" spans="1:5">
      <c r="E68" s="25"/>
    </row>
    <row r="69" spans="1:5">
      <c r="E69" s="25"/>
    </row>
    <row r="70" spans="1:5">
      <c r="E70" s="25"/>
    </row>
    <row r="71" spans="1:5">
      <c r="E71" s="25"/>
    </row>
    <row r="72" spans="1:5">
      <c r="E72" s="25"/>
    </row>
    <row r="73" spans="1:5">
      <c r="E73" s="25"/>
    </row>
    <row r="74" spans="1:5">
      <c r="E74" s="25"/>
    </row>
    <row r="75" spans="1:5">
      <c r="E75" s="25"/>
    </row>
    <row r="76" spans="1:5">
      <c r="E76" s="25"/>
    </row>
    <row r="77" spans="1:5">
      <c r="A77" s="22" t="s">
        <v>92</v>
      </c>
    </row>
    <row r="78" spans="1:5">
      <c r="A78" s="22" t="s">
        <v>161</v>
      </c>
    </row>
    <row r="79" spans="1:5" ht="186" customHeight="1">
      <c r="A79" s="22" t="s">
        <v>120</v>
      </c>
      <c r="B79" s="22" t="str">
        <f>IF(A30="RGMII","RGMII","SGMII")</f>
        <v>RGMII</v>
      </c>
    </row>
    <row r="80" spans="1:5" ht="180.75" customHeight="1">
      <c r="A80" s="22" t="s">
        <v>121</v>
      </c>
    </row>
    <row r="81" spans="1:6" ht="130.5" customHeight="1">
      <c r="A81" s="32" t="s">
        <v>118</v>
      </c>
      <c r="B81" s="22" t="str">
        <f>IF(A18="Clock
(Crystal)", "Crystal", "Oscillator")</f>
        <v>Crystal</v>
      </c>
    </row>
    <row r="82" spans="1:6" ht="164.25" customHeight="1">
      <c r="A82" s="32" t="s">
        <v>142</v>
      </c>
      <c r="B82" s="22" t="str">
        <f>IF(A18="Clock
(Crystal)", "CrystalPic", "OscillatorPic")</f>
        <v>CrystalPic</v>
      </c>
      <c r="D82" s="32"/>
      <c r="F82" s="32"/>
    </row>
    <row r="83" spans="1:6" ht="141" customHeight="1"/>
    <row r="84" spans="1:6" ht="204" customHeight="1"/>
  </sheetData>
  <dataConsolidate/>
  <mergeCells count="24">
    <mergeCell ref="A2:A5"/>
    <mergeCell ref="A15:A16"/>
    <mergeCell ref="D18:D19"/>
    <mergeCell ref="A21:A22"/>
    <mergeCell ref="A6:XFD6"/>
    <mergeCell ref="A8:XFD8"/>
    <mergeCell ref="A10:XFD10"/>
    <mergeCell ref="A11:A13"/>
    <mergeCell ref="E11:E13"/>
    <mergeCell ref="E15:E16"/>
    <mergeCell ref="A14:XFD14"/>
    <mergeCell ref="A17:XFD17"/>
    <mergeCell ref="G18:G19"/>
    <mergeCell ref="A18:A19"/>
    <mergeCell ref="E18:E19"/>
    <mergeCell ref="F18:F19"/>
    <mergeCell ref="A43:A46"/>
    <mergeCell ref="A20:XFD20"/>
    <mergeCell ref="A23:XFD23"/>
    <mergeCell ref="A27:XFD27"/>
    <mergeCell ref="A29:XFD29"/>
    <mergeCell ref="A42:XFD42"/>
    <mergeCell ref="A30:A41"/>
    <mergeCell ref="E30:E41"/>
  </mergeCells>
  <conditionalFormatting sqref="F2:F46">
    <cfRule type="cellIs" dxfId="4" priority="1" operator="equal">
      <formula>"Required"</formula>
    </cfRule>
  </conditionalFormatting>
  <dataValidations count="4">
    <dataValidation type="list" allowBlank="1" showInputMessage="1" showErrorMessage="1" sqref="A30" xr:uid="{07785BC3-A0A4-469B-8B68-DC27BDC6F5A0}">
      <formula1>$A$79:$A$80</formula1>
    </dataValidation>
    <dataValidation type="list" allowBlank="1" showInputMessage="1" showErrorMessage="1" sqref="F2:F5 F7 F9 F11:F13 F15:F16 F21:F22 F24:F26 F28 F30:F41 F43:F46" xr:uid="{5F859567-80F8-4DD0-B959-F5A8D912A64B}">
      <formula1>"Required, Yes,No"</formula1>
    </dataValidation>
    <dataValidation type="list" allowBlank="1" showInputMessage="1" showErrorMessage="1" sqref="A18:A19" xr:uid="{CD3B9B0A-50AF-4371-80C5-934072012DD0}">
      <formula1>$A$81:$A$82</formula1>
    </dataValidation>
    <dataValidation type="list" allowBlank="1" showInputMessage="1" showErrorMessage="1" sqref="A25" xr:uid="{13773F15-7867-4422-A7CA-8EA8BB84BFC8}">
      <formula1>$A$77:$A$78</formula1>
    </dataValidation>
  </dataValidation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C4960-A411-4568-A771-701E84F5ABE9}">
  <dimension ref="A3:Q142"/>
  <sheetViews>
    <sheetView zoomScaleNormal="100" workbookViewId="0">
      <selection activeCell="G14" sqref="G14"/>
    </sheetView>
  </sheetViews>
  <sheetFormatPr defaultColWidth="8.84765625" defaultRowHeight="15.6"/>
  <cols>
    <col min="1" max="1" width="12.5" customWidth="1"/>
    <col min="2" max="2" width="30.5" bestFit="1" customWidth="1"/>
    <col min="3" max="3" width="13.25" bestFit="1" customWidth="1"/>
    <col min="4" max="4" width="25.5" bestFit="1" customWidth="1"/>
    <col min="5" max="9" width="12.5" customWidth="1"/>
    <col min="10" max="10" width="12.34765625" customWidth="1"/>
    <col min="11" max="13" width="12.5" customWidth="1"/>
    <col min="14" max="14" width="12.34765625" customWidth="1"/>
    <col min="15" max="15" width="12.5" customWidth="1"/>
  </cols>
  <sheetData>
    <row r="3" spans="1:8">
      <c r="A3" s="42" t="s">
        <v>4</v>
      </c>
    </row>
    <row r="5" spans="1:8">
      <c r="G5" s="106" t="s">
        <v>19</v>
      </c>
      <c r="H5" s="107"/>
    </row>
    <row r="6" spans="1:8" ht="33.6">
      <c r="B6" s="36" t="s">
        <v>33</v>
      </c>
      <c r="C6" s="36" t="s">
        <v>34</v>
      </c>
      <c r="D6" s="36" t="s">
        <v>35</v>
      </c>
      <c r="E6" s="36" t="s">
        <v>20</v>
      </c>
      <c r="F6" s="36" t="s">
        <v>21</v>
      </c>
      <c r="G6" s="43" t="s">
        <v>22</v>
      </c>
      <c r="H6" s="43" t="s">
        <v>23</v>
      </c>
    </row>
    <row r="7" spans="1:8">
      <c r="B7" s="99" t="s">
        <v>36</v>
      </c>
      <c r="C7" s="102">
        <v>0</v>
      </c>
      <c r="D7" s="108">
        <v>0</v>
      </c>
      <c r="E7" s="38" t="s">
        <v>24</v>
      </c>
      <c r="F7" s="38" t="str">
        <f>VLOOKUP(C7,C89:F104,3,FALSE)</f>
        <v>Mode 1</v>
      </c>
      <c r="G7" s="47" t="str">
        <f>VLOOKUP(F7,G89:I92,2,FALSE)</f>
        <v>Open</v>
      </c>
      <c r="H7" s="47" t="str">
        <f>VLOOKUP(F7,G89:I92,3,FALSE)</f>
        <v>Open</v>
      </c>
    </row>
    <row r="8" spans="1:8">
      <c r="B8" s="101"/>
      <c r="C8" s="103"/>
      <c r="D8" s="109"/>
      <c r="E8" s="38" t="s">
        <v>25</v>
      </c>
      <c r="F8" s="38" t="str">
        <f>VLOOKUP(C7,C89:F104,2,FALSE)</f>
        <v>Mode 1</v>
      </c>
      <c r="G8" s="47" t="str">
        <f>VLOOKUP(F8,G89:I92,2,FALSE)</f>
        <v>Open</v>
      </c>
      <c r="H8" s="47" t="str">
        <f>VLOOKUP(F8,G89:I92,3,FALSE)</f>
        <v>Open</v>
      </c>
    </row>
    <row r="9" spans="1:8">
      <c r="B9" s="101"/>
      <c r="C9" s="103"/>
      <c r="D9" s="109"/>
      <c r="E9" s="50" t="s">
        <v>153</v>
      </c>
      <c r="F9" s="50" t="str">
        <f>IF(OR($F$16="Mode 1",$F$16="Mode 3"), "Mode 1", F7)</f>
        <v>Mode 1</v>
      </c>
      <c r="G9" s="47" t="str">
        <f>IF($F$9="Mode 1", "Open",G7)</f>
        <v>Open</v>
      </c>
      <c r="H9" s="47" t="str">
        <f>IF($F$9="Mode 1", "Open",H7)</f>
        <v>Open</v>
      </c>
    </row>
    <row r="10" spans="1:8">
      <c r="B10" s="100"/>
      <c r="C10" s="104"/>
      <c r="D10" s="110"/>
      <c r="E10" s="50" t="s">
        <v>154</v>
      </c>
      <c r="F10" s="50" t="str">
        <f>IF(OR($F$16="Mode 1",$F$16="Mode 3"), "Mode 1", F8)</f>
        <v>Mode 1</v>
      </c>
      <c r="G10" s="47" t="str">
        <f>IF($F$10="Mode 1", "Open",G8)</f>
        <v>Open</v>
      </c>
      <c r="H10" s="47" t="str">
        <f>IF($F$10="Mode 1", "Open",H8)</f>
        <v>Open</v>
      </c>
    </row>
    <row r="11" spans="1:8" ht="31.2">
      <c r="B11" s="45" t="s">
        <v>192</v>
      </c>
      <c r="C11" s="48" t="s">
        <v>37</v>
      </c>
      <c r="D11" s="38" t="s">
        <v>220</v>
      </c>
      <c r="E11" s="38" t="s">
        <v>26</v>
      </c>
      <c r="F11" s="38" t="str">
        <f>IF(C11="Enable","Mode 3", "Mode 4")</f>
        <v>Mode 3</v>
      </c>
      <c r="G11" s="47" t="str">
        <f>VLOOKUP(F11,G89:I92,2,FALSE)</f>
        <v>5.76kΩ</v>
      </c>
      <c r="H11" s="47" t="str">
        <f>VLOOKUP(F11,G89:I92,3,FALSE)</f>
        <v>2.49kΩ</v>
      </c>
    </row>
    <row r="12" spans="1:8">
      <c r="B12" s="99" t="s">
        <v>222</v>
      </c>
      <c r="C12" s="97" t="s">
        <v>39</v>
      </c>
      <c r="D12" s="93" t="s">
        <v>39</v>
      </c>
      <c r="E12" s="38" t="s">
        <v>27</v>
      </c>
      <c r="F12" s="38" t="str">
        <f>VLOOKUP(C12,C111:E118,3,FALSE)</f>
        <v>Mode 1</v>
      </c>
      <c r="G12" s="47" t="str">
        <f>VLOOKUP(F12,G89:I92,2,FALSE)</f>
        <v>Open</v>
      </c>
      <c r="H12" s="47" t="str">
        <f>VLOOKUP(F12,G89:I92,3,FALSE)</f>
        <v>Open</v>
      </c>
    </row>
    <row r="13" spans="1:8">
      <c r="B13" s="100"/>
      <c r="C13" s="97"/>
      <c r="D13" s="93"/>
      <c r="E13" s="38" t="s">
        <v>28</v>
      </c>
      <c r="F13" s="38" t="str">
        <f>VLOOKUP(C12,C111:E118,2,FALSE)</f>
        <v>Mode 1</v>
      </c>
      <c r="G13" s="47" t="str">
        <f>VLOOKUP(F13,G89:I92,2,FALSE)</f>
        <v>Open</v>
      </c>
      <c r="H13" s="47" t="str">
        <f>VLOOKUP(F13,G89:I92,3,FALSE)</f>
        <v>Open</v>
      </c>
    </row>
    <row r="14" spans="1:8" ht="31.2">
      <c r="B14" s="45" t="s">
        <v>223</v>
      </c>
      <c r="C14" s="48" t="s">
        <v>39</v>
      </c>
      <c r="D14" s="38" t="s">
        <v>39</v>
      </c>
      <c r="E14" s="38" t="s">
        <v>29</v>
      </c>
      <c r="F14" s="38" t="str">
        <f>IF(C15="10/100/1000", VLOOKUP(C14,C124:G131,3,FALSE), VLOOKUP(C14,C124:G131,5,FALSE))</f>
        <v>Mode 1</v>
      </c>
      <c r="G14" s="47" t="str">
        <f>VLOOKUP(F14,G89:I92,2,FALSE)</f>
        <v>Open</v>
      </c>
      <c r="H14" s="47" t="str">
        <f>VLOOKUP(F14,G89:I92,3,FALSE)</f>
        <v>Open</v>
      </c>
    </row>
    <row r="15" spans="1:8">
      <c r="B15" s="45" t="s">
        <v>221</v>
      </c>
      <c r="C15" s="48" t="s">
        <v>40</v>
      </c>
      <c r="D15" s="38" t="s">
        <v>40</v>
      </c>
      <c r="E15" s="38" t="s">
        <v>30</v>
      </c>
      <c r="F15" s="38" t="str">
        <f>IF(C15="10/100/1000", VLOOKUP(C14,C124:G131,2,FALSE), VLOOKUP(C14,C124:G131,4,FALSE))</f>
        <v>Mode 1</v>
      </c>
      <c r="G15" s="47" t="str">
        <f>VLOOKUP(F15,G89:I92,2,FALSE)</f>
        <v>Open</v>
      </c>
      <c r="H15" s="47" t="str">
        <f>VLOOKUP(F15,G89:I92,3,FALSE)</f>
        <v>Open</v>
      </c>
    </row>
    <row r="16" spans="1:8" ht="31.2">
      <c r="B16" s="45" t="s">
        <v>224</v>
      </c>
      <c r="C16" s="48" t="s">
        <v>225</v>
      </c>
      <c r="D16" s="38" t="s">
        <v>225</v>
      </c>
      <c r="E16" s="38" t="s">
        <v>31</v>
      </c>
      <c r="F16" s="38" t="str">
        <f>VLOOKUP(C16,C139:D142, 2, FALSE)</f>
        <v>Mode 1</v>
      </c>
      <c r="G16" s="47" t="str">
        <f>VLOOKUP(F16,G89:I92,2,FALSE)</f>
        <v>Open</v>
      </c>
      <c r="H16" s="47" t="str">
        <f>VLOOKUP(F16,G89:I92,3,FALSE)</f>
        <v>Open</v>
      </c>
    </row>
    <row r="17" spans="1:17">
      <c r="B17" s="40"/>
      <c r="D17" s="41"/>
      <c r="E17" s="41"/>
      <c r="F17" s="41"/>
      <c r="G17" s="41"/>
      <c r="H17" s="41"/>
    </row>
    <row r="18" spans="1:17" hidden="1">
      <c r="A18" s="42" t="s">
        <v>32</v>
      </c>
      <c r="B18" s="40"/>
      <c r="C18" s="37">
        <v>3</v>
      </c>
      <c r="D18" s="41">
        <v>2</v>
      </c>
      <c r="E18" s="41">
        <v>1</v>
      </c>
      <c r="F18" s="41">
        <v>0</v>
      </c>
      <c r="G18" s="41"/>
      <c r="H18" s="41"/>
    </row>
    <row r="19" spans="1:17" hidden="1">
      <c r="B19" s="40" t="s">
        <v>180</v>
      </c>
      <c r="C19" s="44"/>
      <c r="D19" s="37"/>
      <c r="E19" s="37"/>
      <c r="F19" s="37"/>
      <c r="G19" s="41"/>
      <c r="H19" s="41"/>
    </row>
    <row r="20" spans="1:17" hidden="1">
      <c r="B20" s="40" t="s">
        <v>181</v>
      </c>
      <c r="C20" s="37"/>
      <c r="D20" s="37"/>
      <c r="E20" s="37"/>
      <c r="F20" s="37"/>
      <c r="G20" s="41"/>
      <c r="H20" s="41"/>
    </row>
    <row r="21" spans="1:17" hidden="1">
      <c r="B21" s="40" t="s">
        <v>188</v>
      </c>
      <c r="C21" s="37">
        <f>HEX2DEC(C19)</f>
        <v>0</v>
      </c>
      <c r="D21" s="37">
        <f t="shared" ref="D21:F22" si="0">HEX2DEC(D19)</f>
        <v>0</v>
      </c>
      <c r="E21" s="37">
        <f t="shared" si="0"/>
        <v>0</v>
      </c>
      <c r="F21" s="37">
        <f t="shared" si="0"/>
        <v>0</v>
      </c>
      <c r="G21" s="41"/>
      <c r="H21" s="41"/>
    </row>
    <row r="22" spans="1:17" hidden="1">
      <c r="B22" s="40" t="s">
        <v>189</v>
      </c>
      <c r="C22" s="37">
        <f>HEX2DEC(C20)</f>
        <v>0</v>
      </c>
      <c r="D22" s="37">
        <f t="shared" si="0"/>
        <v>0</v>
      </c>
      <c r="E22" s="37">
        <f t="shared" si="0"/>
        <v>0</v>
      </c>
      <c r="F22" s="37">
        <f t="shared" si="0"/>
        <v>0</v>
      </c>
      <c r="G22" s="41"/>
      <c r="H22" s="41"/>
    </row>
    <row r="23" spans="1:17" ht="31.2" hidden="1">
      <c r="B23" s="36" t="s">
        <v>5</v>
      </c>
      <c r="C23" s="36" t="s">
        <v>6</v>
      </c>
      <c r="D23" s="36" t="s">
        <v>7</v>
      </c>
      <c r="E23" s="36" t="s">
        <v>8</v>
      </c>
      <c r="F23" s="36" t="s">
        <v>9</v>
      </c>
      <c r="G23" s="36" t="s">
        <v>10</v>
      </c>
      <c r="H23" s="36" t="s">
        <v>11</v>
      </c>
      <c r="I23" s="36" t="s">
        <v>12</v>
      </c>
      <c r="J23" s="36" t="s">
        <v>13</v>
      </c>
      <c r="K23" s="36" t="s">
        <v>14</v>
      </c>
      <c r="L23" s="36" t="s">
        <v>15</v>
      </c>
      <c r="M23" s="36" t="s">
        <v>16</v>
      </c>
      <c r="N23" s="36" t="s">
        <v>17</v>
      </c>
      <c r="O23" s="36" t="s">
        <v>18</v>
      </c>
    </row>
    <row r="24" spans="1:17" hidden="1">
      <c r="B24" s="14" t="str">
        <f>IF(F21&gt;9, "1", "0")</f>
        <v>0</v>
      </c>
      <c r="C24" s="14" t="str">
        <f>IF(OR(AND(F21&gt;3,F21&lt;8),F21&gt;11),"1","0")</f>
        <v>0</v>
      </c>
      <c r="D24" s="14">
        <v>0</v>
      </c>
      <c r="E24" s="14">
        <v>0</v>
      </c>
      <c r="F24" s="14">
        <v>0</v>
      </c>
      <c r="G24" s="14">
        <v>0</v>
      </c>
      <c r="H24" s="14">
        <v>0</v>
      </c>
      <c r="I24" s="14">
        <v>0</v>
      </c>
      <c r="J24" s="14">
        <v>0</v>
      </c>
      <c r="K24" s="14">
        <v>0</v>
      </c>
      <c r="L24" s="14">
        <v>0</v>
      </c>
      <c r="M24" s="14">
        <v>0</v>
      </c>
      <c r="N24" s="14">
        <v>0</v>
      </c>
      <c r="O24" s="14">
        <v>0</v>
      </c>
    </row>
    <row r="25" spans="1:17" ht="21" customHeight="1">
      <c r="B25" s="40"/>
      <c r="D25" s="41"/>
      <c r="E25" s="41"/>
      <c r="F25" s="41"/>
      <c r="G25" s="41"/>
      <c r="H25" s="41"/>
    </row>
    <row r="26" spans="1:17" hidden="1">
      <c r="B26" s="40"/>
      <c r="D26" s="41"/>
      <c r="E26" s="41"/>
      <c r="F26" s="41"/>
      <c r="G26" s="41"/>
      <c r="H26" s="41"/>
    </row>
    <row r="27" spans="1:17" hidden="1">
      <c r="B27" s="40">
        <v>0</v>
      </c>
      <c r="C27">
        <v>1</v>
      </c>
      <c r="D27" s="41">
        <v>2</v>
      </c>
      <c r="E27" s="40">
        <v>3</v>
      </c>
      <c r="F27">
        <v>4</v>
      </c>
      <c r="G27" s="41">
        <v>5</v>
      </c>
      <c r="H27" s="40">
        <v>6</v>
      </c>
      <c r="I27">
        <v>7</v>
      </c>
      <c r="J27" s="41">
        <v>8</v>
      </c>
      <c r="K27" s="40">
        <v>9</v>
      </c>
      <c r="L27" t="s">
        <v>182</v>
      </c>
      <c r="M27" s="41" t="s">
        <v>183</v>
      </c>
      <c r="N27" s="40" t="s">
        <v>184</v>
      </c>
      <c r="O27" t="s">
        <v>185</v>
      </c>
      <c r="P27" s="41" t="s">
        <v>186</v>
      </c>
      <c r="Q27" s="40" t="s">
        <v>187</v>
      </c>
    </row>
    <row r="28" spans="1:17">
      <c r="B28" s="40"/>
      <c r="D28" s="41"/>
      <c r="E28" s="41"/>
      <c r="F28" s="41"/>
      <c r="G28" s="41"/>
      <c r="H28" s="41"/>
    </row>
    <row r="29" spans="1:17">
      <c r="B29" s="40"/>
      <c r="D29" s="41"/>
      <c r="E29" s="41"/>
      <c r="F29" s="41"/>
      <c r="G29" s="41"/>
      <c r="H29" s="41"/>
    </row>
    <row r="30" spans="1:17">
      <c r="A30" s="42" t="s">
        <v>32</v>
      </c>
    </row>
    <row r="32" spans="1:17" ht="31.2">
      <c r="B32" s="36" t="s">
        <v>5</v>
      </c>
      <c r="C32" s="36" t="s">
        <v>6</v>
      </c>
      <c r="D32" s="36" t="s">
        <v>7</v>
      </c>
      <c r="E32" s="36" t="s">
        <v>8</v>
      </c>
      <c r="F32" s="36" t="s">
        <v>9</v>
      </c>
      <c r="G32" s="36" t="s">
        <v>10</v>
      </c>
      <c r="H32" s="36" t="s">
        <v>11</v>
      </c>
      <c r="I32" s="36" t="s">
        <v>12</v>
      </c>
      <c r="J32" s="36" t="s">
        <v>13</v>
      </c>
      <c r="K32" s="36" t="s">
        <v>14</v>
      </c>
      <c r="L32" s="36" t="s">
        <v>15</v>
      </c>
      <c r="M32" s="36" t="s">
        <v>16</v>
      </c>
      <c r="N32" s="36" t="s">
        <v>17</v>
      </c>
      <c r="O32" s="36" t="s">
        <v>18</v>
      </c>
    </row>
    <row r="33" spans="2:15">
      <c r="B33" s="14">
        <v>0</v>
      </c>
      <c r="C33" s="14">
        <v>0</v>
      </c>
      <c r="D33" s="14">
        <v>0</v>
      </c>
      <c r="E33" s="14">
        <v>0</v>
      </c>
      <c r="F33" s="14">
        <v>0</v>
      </c>
      <c r="G33" s="14">
        <v>0</v>
      </c>
      <c r="H33" s="14">
        <v>0</v>
      </c>
      <c r="I33" s="14">
        <v>0</v>
      </c>
      <c r="J33" s="14">
        <v>0</v>
      </c>
      <c r="K33" s="14">
        <v>0</v>
      </c>
      <c r="L33" s="14">
        <v>0</v>
      </c>
      <c r="M33" s="14">
        <v>0</v>
      </c>
      <c r="N33" s="14">
        <v>0</v>
      </c>
      <c r="O33" s="14">
        <v>0</v>
      </c>
    </row>
    <row r="35" spans="2:15">
      <c r="D35" s="106" t="s">
        <v>19</v>
      </c>
      <c r="E35" s="107"/>
    </row>
    <row r="36" spans="2:15" ht="33.6">
      <c r="B36" s="13" t="s">
        <v>20</v>
      </c>
      <c r="C36" s="13" t="s">
        <v>21</v>
      </c>
      <c r="D36" s="15" t="s">
        <v>22</v>
      </c>
      <c r="E36" s="15" t="s">
        <v>23</v>
      </c>
    </row>
    <row r="37" spans="2:15">
      <c r="B37" s="11" t="s">
        <v>24</v>
      </c>
      <c r="C37" s="11" t="str">
        <f>IF(D33=0,(IF(E33=0,"Mode 1","Mode 2")),(IF(E33=0,"Mode 3","Mode 4")))</f>
        <v>Mode 1</v>
      </c>
      <c r="D37" s="16" t="str">
        <f>VLOOKUP(C37,G89:I92,2,FALSE)</f>
        <v>Open</v>
      </c>
      <c r="E37" s="16" t="str">
        <f>VLOOKUP(C37,G89:I92,3,FALSE)</f>
        <v>Open</v>
      </c>
    </row>
    <row r="38" spans="2:15">
      <c r="B38" s="11" t="s">
        <v>25</v>
      </c>
      <c r="C38" s="11" t="str">
        <f>IF(B33=0,(IF(C33=0,"Mode 1","Mode 2")),(IF(C33=0,"Mode 3","Mode 4")))</f>
        <v>Mode 1</v>
      </c>
      <c r="D38" s="16" t="str">
        <f>VLOOKUP(C38,G89:I92,2,FALSE)</f>
        <v>Open</v>
      </c>
      <c r="E38" s="16" t="str">
        <f>VLOOKUP(C38,G89:I92,3,FALSE)</f>
        <v>Open</v>
      </c>
    </row>
    <row r="39" spans="2:15">
      <c r="B39" s="11" t="s">
        <v>26</v>
      </c>
      <c r="C39" s="11" t="str">
        <f>IF(F33=0,"Mode 3", "Mode 4")</f>
        <v>Mode 3</v>
      </c>
      <c r="D39" s="16" t="str">
        <f>VLOOKUP(C39,G89:I92,2,FALSE)</f>
        <v>5.76kΩ</v>
      </c>
      <c r="E39" s="16" t="str">
        <f>VLOOKUP(C39,G89:I92,3,FALSE)</f>
        <v>2.49kΩ</v>
      </c>
    </row>
    <row r="40" spans="2:15">
      <c r="B40" s="11" t="s">
        <v>27</v>
      </c>
      <c r="C40" s="11" t="str">
        <f>IF(I33=0, "Mode 1", "Mode 3")</f>
        <v>Mode 1</v>
      </c>
      <c r="D40" s="16" t="str">
        <f>VLOOKUP(C40,G89:I92,2,FALSE)</f>
        <v>Open</v>
      </c>
      <c r="E40" s="16" t="str">
        <f>VLOOKUP(C40,G89:I92,3,FALSE)</f>
        <v>Open</v>
      </c>
    </row>
    <row r="41" spans="2:15">
      <c r="B41" s="11" t="s">
        <v>28</v>
      </c>
      <c r="C41" s="11" t="str">
        <f>IF(G33=0,(IF(H33=0,"Mode 1","Mode 2")),(IF(H33=0,"Mode 3","Mode 4")))</f>
        <v>Mode 1</v>
      </c>
      <c r="D41" s="16" t="str">
        <f>VLOOKUP(C41,G89:I92,2,FALSE)</f>
        <v>Open</v>
      </c>
      <c r="E41" s="16" t="str">
        <f>VLOOKUP(C41,G89:I92,3,FALSE)</f>
        <v>Open</v>
      </c>
    </row>
    <row r="42" spans="2:15">
      <c r="B42" s="11" t="s">
        <v>29</v>
      </c>
      <c r="C42" s="11" t="str">
        <f>IF(K33=0,(IF(L33=0,"Mode 1","Mode 2")),(IF(L33=0,"Mode 3","Mode 4")))</f>
        <v>Mode 1</v>
      </c>
      <c r="D42" s="16" t="str">
        <f>VLOOKUP(C42,G89:I92,2,FALSE)</f>
        <v>Open</v>
      </c>
      <c r="E42" s="16" t="str">
        <f>VLOOKUP(C42,G89:I92,3,FALSE)</f>
        <v>Open</v>
      </c>
    </row>
    <row r="43" spans="2:15">
      <c r="B43" s="11" t="s">
        <v>30</v>
      </c>
      <c r="C43" s="11" t="str">
        <f>IF(M33=0,(IF(J33=0,"Mode 1","Mode 2")),(IF(J33=0,"Mode 3","Mode 4")))</f>
        <v>Mode 1</v>
      </c>
      <c r="D43" s="16" t="str">
        <f>VLOOKUP(C43,G89:I92,2,FALSE)</f>
        <v>Open</v>
      </c>
      <c r="E43" s="16" t="str">
        <f>VLOOKUP(C43,G89:I92,3,FALSE)</f>
        <v>Open</v>
      </c>
    </row>
    <row r="44" spans="2:15">
      <c r="B44" s="11" t="s">
        <v>31</v>
      </c>
      <c r="C44" s="11" t="str">
        <f>IF(N33=0,(IF(O33=0,"Mode 1","Mode 2")),(IF(O33=0,"Mode 3","Mode 4")))</f>
        <v>Mode 1</v>
      </c>
      <c r="D44" s="16" t="str">
        <f>VLOOKUP(C44,G89:I92,2,FALSE)</f>
        <v>Open</v>
      </c>
      <c r="E44" s="16" t="str">
        <f>VLOOKUP(C44,G89:I92,3,FALSE)</f>
        <v>Open</v>
      </c>
    </row>
    <row r="86" spans="2:9" ht="16.149999999999999" customHeight="1"/>
    <row r="88" spans="2:9" hidden="1">
      <c r="D88" t="s">
        <v>25</v>
      </c>
      <c r="E88" t="s">
        <v>24</v>
      </c>
      <c r="G88" t="s">
        <v>21</v>
      </c>
      <c r="H88" t="s">
        <v>41</v>
      </c>
      <c r="I88" t="s">
        <v>42</v>
      </c>
    </row>
    <row r="89" spans="2:9" hidden="1">
      <c r="B89" t="s">
        <v>43</v>
      </c>
      <c r="C89">
        <v>0</v>
      </c>
      <c r="D89" t="s">
        <v>44</v>
      </c>
      <c r="E89" t="s">
        <v>44</v>
      </c>
      <c r="G89" t="s">
        <v>44</v>
      </c>
      <c r="H89" t="s">
        <v>45</v>
      </c>
      <c r="I89" t="s">
        <v>45</v>
      </c>
    </row>
    <row r="90" spans="2:9" hidden="1">
      <c r="C90">
        <v>1</v>
      </c>
      <c r="D90" t="s">
        <v>44</v>
      </c>
      <c r="E90" t="s">
        <v>46</v>
      </c>
      <c r="G90" t="s">
        <v>46</v>
      </c>
      <c r="H90" t="s">
        <v>47</v>
      </c>
      <c r="I90" t="s">
        <v>48</v>
      </c>
    </row>
    <row r="91" spans="2:9" hidden="1">
      <c r="C91">
        <v>2</v>
      </c>
      <c r="D91" t="s">
        <v>44</v>
      </c>
      <c r="E91" t="s">
        <v>49</v>
      </c>
      <c r="G91" t="s">
        <v>49</v>
      </c>
      <c r="H91" t="s">
        <v>50</v>
      </c>
      <c r="I91" t="s">
        <v>48</v>
      </c>
    </row>
    <row r="92" spans="2:9" hidden="1">
      <c r="C92">
        <v>3</v>
      </c>
      <c r="D92" t="s">
        <v>44</v>
      </c>
      <c r="E92" t="s">
        <v>51</v>
      </c>
      <c r="G92" t="s">
        <v>51</v>
      </c>
      <c r="H92" t="s">
        <v>48</v>
      </c>
      <c r="I92" t="s">
        <v>45</v>
      </c>
    </row>
    <row r="93" spans="2:9" hidden="1">
      <c r="C93">
        <v>4</v>
      </c>
      <c r="D93" t="s">
        <v>46</v>
      </c>
      <c r="E93" t="s">
        <v>44</v>
      </c>
    </row>
    <row r="94" spans="2:9" hidden="1">
      <c r="C94">
        <v>5</v>
      </c>
      <c r="D94" t="s">
        <v>46</v>
      </c>
      <c r="E94" t="s">
        <v>46</v>
      </c>
    </row>
    <row r="95" spans="2:9" hidden="1">
      <c r="C95">
        <v>6</v>
      </c>
      <c r="D95" t="s">
        <v>46</v>
      </c>
      <c r="E95" t="s">
        <v>49</v>
      </c>
    </row>
    <row r="96" spans="2:9" hidden="1">
      <c r="C96">
        <v>7</v>
      </c>
      <c r="D96" t="s">
        <v>46</v>
      </c>
      <c r="E96" t="s">
        <v>51</v>
      </c>
    </row>
    <row r="97" spans="2:5" hidden="1">
      <c r="C97">
        <v>8</v>
      </c>
      <c r="D97" t="s">
        <v>49</v>
      </c>
      <c r="E97" t="s">
        <v>44</v>
      </c>
    </row>
    <row r="98" spans="2:5" hidden="1">
      <c r="C98">
        <v>9</v>
      </c>
      <c r="D98" t="s">
        <v>49</v>
      </c>
      <c r="E98" t="s">
        <v>46</v>
      </c>
    </row>
    <row r="99" spans="2:5" hidden="1">
      <c r="C99">
        <v>10</v>
      </c>
      <c r="D99" t="s">
        <v>49</v>
      </c>
      <c r="E99" t="s">
        <v>49</v>
      </c>
    </row>
    <row r="100" spans="2:5" hidden="1">
      <c r="C100">
        <v>11</v>
      </c>
      <c r="D100" t="s">
        <v>49</v>
      </c>
      <c r="E100" t="s">
        <v>51</v>
      </c>
    </row>
    <row r="101" spans="2:5" hidden="1">
      <c r="C101">
        <v>12</v>
      </c>
      <c r="D101" t="s">
        <v>51</v>
      </c>
      <c r="E101" t="s">
        <v>44</v>
      </c>
    </row>
    <row r="102" spans="2:5" hidden="1">
      <c r="C102">
        <v>13</v>
      </c>
      <c r="D102" t="s">
        <v>51</v>
      </c>
      <c r="E102" t="s">
        <v>46</v>
      </c>
    </row>
    <row r="103" spans="2:5" hidden="1">
      <c r="C103">
        <v>14</v>
      </c>
      <c r="D103" t="s">
        <v>51</v>
      </c>
      <c r="E103" t="s">
        <v>49</v>
      </c>
    </row>
    <row r="104" spans="2:5" hidden="1">
      <c r="C104">
        <v>15</v>
      </c>
      <c r="D104" t="s">
        <v>51</v>
      </c>
      <c r="E104" t="s">
        <v>51</v>
      </c>
    </row>
    <row r="105" spans="2:5" hidden="1"/>
    <row r="106" spans="2:5" hidden="1">
      <c r="D106" t="s">
        <v>26</v>
      </c>
    </row>
    <row r="107" spans="2:5" hidden="1">
      <c r="B107" t="s">
        <v>52</v>
      </c>
      <c r="C107" t="s">
        <v>53</v>
      </c>
      <c r="D107" t="s">
        <v>51</v>
      </c>
    </row>
    <row r="108" spans="2:5" hidden="1">
      <c r="C108" t="s">
        <v>37</v>
      </c>
      <c r="D108" t="s">
        <v>49</v>
      </c>
    </row>
    <row r="109" spans="2:5" hidden="1"/>
    <row r="110" spans="2:5" hidden="1">
      <c r="D110" t="s">
        <v>28</v>
      </c>
      <c r="E110" t="s">
        <v>27</v>
      </c>
    </row>
    <row r="111" spans="2:5" hidden="1">
      <c r="B111" t="s">
        <v>54</v>
      </c>
      <c r="C111" t="s">
        <v>39</v>
      </c>
      <c r="D111" t="s">
        <v>44</v>
      </c>
      <c r="E111" t="s">
        <v>44</v>
      </c>
    </row>
    <row r="112" spans="2:5" hidden="1">
      <c r="C112" t="s">
        <v>55</v>
      </c>
      <c r="D112" t="s">
        <v>44</v>
      </c>
      <c r="E112" t="s">
        <v>49</v>
      </c>
    </row>
    <row r="113" spans="2:11" hidden="1">
      <c r="C113" t="s">
        <v>56</v>
      </c>
      <c r="D113" t="s">
        <v>46</v>
      </c>
      <c r="E113" t="s">
        <v>44</v>
      </c>
    </row>
    <row r="114" spans="2:11" hidden="1">
      <c r="C114" t="s">
        <v>57</v>
      </c>
      <c r="D114" t="s">
        <v>46</v>
      </c>
      <c r="E114" t="s">
        <v>49</v>
      </c>
    </row>
    <row r="115" spans="2:11" hidden="1">
      <c r="C115" t="s">
        <v>38</v>
      </c>
      <c r="D115" t="s">
        <v>49</v>
      </c>
      <c r="E115" t="s">
        <v>44</v>
      </c>
    </row>
    <row r="116" spans="2:11" hidden="1">
      <c r="C116" t="s">
        <v>58</v>
      </c>
      <c r="D116" t="s">
        <v>49</v>
      </c>
      <c r="E116" t="s">
        <v>49</v>
      </c>
    </row>
    <row r="117" spans="2:11" hidden="1">
      <c r="C117" t="s">
        <v>59</v>
      </c>
      <c r="D117" t="s">
        <v>51</v>
      </c>
      <c r="E117" t="s">
        <v>44</v>
      </c>
    </row>
    <row r="118" spans="2:11" hidden="1">
      <c r="C118" t="s">
        <v>60</v>
      </c>
      <c r="D118" t="s">
        <v>51</v>
      </c>
      <c r="E118" t="s">
        <v>49</v>
      </c>
    </row>
    <row r="119" spans="2:11" hidden="1"/>
    <row r="120" spans="2:11" hidden="1">
      <c r="B120" t="s">
        <v>61</v>
      </c>
    </row>
    <row r="121" spans="2:11" hidden="1">
      <c r="C121" s="37"/>
      <c r="D121" s="105" t="s">
        <v>62</v>
      </c>
      <c r="E121" s="105"/>
      <c r="F121" s="105"/>
      <c r="G121" s="105"/>
      <c r="H121" s="52" t="s">
        <v>40</v>
      </c>
      <c r="I121" s="52" t="s">
        <v>63</v>
      </c>
      <c r="K121" s="52"/>
    </row>
    <row r="122" spans="2:11" hidden="1">
      <c r="C122" s="37"/>
      <c r="D122" s="105" t="s">
        <v>40</v>
      </c>
      <c r="E122" s="105"/>
      <c r="F122" s="105" t="s">
        <v>63</v>
      </c>
      <c r="G122" s="105"/>
    </row>
    <row r="123" spans="2:11" hidden="1">
      <c r="C123" t="s">
        <v>64</v>
      </c>
      <c r="D123" t="s">
        <v>30</v>
      </c>
      <c r="E123" t="s">
        <v>29</v>
      </c>
      <c r="F123" t="s">
        <v>30</v>
      </c>
      <c r="G123" t="s">
        <v>29</v>
      </c>
    </row>
    <row r="124" spans="2:11" hidden="1">
      <c r="C124" t="s">
        <v>39</v>
      </c>
      <c r="D124" t="s">
        <v>44</v>
      </c>
      <c r="E124" t="s">
        <v>44</v>
      </c>
      <c r="F124" t="s">
        <v>49</v>
      </c>
      <c r="G124" t="s">
        <v>44</v>
      </c>
    </row>
    <row r="125" spans="2:11" hidden="1">
      <c r="C125" t="s">
        <v>55</v>
      </c>
      <c r="D125" t="s">
        <v>44</v>
      </c>
      <c r="E125" t="s">
        <v>46</v>
      </c>
      <c r="F125" t="s">
        <v>49</v>
      </c>
      <c r="G125" t="s">
        <v>46</v>
      </c>
    </row>
    <row r="126" spans="2:11" hidden="1">
      <c r="C126" t="s">
        <v>56</v>
      </c>
      <c r="D126" t="s">
        <v>44</v>
      </c>
      <c r="E126" t="s">
        <v>49</v>
      </c>
      <c r="F126" t="s">
        <v>49</v>
      </c>
      <c r="G126" t="s">
        <v>49</v>
      </c>
    </row>
    <row r="127" spans="2:11" hidden="1">
      <c r="C127" t="s">
        <v>57</v>
      </c>
      <c r="D127" t="s">
        <v>44</v>
      </c>
      <c r="E127" t="s">
        <v>51</v>
      </c>
      <c r="F127" t="s">
        <v>49</v>
      </c>
      <c r="G127" t="s">
        <v>51</v>
      </c>
    </row>
    <row r="128" spans="2:11" hidden="1">
      <c r="C128" t="s">
        <v>38</v>
      </c>
      <c r="D128" t="s">
        <v>46</v>
      </c>
      <c r="E128" t="s">
        <v>44</v>
      </c>
      <c r="F128" t="s">
        <v>51</v>
      </c>
      <c r="G128" t="s">
        <v>44</v>
      </c>
    </row>
    <row r="129" spans="2:7" hidden="1">
      <c r="C129" t="s">
        <v>58</v>
      </c>
      <c r="D129" t="s">
        <v>46</v>
      </c>
      <c r="E129" t="s">
        <v>46</v>
      </c>
      <c r="F129" t="s">
        <v>51</v>
      </c>
      <c r="G129" t="s">
        <v>46</v>
      </c>
    </row>
    <row r="130" spans="2:7" hidden="1">
      <c r="C130" t="s">
        <v>59</v>
      </c>
      <c r="D130" t="s">
        <v>46</v>
      </c>
      <c r="E130" t="s">
        <v>49</v>
      </c>
      <c r="F130" t="s">
        <v>51</v>
      </c>
      <c r="G130" t="s">
        <v>49</v>
      </c>
    </row>
    <row r="131" spans="2:7" hidden="1">
      <c r="C131" t="s">
        <v>60</v>
      </c>
      <c r="D131" t="s">
        <v>46</v>
      </c>
      <c r="E131" t="s">
        <v>51</v>
      </c>
      <c r="F131" t="s">
        <v>51</v>
      </c>
      <c r="G131" t="s">
        <v>51</v>
      </c>
    </row>
    <row r="132" spans="2:7" hidden="1">
      <c r="C132" s="37"/>
    </row>
    <row r="133" spans="2:7" hidden="1">
      <c r="C133" s="37"/>
    </row>
    <row r="134" spans="2:7" hidden="1">
      <c r="C134" s="37"/>
    </row>
    <row r="135" spans="2:7" hidden="1">
      <c r="C135" s="37"/>
    </row>
    <row r="136" spans="2:7" hidden="1">
      <c r="C136" s="37"/>
    </row>
    <row r="137" spans="2:7" hidden="1"/>
    <row r="138" spans="2:7" hidden="1">
      <c r="B138" t="s">
        <v>65</v>
      </c>
      <c r="D138" t="s">
        <v>31</v>
      </c>
    </row>
    <row r="139" spans="2:7" ht="31.2" hidden="1">
      <c r="C139" s="12" t="s">
        <v>225</v>
      </c>
      <c r="D139" t="s">
        <v>44</v>
      </c>
    </row>
    <row r="140" spans="2:7" ht="31.2" hidden="1">
      <c r="C140" s="12" t="s">
        <v>226</v>
      </c>
      <c r="D140" t="s">
        <v>46</v>
      </c>
    </row>
    <row r="141" spans="2:7" ht="31.2" hidden="1">
      <c r="C141" s="12" t="s">
        <v>227</v>
      </c>
      <c r="D141" t="s">
        <v>49</v>
      </c>
    </row>
    <row r="142" spans="2:7" ht="31.2" hidden="1">
      <c r="C142" s="12" t="s">
        <v>228</v>
      </c>
      <c r="D142" t="s">
        <v>51</v>
      </c>
    </row>
  </sheetData>
  <mergeCells count="11">
    <mergeCell ref="D121:G121"/>
    <mergeCell ref="D122:E122"/>
    <mergeCell ref="F122:G122"/>
    <mergeCell ref="D35:E35"/>
    <mergeCell ref="G5:H5"/>
    <mergeCell ref="D7:D10"/>
    <mergeCell ref="B12:B13"/>
    <mergeCell ref="C12:C13"/>
    <mergeCell ref="D12:D13"/>
    <mergeCell ref="B7:B10"/>
    <mergeCell ref="C7:C10"/>
  </mergeCells>
  <dataValidations count="8">
    <dataValidation type="decimal" allowBlank="1" showInputMessage="1" showErrorMessage="1" sqref="B33:O33" xr:uid="{0DD44FBC-7B2D-4345-B149-483C9740A1FD}">
      <formula1>0</formula1>
      <formula2>1</formula2>
    </dataValidation>
    <dataValidation type="list" allowBlank="1" showInputMessage="1" showErrorMessage="1" sqref="C16" xr:uid="{F803AA3F-90D6-4380-B27D-CC98D4B9BAF5}">
      <formula1>$C$139:$C$142</formula1>
    </dataValidation>
    <dataValidation type="list" allowBlank="1" showInputMessage="1" showErrorMessage="1" sqref="C15" xr:uid="{AC50FBEF-ACB4-420D-93BF-95822C9F8B82}">
      <formula1>$H$121:$I$121</formula1>
    </dataValidation>
    <dataValidation type="list" allowBlank="1" showInputMessage="1" showErrorMessage="1" sqref="C14" xr:uid="{8BC03CFB-81D2-4C22-A1FC-39449E759C63}">
      <formula1>$C$124:$C$131</formula1>
    </dataValidation>
    <dataValidation type="list" allowBlank="1" showInputMessage="1" showErrorMessage="1" sqref="C12:C13" xr:uid="{F8C36739-1619-4163-BDDA-651BF315303C}">
      <formula1>$C$111:$C$118</formula1>
    </dataValidation>
    <dataValidation type="list" allowBlank="1" showInputMessage="1" showErrorMessage="1" sqref="C11" xr:uid="{7863350C-BF6F-4E3B-BF2E-9A2BCFE2536F}">
      <formula1>$C$107:$C$108</formula1>
    </dataValidation>
    <dataValidation type="list" allowBlank="1" showInputMessage="1" showErrorMessage="1" sqref="C7" xr:uid="{DFDC1AD3-2117-489C-AA6B-C404E53A0974}">
      <formula1>$C$89:$C$104</formula1>
    </dataValidation>
    <dataValidation type="list" allowBlank="1" showInputMessage="1" showErrorMessage="1" sqref="C19:F20" xr:uid="{5CE7F563-1DF5-419E-910B-F1804E80E7FC}">
      <formula1>$B$27:$Q$27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7C02-B9EC-42E3-9370-C390DADEC1D9}">
  <dimension ref="A1:J94"/>
  <sheetViews>
    <sheetView tabSelected="1" zoomScale="25" zoomScaleNormal="25" workbookViewId="0">
      <pane ySplit="1" topLeftCell="A22" activePane="bottomLeft" state="frozen"/>
      <selection pane="bottomLeft" activeCell="J24" sqref="J24"/>
    </sheetView>
  </sheetViews>
  <sheetFormatPr defaultColWidth="10.84765625" defaultRowHeight="15.6" outlineLevelRow="1"/>
  <cols>
    <col min="1" max="1" width="17.84765625" style="22" bestFit="1" customWidth="1"/>
    <col min="2" max="2" width="17.34765625" style="22" bestFit="1" customWidth="1"/>
    <col min="3" max="3" width="12.09765625" style="22" bestFit="1" customWidth="1"/>
    <col min="4" max="4" width="81.5" style="32" bestFit="1" customWidth="1"/>
    <col min="5" max="5" width="66.84765625" style="22" customWidth="1"/>
    <col min="6" max="6" width="14.84765625" style="32" bestFit="1" customWidth="1"/>
    <col min="7" max="7" width="19.09765625" style="32" customWidth="1"/>
    <col min="8" max="8" width="22.5" style="79" customWidth="1"/>
    <col min="9" max="9" width="54.84765625" style="74" customWidth="1"/>
    <col min="10" max="10" width="55.84765625" style="21" customWidth="1"/>
    <col min="11" max="16384" width="10.84765625" style="21"/>
  </cols>
  <sheetData>
    <row r="1" spans="1:10" ht="104.5" customHeight="1">
      <c r="A1" s="1" t="s">
        <v>66</v>
      </c>
      <c r="B1" s="2" t="s">
        <v>67</v>
      </c>
      <c r="C1" s="2" t="s">
        <v>126</v>
      </c>
      <c r="D1" s="2" t="s">
        <v>68</v>
      </c>
      <c r="E1" s="1" t="s">
        <v>69</v>
      </c>
      <c r="F1" s="67" t="s">
        <v>177</v>
      </c>
      <c r="G1" s="67" t="s">
        <v>141</v>
      </c>
      <c r="H1" s="68" t="s">
        <v>236</v>
      </c>
      <c r="I1" s="76" t="s">
        <v>279</v>
      </c>
      <c r="J1" s="76" t="s">
        <v>280</v>
      </c>
    </row>
    <row r="2" spans="1:10" ht="199.5" customHeight="1" outlineLevel="1">
      <c r="A2" s="85" t="s">
        <v>70</v>
      </c>
      <c r="B2" s="35" t="s">
        <v>71</v>
      </c>
      <c r="C2" s="35" t="s">
        <v>143</v>
      </c>
      <c r="D2" s="33" t="s">
        <v>113</v>
      </c>
      <c r="E2" s="10"/>
      <c r="F2" s="29" t="s">
        <v>123</v>
      </c>
      <c r="G2" s="50"/>
      <c r="H2" s="78" t="s">
        <v>272</v>
      </c>
      <c r="I2" s="71" t="s">
        <v>249</v>
      </c>
    </row>
    <row r="3" spans="1:10" ht="198.75" customHeight="1" outlineLevel="1">
      <c r="A3" s="85"/>
      <c r="B3" s="35" t="s">
        <v>73</v>
      </c>
      <c r="C3" s="35" t="s">
        <v>163</v>
      </c>
      <c r="D3" s="33" t="s">
        <v>114</v>
      </c>
      <c r="E3" s="10"/>
      <c r="F3" s="33" t="s">
        <v>123</v>
      </c>
      <c r="G3" s="50"/>
      <c r="H3" s="78" t="s">
        <v>272</v>
      </c>
      <c r="I3" s="71" t="s">
        <v>252</v>
      </c>
    </row>
    <row r="4" spans="1:10" ht="310.5" customHeight="1" outlineLevel="1">
      <c r="A4" s="85"/>
      <c r="B4" s="35" t="s">
        <v>164</v>
      </c>
      <c r="C4" s="35" t="s">
        <v>166</v>
      </c>
      <c r="D4" s="33" t="s">
        <v>165</v>
      </c>
      <c r="E4" s="10"/>
      <c r="F4" s="33" t="s">
        <v>123</v>
      </c>
      <c r="G4" s="50"/>
      <c r="H4" s="78" t="s">
        <v>272</v>
      </c>
      <c r="I4" s="71" t="s">
        <v>253</v>
      </c>
    </row>
    <row r="5" spans="1:10" ht="198.75" customHeight="1" outlineLevel="1">
      <c r="A5" s="85"/>
      <c r="B5" s="35" t="s">
        <v>77</v>
      </c>
      <c r="C5" s="35" t="s">
        <v>167</v>
      </c>
      <c r="D5" s="33" t="s">
        <v>139</v>
      </c>
      <c r="E5" s="10"/>
      <c r="F5" s="26" t="s">
        <v>123</v>
      </c>
      <c r="G5" s="50"/>
      <c r="H5" s="78" t="s">
        <v>273</v>
      </c>
      <c r="I5" s="72" t="s">
        <v>254</v>
      </c>
    </row>
    <row r="6" spans="1:10" s="86" customFormat="1" ht="34.5" customHeight="1" outlineLevel="1"/>
    <row r="7" spans="1:10" ht="165" customHeight="1">
      <c r="A7" s="34" t="s">
        <v>79</v>
      </c>
      <c r="B7" s="35" t="s">
        <v>79</v>
      </c>
      <c r="C7" s="35" t="s">
        <v>80</v>
      </c>
      <c r="D7" s="33" t="s">
        <v>135</v>
      </c>
      <c r="E7" s="35"/>
      <c r="F7" s="26" t="s">
        <v>123</v>
      </c>
      <c r="G7" s="50"/>
      <c r="H7" s="78" t="s">
        <v>274</v>
      </c>
      <c r="I7" s="73" t="s">
        <v>255</v>
      </c>
    </row>
    <row r="8" spans="1:10" s="86" customFormat="1" ht="34.5" customHeight="1" outlineLevel="1"/>
    <row r="9" spans="1:10" ht="165" customHeight="1">
      <c r="A9" s="34" t="s">
        <v>81</v>
      </c>
      <c r="B9" s="35" t="s">
        <v>81</v>
      </c>
      <c r="C9" s="35">
        <v>15</v>
      </c>
      <c r="D9" s="33" t="s">
        <v>82</v>
      </c>
      <c r="E9" s="27"/>
      <c r="F9" s="33" t="s">
        <v>123</v>
      </c>
      <c r="G9" s="50"/>
      <c r="H9" s="78" t="s">
        <v>275</v>
      </c>
      <c r="I9" s="71" t="s">
        <v>257</v>
      </c>
    </row>
    <row r="10" spans="1:10" s="86" customFormat="1" ht="34.5" customHeight="1" outlineLevel="1"/>
    <row r="11" spans="1:10" ht="390.75" customHeight="1">
      <c r="A11" s="114" t="s">
        <v>83</v>
      </c>
      <c r="B11" s="35" t="s">
        <v>30</v>
      </c>
      <c r="C11" s="33" t="s">
        <v>175</v>
      </c>
      <c r="D11" s="33" t="s">
        <v>137</v>
      </c>
      <c r="E11" s="95" t="s">
        <v>116</v>
      </c>
      <c r="F11" s="33" t="s">
        <v>123</v>
      </c>
      <c r="G11" s="50"/>
      <c r="H11" s="108" t="s">
        <v>275</v>
      </c>
      <c r="I11" s="71" t="s">
        <v>259</v>
      </c>
    </row>
    <row r="12" spans="1:10" ht="382.5" customHeight="1">
      <c r="A12" s="115"/>
      <c r="B12" s="35" t="s">
        <v>31</v>
      </c>
      <c r="C12" s="33" t="s">
        <v>176</v>
      </c>
      <c r="D12" s="33" t="s">
        <v>138</v>
      </c>
      <c r="E12" s="95"/>
      <c r="F12" s="33" t="s">
        <v>123</v>
      </c>
      <c r="G12" s="50"/>
      <c r="H12" s="110"/>
      <c r="I12" s="71" t="s">
        <v>259</v>
      </c>
    </row>
    <row r="13" spans="1:10" s="86" customFormat="1" ht="34.5" customHeight="1" outlineLevel="1"/>
    <row r="14" spans="1:10" ht="165" customHeight="1" outlineLevel="1">
      <c r="A14" s="97" t="s">
        <v>142</v>
      </c>
      <c r="B14" s="35" t="s">
        <v>85</v>
      </c>
      <c r="C14" s="35">
        <v>19</v>
      </c>
      <c r="D14" s="93" t="str">
        <f>IF(A14="Clock
(Crystal)", "Reference clock 25-MHz crystal.
Ensure it meets the ppm and ESR spec as defined in datasheet and load capacitance as defined by crystal manufacturer.", "Ensure Oscillator signal meets spec as defined in datasheet and is in 1.8V domain. If VDDIO is 2.5V or 3.3V, then capacitor divider needs to be used. 
Starting Capacitor Recommendation: For 3.3V, CD1=CD2=27pF. For 2.5V, CD1=27pF and CD2=16pF.")</f>
        <v>Ensure Oscillator signal meets spec as defined in datasheet and is in 1.8V domain. If VDDIO is 2.5V or 3.3V, then capacitor divider needs to be used. 
Starting Capacitor Recommendation: For 3.3V, CD1=CD2=27pF. For 2.5V, CD1=27pF and CD2=16pF.</v>
      </c>
      <c r="E14" s="96"/>
      <c r="F14" s="93" t="s">
        <v>123</v>
      </c>
      <c r="G14" s="93"/>
      <c r="H14" s="78" t="s">
        <v>276</v>
      </c>
      <c r="I14" s="77" t="s">
        <v>271</v>
      </c>
      <c r="J14" s="80" t="s">
        <v>281</v>
      </c>
    </row>
    <row r="15" spans="1:10" ht="165" customHeight="1" outlineLevel="1">
      <c r="A15" s="98"/>
      <c r="B15" s="35" t="str">
        <f>IF(A14="Clock
(Crystal)", "XO", "XO 
(Unused, DNC)")</f>
        <v>XO 
(Unused, DNC)</v>
      </c>
      <c r="C15" s="35">
        <v>18</v>
      </c>
      <c r="D15" s="93"/>
      <c r="E15" s="96"/>
      <c r="F15" s="93"/>
      <c r="G15" s="93"/>
      <c r="H15" s="78"/>
      <c r="I15" s="71" t="s">
        <v>262</v>
      </c>
    </row>
    <row r="16" spans="1:10" s="86" customFormat="1" ht="34.5" customHeight="1" outlineLevel="1"/>
    <row r="17" spans="1:10" ht="165" customHeight="1">
      <c r="A17" s="94" t="s">
        <v>86</v>
      </c>
      <c r="B17" s="35" t="s">
        <v>87</v>
      </c>
      <c r="C17" s="35">
        <v>20</v>
      </c>
      <c r="D17" s="33" t="s">
        <v>179</v>
      </c>
      <c r="E17" s="35"/>
      <c r="F17" s="33" t="s">
        <v>123</v>
      </c>
      <c r="G17" s="50"/>
      <c r="H17" s="108" t="s">
        <v>275</v>
      </c>
      <c r="I17" s="71" t="s">
        <v>264</v>
      </c>
    </row>
    <row r="18" spans="1:10" ht="165" customHeight="1">
      <c r="A18" s="94"/>
      <c r="B18" s="35" t="s">
        <v>88</v>
      </c>
      <c r="C18" s="35">
        <v>21</v>
      </c>
      <c r="D18" s="33" t="s">
        <v>119</v>
      </c>
      <c r="E18" s="35"/>
      <c r="F18" s="33" t="s">
        <v>123</v>
      </c>
      <c r="G18" s="50"/>
      <c r="H18" s="110"/>
      <c r="I18" s="71" t="s">
        <v>264</v>
      </c>
    </row>
    <row r="19" spans="1:10" s="86" customFormat="1" ht="34.5" customHeight="1" outlineLevel="1"/>
    <row r="20" spans="1:10" ht="165" customHeight="1">
      <c r="A20" s="34" t="s">
        <v>89</v>
      </c>
      <c r="B20" s="35" t="s">
        <v>90</v>
      </c>
      <c r="C20" s="35">
        <v>59</v>
      </c>
      <c r="D20" s="33" t="s">
        <v>91</v>
      </c>
      <c r="E20" s="35"/>
      <c r="F20" s="33" t="s">
        <v>123</v>
      </c>
      <c r="G20" s="50"/>
      <c r="H20" s="78" t="s">
        <v>275</v>
      </c>
      <c r="I20" s="71" t="s">
        <v>266</v>
      </c>
    </row>
    <row r="21" spans="1:10" ht="165" customHeight="1">
      <c r="A21" s="39" t="s">
        <v>161</v>
      </c>
      <c r="B21" s="35" t="s">
        <v>160</v>
      </c>
      <c r="C21" s="35">
        <v>60</v>
      </c>
      <c r="D21" s="33" t="str">
        <f>IF($A$21="Power Down", "(Default) Active Low input to enable power down mode. Register access available to reconfigure.", "Active Low output, asserted when an interrupt condition occurs. Pin has a weak internal pullup. Register access necessary to enable various interrupt triggers. Deasserted once register reads interrupt register")</f>
        <v>(Default) Active Low input to enable power down mode. Register access available to reconfigure.</v>
      </c>
      <c r="E21" s="19"/>
      <c r="F21" s="33" t="s">
        <v>123</v>
      </c>
      <c r="G21" s="50"/>
      <c r="H21" s="78" t="s">
        <v>273</v>
      </c>
      <c r="I21" s="72" t="s">
        <v>254</v>
      </c>
    </row>
    <row r="22" spans="1:10" ht="165" customHeight="1">
      <c r="A22" s="34" t="s">
        <v>93</v>
      </c>
      <c r="B22" s="35" t="s">
        <v>93</v>
      </c>
      <c r="C22" s="35">
        <v>22</v>
      </c>
      <c r="D22" s="33" t="s">
        <v>124</v>
      </c>
      <c r="E22" s="19"/>
      <c r="F22" s="33" t="s">
        <v>123</v>
      </c>
      <c r="G22" s="50"/>
      <c r="H22" s="78" t="s">
        <v>275</v>
      </c>
      <c r="I22" s="71" t="s">
        <v>268</v>
      </c>
    </row>
    <row r="23" spans="1:10" s="86" customFormat="1" ht="34.5" customHeight="1" outlineLevel="1"/>
    <row r="24" spans="1:10" ht="409.6" customHeight="1" outlineLevel="1">
      <c r="A24" s="28" t="s">
        <v>94</v>
      </c>
      <c r="B24" s="33" t="s">
        <v>95</v>
      </c>
      <c r="C24" s="33" t="s">
        <v>162</v>
      </c>
      <c r="D24" s="33" t="s">
        <v>140</v>
      </c>
      <c r="E24" s="19"/>
      <c r="F24" s="33" t="s">
        <v>123</v>
      </c>
      <c r="G24" s="50"/>
      <c r="H24" s="78" t="s">
        <v>277</v>
      </c>
      <c r="I24" s="72" t="s">
        <v>269</v>
      </c>
      <c r="J24" s="71" t="s">
        <v>282</v>
      </c>
    </row>
    <row r="25" spans="1:10" s="86" customFormat="1" ht="34.5" customHeight="1" outlineLevel="1"/>
    <row r="26" spans="1:10" ht="31.2">
      <c r="A26" s="87" t="s">
        <v>145</v>
      </c>
      <c r="B26" s="33" t="str">
        <f>IF($A$26="RGMII","GTX_CLK",IF($A$26="GMII","GTX_CLK", "No function"))</f>
        <v>GTX_CLK</v>
      </c>
      <c r="C26" s="35">
        <v>40</v>
      </c>
      <c r="D26" s="33" t="str">
        <f>IF($A$26="RGMII","Transmit Clock
2.5MHz for 10Mbps, 25MHz for 100Mbps, 125MHz for 1000Mbps",IF($A$26="GMII", "Transmit Clock
2.5MHz for 10Mbps, 25MHz for 100Mbps, 125MHz for 1000Mbps","No function"))</f>
        <v>Transmit Clock
2.5MHz for 10Mbps, 25MHz for 100Mbps, 125MHz for 1000Mbps</v>
      </c>
      <c r="E26" s="90"/>
      <c r="F26" s="33" t="s">
        <v>123</v>
      </c>
      <c r="G26" s="50"/>
      <c r="H26" s="78"/>
      <c r="I26" s="116" t="s">
        <v>260</v>
      </c>
    </row>
    <row r="27" spans="1:10">
      <c r="A27" s="88"/>
      <c r="B27" s="33" t="str">
        <f>IF($A$26="RGMII","No function", IF($A$26="GMII","No function", "TX_CLK"))</f>
        <v>No function</v>
      </c>
      <c r="C27" s="35">
        <v>30</v>
      </c>
      <c r="D27" s="33" t="str">
        <f>IF($A$26="RGMII","No function",IF($A$26="GMII","No function", "MII Transmit Clock (Output)
2.5MHz for 10BASE-Te, 25MHz for 100BASE-Tx"))</f>
        <v>No function</v>
      </c>
      <c r="E27" s="91"/>
      <c r="F27" s="33" t="s">
        <v>123</v>
      </c>
      <c r="G27" s="50"/>
      <c r="H27" s="78"/>
      <c r="I27" s="117"/>
    </row>
    <row r="28" spans="1:10">
      <c r="A28" s="88"/>
      <c r="B28" s="33" t="str">
        <f>IF($A$26="RGMII","No function",IF($A$26="GMII","TX_ER", "TX_ER"))</f>
        <v>TX_ER</v>
      </c>
      <c r="C28" s="35">
        <v>39</v>
      </c>
      <c r="D28" s="33" t="str">
        <f>IF($A$26="RGMII","No function",IF($A$26="GMII","Transmit Error", "No function"))</f>
        <v>Transmit Error</v>
      </c>
      <c r="E28" s="91"/>
      <c r="F28" s="33" t="s">
        <v>123</v>
      </c>
      <c r="G28" s="50"/>
      <c r="H28" s="78"/>
      <c r="I28" s="117"/>
    </row>
    <row r="29" spans="1:10" ht="31.2">
      <c r="A29" s="88"/>
      <c r="B29" s="33" t="str">
        <f>IF($A$26="RGMII","TX_CTRL",IF($A$26="GMII","TX_EN", "TX_EN"))</f>
        <v>TX_EN</v>
      </c>
      <c r="C29" s="35">
        <v>52</v>
      </c>
      <c r="D29" s="33" t="str">
        <f>IF($A$26="RGMII","Transmit Control
Rising: TX_EN, Falling: (TX_EN XOR TX_ER)
High on both edges of GTK_CLK if error-free packet present
Low on both edges of GTK_CLK if no packet present
High on rising edge and low on falling edge of GTK_CLK if error packet present","Transmit Enable
High when data present")</f>
        <v>Transmit Enable
High when data present</v>
      </c>
      <c r="E29" s="91"/>
      <c r="F29" s="33" t="s">
        <v>123</v>
      </c>
      <c r="G29" s="50"/>
      <c r="H29" s="78"/>
      <c r="I29" s="117"/>
    </row>
    <row r="30" spans="1:10">
      <c r="A30" s="88"/>
      <c r="B30" s="33" t="str">
        <f>IF($A$26="RGMII","No function",IF($A$26="GMII","TX_D7", "No function"))</f>
        <v>TX_D7</v>
      </c>
      <c r="C30" s="35">
        <v>31</v>
      </c>
      <c r="D30" s="33" t="str">
        <f>IF($A$26="RGMII","No function",IF($A$26="GMII","Transmit Data", "No function"))</f>
        <v>Transmit Data</v>
      </c>
      <c r="E30" s="91"/>
      <c r="F30" s="33" t="s">
        <v>123</v>
      </c>
      <c r="G30" s="50"/>
      <c r="H30" s="78"/>
      <c r="I30" s="117"/>
    </row>
    <row r="31" spans="1:10">
      <c r="A31" s="88"/>
      <c r="B31" s="33" t="str">
        <f>IF($A$26="RGMII","No function",IF($A$26="GMII","TX_D6", "No function"))</f>
        <v>TX_D6</v>
      </c>
      <c r="C31" s="35">
        <v>32</v>
      </c>
      <c r="D31" s="33" t="str">
        <f t="shared" ref="D31:D33" si="0">IF($A$26="RGMII","No function",IF($A$26="GMII","Transmit Data", "No function"))</f>
        <v>Transmit Data</v>
      </c>
      <c r="E31" s="91"/>
      <c r="F31" s="33" t="s">
        <v>123</v>
      </c>
      <c r="G31" s="50"/>
      <c r="H31" s="78"/>
      <c r="I31" s="117"/>
    </row>
    <row r="32" spans="1:10">
      <c r="A32" s="88"/>
      <c r="B32" s="33" t="str">
        <f>IF($A$26="RGMII","No function", IF($A$26="GMII","TX_D5", "No function"))</f>
        <v>TX_D5</v>
      </c>
      <c r="C32" s="35">
        <v>33</v>
      </c>
      <c r="D32" s="33" t="str">
        <f t="shared" si="0"/>
        <v>Transmit Data</v>
      </c>
      <c r="E32" s="91"/>
      <c r="F32" s="33" t="s">
        <v>123</v>
      </c>
      <c r="G32" s="50"/>
      <c r="H32" s="78"/>
      <c r="I32" s="117"/>
    </row>
    <row r="33" spans="1:10">
      <c r="A33" s="88"/>
      <c r="B33" s="33" t="str">
        <f>IF($A$26="RGMII","No function",IF($A$26="GMII","TX_D4", "No function"))</f>
        <v>TX_D4</v>
      </c>
      <c r="C33" s="35">
        <v>34</v>
      </c>
      <c r="D33" s="33" t="str">
        <f t="shared" si="0"/>
        <v>Transmit Data</v>
      </c>
      <c r="E33" s="91"/>
      <c r="F33" s="33" t="s">
        <v>123</v>
      </c>
      <c r="G33" s="50"/>
      <c r="H33" s="78"/>
      <c r="I33" s="117"/>
    </row>
    <row r="34" spans="1:10">
      <c r="A34" s="88"/>
      <c r="B34" s="33" t="s">
        <v>146</v>
      </c>
      <c r="C34" s="35">
        <v>35</v>
      </c>
      <c r="D34" s="33" t="s">
        <v>150</v>
      </c>
      <c r="E34" s="91"/>
      <c r="F34" s="33" t="s">
        <v>123</v>
      </c>
      <c r="G34" s="50"/>
      <c r="H34" s="78"/>
      <c r="I34" s="117"/>
    </row>
    <row r="35" spans="1:10">
      <c r="A35" s="88"/>
      <c r="B35" s="33" t="s">
        <v>147</v>
      </c>
      <c r="C35" s="35">
        <v>36</v>
      </c>
      <c r="D35" s="33" t="s">
        <v>150</v>
      </c>
      <c r="E35" s="91"/>
      <c r="F35" s="33" t="s">
        <v>123</v>
      </c>
      <c r="G35" s="50"/>
      <c r="H35" s="78"/>
      <c r="I35" s="117"/>
    </row>
    <row r="36" spans="1:10">
      <c r="A36" s="88"/>
      <c r="B36" s="33" t="s">
        <v>148</v>
      </c>
      <c r="C36" s="35">
        <v>37</v>
      </c>
      <c r="D36" s="33" t="s">
        <v>150</v>
      </c>
      <c r="E36" s="91"/>
      <c r="F36" s="33" t="s">
        <v>123</v>
      </c>
      <c r="G36" s="50"/>
      <c r="H36" s="78"/>
      <c r="I36" s="117"/>
    </row>
    <row r="37" spans="1:10">
      <c r="A37" s="88"/>
      <c r="B37" s="33" t="s">
        <v>149</v>
      </c>
      <c r="C37" s="35">
        <v>38</v>
      </c>
      <c r="D37" s="33" t="s">
        <v>150</v>
      </c>
      <c r="E37" s="91"/>
      <c r="F37" s="33" t="s">
        <v>123</v>
      </c>
      <c r="G37" s="50"/>
      <c r="H37" s="78"/>
      <c r="I37" s="117"/>
    </row>
    <row r="38" spans="1:10" ht="31.2">
      <c r="A38" s="88"/>
      <c r="B38" s="33" t="s">
        <v>151</v>
      </c>
      <c r="C38" s="35">
        <v>43</v>
      </c>
      <c r="D38" s="33" t="s">
        <v>152</v>
      </c>
      <c r="E38" s="91"/>
      <c r="F38" s="33" t="s">
        <v>123</v>
      </c>
      <c r="G38" s="50"/>
      <c r="H38" s="78"/>
      <c r="I38" s="117"/>
    </row>
    <row r="39" spans="1:10" ht="31.2">
      <c r="A39" s="88"/>
      <c r="B39" s="33" t="s">
        <v>24</v>
      </c>
      <c r="C39" s="33" t="s">
        <v>168</v>
      </c>
      <c r="D39" s="33" t="s">
        <v>155</v>
      </c>
      <c r="E39" s="91"/>
      <c r="F39" s="33" t="s">
        <v>123</v>
      </c>
      <c r="G39" s="50"/>
      <c r="H39" s="78"/>
      <c r="I39" s="117"/>
    </row>
    <row r="40" spans="1:10">
      <c r="A40" s="88"/>
      <c r="B40" s="33" t="s">
        <v>153</v>
      </c>
      <c r="C40" s="35">
        <v>45</v>
      </c>
      <c r="D40" s="33" t="s">
        <v>155</v>
      </c>
      <c r="E40" s="91"/>
      <c r="F40" s="33" t="s">
        <v>123</v>
      </c>
      <c r="G40" s="50"/>
      <c r="H40" s="78"/>
      <c r="I40" s="117"/>
    </row>
    <row r="41" spans="1:10" ht="31.2">
      <c r="A41" s="88"/>
      <c r="B41" s="33" t="s">
        <v>25</v>
      </c>
      <c r="C41" s="33" t="s">
        <v>133</v>
      </c>
      <c r="D41" s="33" t="s">
        <v>155</v>
      </c>
      <c r="E41" s="91"/>
      <c r="F41" s="33" t="s">
        <v>123</v>
      </c>
      <c r="G41" s="50"/>
      <c r="H41" s="78"/>
      <c r="I41" s="117"/>
    </row>
    <row r="42" spans="1:10">
      <c r="A42" s="88"/>
      <c r="B42" s="33" t="s">
        <v>154</v>
      </c>
      <c r="C42" s="35">
        <v>47</v>
      </c>
      <c r="D42" s="33" t="s">
        <v>155</v>
      </c>
      <c r="E42" s="91"/>
      <c r="F42" s="33" t="s">
        <v>123</v>
      </c>
      <c r="G42" s="50"/>
      <c r="H42" s="78"/>
      <c r="I42" s="117"/>
    </row>
    <row r="43" spans="1:10" ht="31.2">
      <c r="A43" s="88"/>
      <c r="B43" s="33" t="str">
        <f>IF($A$26="RGMII","No function", IF($A$26="GMII","RX_D4", "No function"))</f>
        <v>RX_D4</v>
      </c>
      <c r="C43" s="33" t="s">
        <v>169</v>
      </c>
      <c r="D43" s="33" t="str">
        <f>IF($A$26="RGMII","No function",IF($A$26="GMII","Receive Data", "No function"))</f>
        <v>Receive Data</v>
      </c>
      <c r="E43" s="91"/>
      <c r="F43" s="33" t="s">
        <v>123</v>
      </c>
      <c r="G43" s="50"/>
      <c r="H43" s="78"/>
      <c r="I43" s="117"/>
    </row>
    <row r="44" spans="1:10" ht="31.2">
      <c r="A44" s="88"/>
      <c r="B44" s="33" t="str">
        <f>IF($A$26="RGMII","No function", IF($A$26="GMII","RX_D5", "No function"))</f>
        <v>RX_D5</v>
      </c>
      <c r="C44" s="33" t="s">
        <v>170</v>
      </c>
      <c r="D44" s="33" t="str">
        <f t="shared" ref="D44:D46" si="1">IF($A$26="RGMII","No function",IF($A$26="GMII","Receive Data", "No function"))</f>
        <v>Receive Data</v>
      </c>
      <c r="E44" s="91"/>
      <c r="F44" s="33" t="s">
        <v>123</v>
      </c>
      <c r="G44" s="50"/>
      <c r="H44" s="78"/>
      <c r="I44" s="117"/>
    </row>
    <row r="45" spans="1:10" ht="150" customHeight="1">
      <c r="A45" s="88"/>
      <c r="B45" s="33" t="str">
        <f>IF($A$26="RGMII","No function", IF($A$26="GMII","RX_D6", "No function"))</f>
        <v>RX_D6</v>
      </c>
      <c r="C45" s="33" t="s">
        <v>171</v>
      </c>
      <c r="D45" s="33" t="str">
        <f t="shared" si="1"/>
        <v>Receive Data</v>
      </c>
      <c r="E45" s="91"/>
      <c r="F45" s="33" t="s">
        <v>123</v>
      </c>
      <c r="G45" s="50"/>
      <c r="H45" s="78" t="s">
        <v>278</v>
      </c>
      <c r="I45" s="117"/>
      <c r="J45" s="80" t="s">
        <v>284</v>
      </c>
    </row>
    <row r="46" spans="1:10" ht="31.2">
      <c r="A46" s="88"/>
      <c r="B46" s="33" t="str">
        <f>IF($A$26="RGMII","No function", IF($A$26="GMII","RX_D7", "No function"))</f>
        <v>RX_D7</v>
      </c>
      <c r="C46" s="33" t="s">
        <v>172</v>
      </c>
      <c r="D46" s="33" t="str">
        <f t="shared" si="1"/>
        <v>Receive Data</v>
      </c>
      <c r="E46" s="91"/>
      <c r="F46" s="33" t="s">
        <v>123</v>
      </c>
      <c r="G46" s="50"/>
      <c r="H46" s="78"/>
      <c r="I46" s="117"/>
    </row>
    <row r="47" spans="1:10" ht="46.8">
      <c r="A47" s="88"/>
      <c r="B47" s="33" t="str">
        <f>IF($A$26="RGMII","RX_CTRL", "RX_DV")</f>
        <v>RX_DV</v>
      </c>
      <c r="C47" s="33" t="s">
        <v>173</v>
      </c>
      <c r="D47" s="33" t="str">
        <f>IF($A$26="RGMII","Receive Control
Rising: RX_DV, Falling: (RX_DV XOR RX_ER)
High on both edges of RX_CLK if error-free packet
Low on both edges of RX_CLK if no packet
High on rising edge and low on falling edge of RX_CLK if error packet
Strap for Mode 3 or 4 only","Receive Data Valid
High when data present
Strap for Mode 3 or 4 only")</f>
        <v>Receive Data Valid
High when data present
Strap for Mode 3 or 4 only</v>
      </c>
      <c r="E47" s="91"/>
      <c r="F47" s="33" t="s">
        <v>123</v>
      </c>
      <c r="G47" s="50"/>
      <c r="H47" s="78"/>
      <c r="I47" s="117"/>
    </row>
    <row r="48" spans="1:10" ht="31.2">
      <c r="A48" s="88"/>
      <c r="B48" s="33" t="str">
        <f>IF($A$26="RGMII","No function", "RX_ER")</f>
        <v>RX_ER</v>
      </c>
      <c r="C48" s="33">
        <v>54</v>
      </c>
      <c r="D48" s="33" t="str">
        <f>IF($A$26="RGMII","No function","Receive Error
High when error present")</f>
        <v>Receive Error
High when error present</v>
      </c>
      <c r="E48" s="91"/>
      <c r="F48" s="33" t="s">
        <v>123</v>
      </c>
      <c r="G48" s="50"/>
      <c r="H48" s="78"/>
      <c r="I48" s="117"/>
    </row>
    <row r="49" spans="1:9" ht="31.2">
      <c r="A49" s="88"/>
      <c r="B49" s="33" t="str">
        <f>IF($A$26="RGMII","No function", "COL")</f>
        <v>COL</v>
      </c>
      <c r="C49" s="33">
        <v>55</v>
      </c>
      <c r="D49" s="33" t="str">
        <f>IF($A$26="RGMII","No function","Collision Detect
High when collision. Not asserted when in full duplex")</f>
        <v>Collision Detect
High when collision. Not asserted when in full duplex</v>
      </c>
      <c r="E49" s="91"/>
      <c r="F49" s="33" t="s">
        <v>123</v>
      </c>
      <c r="G49" s="50"/>
      <c r="H49" s="78"/>
      <c r="I49" s="117"/>
    </row>
    <row r="50" spans="1:9" ht="46.8">
      <c r="A50" s="89"/>
      <c r="B50" s="33" t="str">
        <f>IF($A$26="RGMII","No function", "CRS")</f>
        <v>CRS</v>
      </c>
      <c r="C50" s="33" t="s">
        <v>174</v>
      </c>
      <c r="D50" s="33" t="str">
        <f>IF($A$26="RGMII","No function
Strap for Mode 1 or 2 only","Carrier Sense
High when carrier present in half duplex. High when packet detected in full duplex
Strap for Mode 1 or 2 only")</f>
        <v>Carrier Sense
High when carrier present in half duplex. High when packet detected in full duplex
Strap for Mode 1 or 2 only</v>
      </c>
      <c r="E50" s="92"/>
      <c r="F50" s="33" t="s">
        <v>123</v>
      </c>
      <c r="G50" s="50"/>
      <c r="H50" s="78"/>
      <c r="I50" s="118"/>
    </row>
    <row r="51" spans="1:9" s="86" customFormat="1" ht="34.5" customHeight="1" outlineLevel="1"/>
    <row r="52" spans="1:9">
      <c r="A52" s="85" t="s">
        <v>96</v>
      </c>
      <c r="B52" s="35" t="s">
        <v>97</v>
      </c>
      <c r="C52" s="35">
        <v>25</v>
      </c>
      <c r="D52" s="33" t="s">
        <v>98</v>
      </c>
      <c r="E52" s="19"/>
      <c r="F52" s="33" t="s">
        <v>123</v>
      </c>
      <c r="G52" s="50"/>
      <c r="H52" s="78"/>
      <c r="I52" s="111" t="s">
        <v>269</v>
      </c>
    </row>
    <row r="53" spans="1:9">
      <c r="A53" s="85"/>
      <c r="B53" s="35" t="s">
        <v>99</v>
      </c>
      <c r="C53" s="35">
        <v>26</v>
      </c>
      <c r="D53" s="33" t="s">
        <v>100</v>
      </c>
      <c r="E53" s="19"/>
      <c r="F53" s="33" t="s">
        <v>123</v>
      </c>
      <c r="G53" s="50"/>
      <c r="H53" s="78"/>
      <c r="I53" s="112"/>
    </row>
    <row r="54" spans="1:9">
      <c r="A54" s="85"/>
      <c r="B54" s="35" t="s">
        <v>101</v>
      </c>
      <c r="C54" s="35">
        <v>27</v>
      </c>
      <c r="D54" s="33" t="s">
        <v>102</v>
      </c>
      <c r="E54" s="19"/>
      <c r="F54" s="33" t="s">
        <v>123</v>
      </c>
      <c r="G54" s="50"/>
      <c r="H54" s="78"/>
      <c r="I54" s="112"/>
    </row>
    <row r="55" spans="1:9">
      <c r="A55" s="85"/>
      <c r="B55" s="35" t="s">
        <v>103</v>
      </c>
      <c r="C55" s="35">
        <v>28</v>
      </c>
      <c r="D55" s="33" t="s">
        <v>104</v>
      </c>
      <c r="E55" s="19"/>
      <c r="F55" s="33" t="s">
        <v>123</v>
      </c>
      <c r="G55" s="50"/>
      <c r="H55" s="78"/>
      <c r="I55" s="113"/>
    </row>
    <row r="56" spans="1:9">
      <c r="E56" s="25"/>
    </row>
    <row r="57" spans="1:9">
      <c r="E57" s="25"/>
    </row>
    <row r="58" spans="1:9" s="32" customFormat="1">
      <c r="A58" s="22"/>
      <c r="B58" s="22"/>
      <c r="C58" s="22"/>
      <c r="E58" s="25"/>
      <c r="H58" s="79"/>
      <c r="I58" s="75"/>
    </row>
    <row r="59" spans="1:9" s="32" customFormat="1">
      <c r="A59" s="22"/>
      <c r="B59" s="22"/>
      <c r="C59" s="22"/>
      <c r="E59" s="25"/>
      <c r="H59" s="79"/>
      <c r="I59" s="75"/>
    </row>
    <row r="60" spans="1:9" s="32" customFormat="1">
      <c r="A60" s="22"/>
      <c r="B60" s="22"/>
      <c r="C60" s="22"/>
      <c r="E60" s="25"/>
      <c r="H60" s="79"/>
      <c r="I60" s="75"/>
    </row>
    <row r="61" spans="1:9" s="32" customFormat="1">
      <c r="A61" s="22"/>
      <c r="B61" s="22"/>
      <c r="C61" s="22"/>
      <c r="E61" s="25"/>
      <c r="H61" s="79"/>
      <c r="I61" s="75"/>
    </row>
    <row r="62" spans="1:9" s="32" customFormat="1">
      <c r="A62" s="22"/>
      <c r="B62" s="22"/>
      <c r="C62" s="22"/>
      <c r="E62" s="25"/>
      <c r="H62" s="79"/>
      <c r="I62" s="75"/>
    </row>
    <row r="63" spans="1:9" s="32" customFormat="1">
      <c r="A63" s="22"/>
      <c r="B63" s="22"/>
      <c r="C63" s="22"/>
      <c r="E63" s="25"/>
      <c r="H63" s="79"/>
      <c r="I63" s="75"/>
    </row>
    <row r="64" spans="1:9" s="32" customFormat="1">
      <c r="A64" s="22"/>
      <c r="B64" s="22"/>
      <c r="C64" s="22"/>
      <c r="E64" s="25"/>
      <c r="H64" s="79"/>
      <c r="I64" s="75"/>
    </row>
    <row r="65" spans="1:9" s="32" customFormat="1">
      <c r="A65" s="22"/>
      <c r="B65" s="22"/>
      <c r="C65" s="22"/>
      <c r="E65" s="25"/>
      <c r="H65" s="79"/>
      <c r="I65" s="75"/>
    </row>
    <row r="66" spans="1:9" s="32" customFormat="1">
      <c r="A66" s="22"/>
      <c r="B66" s="22"/>
      <c r="C66" s="22"/>
      <c r="E66" s="25"/>
      <c r="H66" s="79"/>
      <c r="I66" s="75"/>
    </row>
    <row r="67" spans="1:9" s="32" customFormat="1">
      <c r="A67" s="22"/>
      <c r="B67" s="22"/>
      <c r="C67" s="22"/>
      <c r="E67" s="25"/>
      <c r="H67" s="79"/>
      <c r="I67" s="75"/>
    </row>
    <row r="68" spans="1:9" s="32" customFormat="1">
      <c r="A68" s="22"/>
      <c r="B68" s="22"/>
      <c r="C68" s="22"/>
      <c r="E68" s="25"/>
      <c r="H68" s="79"/>
      <c r="I68" s="75"/>
    </row>
    <row r="69" spans="1:9" s="32" customFormat="1">
      <c r="A69" s="22"/>
      <c r="B69" s="22"/>
      <c r="C69" s="22"/>
      <c r="E69" s="25"/>
      <c r="H69" s="79"/>
      <c r="I69" s="75"/>
    </row>
    <row r="70" spans="1:9" s="32" customFormat="1">
      <c r="A70" s="22"/>
      <c r="B70" s="22"/>
      <c r="C70" s="22"/>
      <c r="E70" s="25"/>
      <c r="H70" s="79"/>
      <c r="I70" s="75"/>
    </row>
    <row r="71" spans="1:9" s="32" customFormat="1">
      <c r="A71" s="22"/>
      <c r="B71" s="22"/>
      <c r="C71" s="22"/>
      <c r="E71" s="25"/>
      <c r="H71" s="79"/>
      <c r="I71" s="75"/>
    </row>
    <row r="72" spans="1:9" s="32" customFormat="1">
      <c r="A72" s="22"/>
      <c r="B72" s="22"/>
      <c r="C72" s="22"/>
      <c r="E72" s="25"/>
      <c r="H72" s="79"/>
      <c r="I72" s="75"/>
    </row>
    <row r="73" spans="1:9" s="32" customFormat="1">
      <c r="A73" s="22"/>
      <c r="B73" s="22"/>
      <c r="C73" s="22"/>
      <c r="E73" s="25"/>
      <c r="H73" s="79"/>
      <c r="I73" s="75"/>
    </row>
    <row r="74" spans="1:9" s="32" customFormat="1">
      <c r="A74" s="22"/>
      <c r="B74" s="22"/>
      <c r="C74" s="22"/>
      <c r="E74" s="25"/>
      <c r="H74" s="79"/>
      <c r="I74" s="75"/>
    </row>
    <row r="75" spans="1:9" s="32" customFormat="1">
      <c r="A75" s="22"/>
      <c r="B75" s="22"/>
      <c r="C75" s="22"/>
      <c r="E75" s="25"/>
      <c r="H75" s="79"/>
      <c r="I75" s="75"/>
    </row>
    <row r="76" spans="1:9" s="32" customFormat="1">
      <c r="A76" s="22" t="s">
        <v>92</v>
      </c>
      <c r="B76" s="22"/>
      <c r="C76" s="22"/>
      <c r="E76" s="25"/>
      <c r="H76" s="79"/>
      <c r="I76" s="75"/>
    </row>
    <row r="77" spans="1:9" s="32" customFormat="1">
      <c r="A77" s="22" t="s">
        <v>161</v>
      </c>
      <c r="B77" s="22"/>
      <c r="C77" s="22"/>
      <c r="E77" s="25"/>
      <c r="H77" s="79"/>
      <c r="I77" s="75"/>
    </row>
    <row r="78" spans="1:9" s="32" customFormat="1">
      <c r="A78" s="22"/>
      <c r="B78" s="22"/>
      <c r="C78" s="22"/>
      <c r="E78" s="25"/>
      <c r="H78" s="79"/>
      <c r="I78" s="75"/>
    </row>
    <row r="79" spans="1:9" s="32" customFormat="1">
      <c r="A79" s="22"/>
      <c r="B79" s="22"/>
      <c r="C79" s="22"/>
      <c r="E79" s="25"/>
      <c r="H79" s="79"/>
      <c r="I79" s="75"/>
    </row>
    <row r="80" spans="1:9" s="32" customFormat="1">
      <c r="A80" s="22"/>
      <c r="B80" s="22"/>
      <c r="C80" s="22"/>
      <c r="E80" s="25"/>
      <c r="H80" s="79"/>
      <c r="I80" s="75"/>
    </row>
    <row r="81" spans="1:9" s="32" customFormat="1">
      <c r="A81" s="22"/>
      <c r="B81" s="22"/>
      <c r="C81" s="22"/>
      <c r="E81" s="25"/>
      <c r="H81" s="79"/>
      <c r="I81" s="75"/>
    </row>
    <row r="82" spans="1:9" s="32" customFormat="1">
      <c r="A82" s="22"/>
      <c r="B82" s="22"/>
      <c r="C82" s="22"/>
      <c r="E82" s="25"/>
      <c r="H82" s="79"/>
      <c r="I82" s="75"/>
    </row>
    <row r="83" spans="1:9" s="32" customFormat="1">
      <c r="A83" s="22"/>
      <c r="B83" s="22"/>
      <c r="C83" s="22"/>
      <c r="E83" s="25"/>
      <c r="H83" s="79"/>
      <c r="I83" s="75"/>
    </row>
    <row r="84" spans="1:9" s="32" customFormat="1">
      <c r="A84" s="22"/>
      <c r="B84" s="22"/>
      <c r="C84" s="22"/>
      <c r="E84" s="25"/>
      <c r="H84" s="79"/>
      <c r="I84" s="75"/>
    </row>
    <row r="85" spans="1:9" s="32" customFormat="1">
      <c r="A85" s="22"/>
      <c r="B85" s="22"/>
      <c r="C85" s="22"/>
      <c r="E85" s="25"/>
      <c r="H85" s="79"/>
      <c r="I85" s="75"/>
    </row>
    <row r="88" spans="1:9" s="32" customFormat="1" ht="186" customHeight="1">
      <c r="A88" s="22" t="s">
        <v>120</v>
      </c>
      <c r="B88" s="22" t="str">
        <f>IF(A26="RGMII","RGMII",IF(A26="GMII","GMII", "MII"))</f>
        <v>GMII</v>
      </c>
      <c r="C88" s="22"/>
      <c r="E88" s="22"/>
      <c r="H88" s="79"/>
      <c r="I88" s="75"/>
    </row>
    <row r="89" spans="1:9" s="32" customFormat="1" ht="180.75" customHeight="1">
      <c r="A89" s="22" t="s">
        <v>145</v>
      </c>
      <c r="B89" s="22"/>
      <c r="C89" s="22"/>
      <c r="E89" s="22"/>
      <c r="H89" s="79"/>
      <c r="I89" s="75"/>
    </row>
    <row r="90" spans="1:9" s="32" customFormat="1" ht="180.75" customHeight="1">
      <c r="A90" s="22" t="s">
        <v>144</v>
      </c>
      <c r="B90" s="22"/>
      <c r="C90" s="22"/>
      <c r="E90" s="22"/>
      <c r="H90" s="79"/>
      <c r="I90" s="75"/>
    </row>
    <row r="91" spans="1:9" ht="130.5" customHeight="1">
      <c r="A91" s="32" t="s">
        <v>118</v>
      </c>
      <c r="B91" s="22" t="str">
        <f>IF(A14="Clock
(Crystal)", "Crystal", "Oscillator")</f>
        <v>Oscillator</v>
      </c>
    </row>
    <row r="92" spans="1:9" ht="164.25" customHeight="1">
      <c r="A92" s="32" t="s">
        <v>142</v>
      </c>
      <c r="B92" s="22" t="str">
        <f>IF(A14="Clock
(Crystal)", "CrystalPic", "OscillatorPic")</f>
        <v>OscillatorPic</v>
      </c>
    </row>
    <row r="93" spans="1:9" ht="141" customHeight="1"/>
    <row r="94" spans="1:9" ht="204" customHeight="1"/>
  </sheetData>
  <dataConsolidate/>
  <mergeCells count="25">
    <mergeCell ref="H17:H18"/>
    <mergeCell ref="E26:E50"/>
    <mergeCell ref="A13:XFD13"/>
    <mergeCell ref="A14:A15"/>
    <mergeCell ref="D14:D15"/>
    <mergeCell ref="E14:E15"/>
    <mergeCell ref="F14:F15"/>
    <mergeCell ref="G14:G15"/>
    <mergeCell ref="I26:I50"/>
    <mergeCell ref="I52:I55"/>
    <mergeCell ref="A2:A5"/>
    <mergeCell ref="A6:XFD6"/>
    <mergeCell ref="A8:XFD8"/>
    <mergeCell ref="A10:XFD10"/>
    <mergeCell ref="E11:E12"/>
    <mergeCell ref="A51:XFD51"/>
    <mergeCell ref="A52:A55"/>
    <mergeCell ref="A11:A12"/>
    <mergeCell ref="A16:XFD16"/>
    <mergeCell ref="A17:A18"/>
    <mergeCell ref="A19:XFD19"/>
    <mergeCell ref="A23:XFD23"/>
    <mergeCell ref="A25:XFD25"/>
    <mergeCell ref="A26:A50"/>
    <mergeCell ref="H11:H12"/>
  </mergeCells>
  <conditionalFormatting sqref="F34:F42 F50:F55 F2:F29">
    <cfRule type="cellIs" dxfId="3" priority="4" operator="equal">
      <formula>"Required"</formula>
    </cfRule>
  </conditionalFormatting>
  <conditionalFormatting sqref="F30:F33">
    <cfRule type="cellIs" dxfId="2" priority="3" operator="equal">
      <formula>"Required"</formula>
    </cfRule>
  </conditionalFormatting>
  <conditionalFormatting sqref="F43:F48">
    <cfRule type="cellIs" dxfId="1" priority="2" operator="equal">
      <formula>"Required"</formula>
    </cfRule>
  </conditionalFormatting>
  <conditionalFormatting sqref="F49">
    <cfRule type="cellIs" dxfId="0" priority="1" operator="equal">
      <formula>"Required"</formula>
    </cfRule>
  </conditionalFormatting>
  <dataValidations count="4">
    <dataValidation type="list" allowBlank="1" showInputMessage="1" showErrorMessage="1" sqref="A14:A15" xr:uid="{399E7E1B-2054-438A-A694-FD1D088AD6B5}">
      <formula1>$A$91:$A$92</formula1>
    </dataValidation>
    <dataValidation type="list" allowBlank="1" showInputMessage="1" showErrorMessage="1" sqref="F2:F5 F7 F9 F17:F18 F20:F22 F24 F52:F55 F11:F12 F26:F50" xr:uid="{3843695F-84FE-45C0-9820-E72F9D56CD92}">
      <formula1>"Required, Yes,No"</formula1>
    </dataValidation>
    <dataValidation type="list" allowBlank="1" showInputMessage="1" showErrorMessage="1" sqref="A26:A28" xr:uid="{60ECF0B0-4154-4AC3-9577-2411DB2B5684}">
      <formula1>$A$88:$A$90</formula1>
    </dataValidation>
    <dataValidation type="list" allowBlank="1" showInputMessage="1" showErrorMessage="1" sqref="A21" xr:uid="{169D0311-CE0F-4006-A343-1978AE760AAB}">
      <formula1>$A$76:$A$77</formula1>
    </dataValidation>
  </dataValidations>
  <hyperlinks>
    <hyperlink ref="I2" location="Pic!A1" display="Refer Pic 1" xr:uid="{A31E1F94-9C03-458A-AA0D-042E51B6A4F0}"/>
    <hyperlink ref="I3" location="Pic!A18" display="Refer Pic 2" xr:uid="{D5AEE313-8F83-4CFE-A07E-AEE6850C5118}"/>
    <hyperlink ref="I4" location="Pic!A35" display="Refer Pic 3" xr:uid="{3E235E84-1FA4-4285-8614-03E35C44D12A}"/>
    <hyperlink ref="I9" location="Pic!A51" display="Refer Pic 4" xr:uid="{FC79600D-7F04-479D-B931-8005A37D532B}"/>
    <hyperlink ref="I11" location="Pic!A66" display="Refer Pic 5" xr:uid="{79B73F7D-8C2F-46D5-B4C7-9800AA2D3D39}"/>
    <hyperlink ref="I12" location="Pic!A66" display="Refer Pic 5" xr:uid="{C667BE41-4F3D-48BB-BD03-5F90F104607E}"/>
    <hyperlink ref="I14" location="Pic!A97" display="Refer Pic 6" xr:uid="{4DC49F04-D241-4E08-BD5B-417BB9C00244}"/>
    <hyperlink ref="I15" location="Pic!A97" display="Refer Pic 6" xr:uid="{0C13DAC3-37D2-4015-BECA-821CE48C68F0}"/>
    <hyperlink ref="I17" location="Pic!A110" display="Refer Pic 7" xr:uid="{3C926427-A3A1-4CBC-A26C-5375775D2803}"/>
    <hyperlink ref="I18" location="Pic!A110" display="Refer Pic 7" xr:uid="{17043BBE-8A69-4BDF-8059-E47F6C3150CE}"/>
    <hyperlink ref="I20" location="Pic!A123" display="Refer Pic 8" xr:uid="{CEA1CA13-C261-4A52-816F-DED7998282FB}"/>
    <hyperlink ref="I22" location="Pic!A131" display="Refer Pic 9" xr:uid="{33654FA4-C3CC-484E-9874-A749D425BD64}"/>
    <hyperlink ref="J24" location="Pic!A183" display="Refer Pic 11" xr:uid="{F664C987-1515-4FD5-996A-12B4E9960BF4}"/>
  </hyperlink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0BEE8-F8EB-4F20-AF6A-BEA21DF1A359}">
  <dimension ref="A1:A183"/>
  <sheetViews>
    <sheetView topLeftCell="A183" zoomScaleNormal="100" workbookViewId="0">
      <selection activeCell="A183" sqref="A183"/>
    </sheetView>
  </sheetViews>
  <sheetFormatPr defaultRowHeight="15.6"/>
  <sheetData>
    <row r="1" spans="1:1" ht="20.399999999999999">
      <c r="A1" s="70" t="s">
        <v>248</v>
      </c>
    </row>
    <row r="18" spans="1:1" ht="20.399999999999999">
      <c r="A18" s="70" t="s">
        <v>250</v>
      </c>
    </row>
    <row r="35" spans="1:1" ht="20.399999999999999">
      <c r="A35" s="70" t="s">
        <v>251</v>
      </c>
    </row>
    <row r="51" spans="1:1" ht="20.399999999999999">
      <c r="A51" s="70" t="s">
        <v>256</v>
      </c>
    </row>
    <row r="66" spans="1:1" ht="20.399999999999999">
      <c r="A66" s="70" t="s">
        <v>258</v>
      </c>
    </row>
    <row r="97" spans="1:1" ht="20.399999999999999">
      <c r="A97" s="70" t="s">
        <v>261</v>
      </c>
    </row>
    <row r="110" spans="1:1" ht="20.399999999999999">
      <c r="A110" s="70" t="s">
        <v>263</v>
      </c>
    </row>
    <row r="123" spans="1:1" ht="20.399999999999999">
      <c r="A123" s="70" t="s">
        <v>265</v>
      </c>
    </row>
    <row r="131" spans="1:1" ht="20.399999999999999">
      <c r="A131" s="70" t="s">
        <v>267</v>
      </c>
    </row>
    <row r="139" spans="1:1" ht="20.399999999999999">
      <c r="A139" s="70" t="s">
        <v>270</v>
      </c>
    </row>
    <row r="183" spans="1:1" ht="20.399999999999999">
      <c r="A183" s="70" t="s">
        <v>283</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ED5E-A6CF-45C1-9378-FEAC2AD5159D}">
  <dimension ref="B5:AG119"/>
  <sheetViews>
    <sheetView zoomScale="85" zoomScaleNormal="85" workbookViewId="0">
      <selection activeCell="J13" sqref="J13"/>
    </sheetView>
  </sheetViews>
  <sheetFormatPr defaultColWidth="8.84765625" defaultRowHeight="15.6"/>
  <cols>
    <col min="1" max="1" width="12.5" customWidth="1"/>
    <col min="2" max="2" width="43.09765625" customWidth="1"/>
    <col min="3" max="3" width="13.25" bestFit="1" customWidth="1"/>
    <col min="4" max="4" width="24.09765625" bestFit="1" customWidth="1"/>
    <col min="5" max="5" width="15" bestFit="1" customWidth="1"/>
    <col min="6" max="6" width="11.25" bestFit="1" customWidth="1"/>
    <col min="7" max="7" width="12.5" customWidth="1"/>
    <col min="8" max="8" width="15.59765625" bestFit="1" customWidth="1"/>
    <col min="9" max="9" width="12.5" customWidth="1"/>
    <col min="10" max="10" width="12.34765625" customWidth="1"/>
    <col min="11" max="13" width="12.5" customWidth="1"/>
    <col min="14" max="14" width="12.34765625" customWidth="1"/>
    <col min="15" max="15" width="12.5" customWidth="1"/>
  </cols>
  <sheetData>
    <row r="5" spans="2:8">
      <c r="G5" s="106" t="s">
        <v>19</v>
      </c>
      <c r="H5" s="107"/>
    </row>
    <row r="6" spans="2:8" ht="33.6">
      <c r="B6" s="45" t="s">
        <v>33</v>
      </c>
      <c r="C6" s="45" t="s">
        <v>34</v>
      </c>
      <c r="D6" s="45" t="s">
        <v>35</v>
      </c>
      <c r="E6" s="45" t="s">
        <v>20</v>
      </c>
      <c r="F6" s="45" t="s">
        <v>21</v>
      </c>
      <c r="G6" s="46" t="s">
        <v>22</v>
      </c>
      <c r="H6" s="46" t="s">
        <v>23</v>
      </c>
    </row>
    <row r="7" spans="2:8">
      <c r="B7" s="99" t="s">
        <v>36</v>
      </c>
      <c r="C7" s="102">
        <v>0</v>
      </c>
      <c r="D7" s="108">
        <v>0</v>
      </c>
      <c r="E7" s="33" t="s">
        <v>24</v>
      </c>
      <c r="F7" s="4">
        <f>F23+2*E23+1</f>
        <v>1</v>
      </c>
      <c r="G7" s="53" t="str">
        <f>IF(F7=1,"Open",IF(F7=2,"10kΩ",IF(F7=3,"5.76kΩ","2.49kΩ")))</f>
        <v>Open</v>
      </c>
      <c r="H7" s="53" t="str">
        <f>IF(F7=1,"Open",IF(F7=2,"2.49kΩ",IF(F7=3,"2.49kΩ","Open")))</f>
        <v>Open</v>
      </c>
    </row>
    <row r="8" spans="2:8">
      <c r="B8" s="101"/>
      <c r="C8" s="103"/>
      <c r="D8" s="109"/>
      <c r="E8" s="33" t="s">
        <v>25</v>
      </c>
      <c r="F8" s="4">
        <f>D23+2*C23+1</f>
        <v>1</v>
      </c>
      <c r="G8" s="53" t="str">
        <f t="shared" ref="G8:G16" si="0">IF(F8=1,"Open",IF(F8=2,"10kΩ",IF(F8=3,"5.76kΩ","2.49kΩ")))</f>
        <v>Open</v>
      </c>
      <c r="H8" s="53" t="str">
        <f t="shared" ref="H8:H16" si="1">IF(F8=1,"Open",IF(F8=2,"2.49kΩ",IF(F8=3,"2.49kΩ","Open")))</f>
        <v>Open</v>
      </c>
    </row>
    <row r="9" spans="2:8">
      <c r="B9" s="100"/>
      <c r="C9" s="104"/>
      <c r="D9" s="110"/>
      <c r="E9" s="33" t="s">
        <v>156</v>
      </c>
      <c r="F9" s="4">
        <f>IF(C7&gt;15,IF(OR(C15=B31,C15=C31),2,IF(OR(C15=D31,C15=E31),4)),IF(OR(C15=B31,C15=C31),1,IF(OR(C15=D31,C15=E31),3)))</f>
        <v>1</v>
      </c>
      <c r="G9" s="53" t="str">
        <f t="shared" si="0"/>
        <v>Open</v>
      </c>
      <c r="H9" s="53" t="str">
        <f t="shared" si="1"/>
        <v>Open</v>
      </c>
    </row>
    <row r="10" spans="2:8" ht="31.2">
      <c r="B10" s="49" t="s">
        <v>191</v>
      </c>
      <c r="C10" s="48" t="s">
        <v>199</v>
      </c>
      <c r="D10" s="33" t="s">
        <v>199</v>
      </c>
      <c r="E10" s="33" t="s">
        <v>157</v>
      </c>
      <c r="F10" s="4">
        <f>IF(C10=B26,1,IF(C10=C26,2,IF(C10=D26,3,4)))</f>
        <v>1</v>
      </c>
      <c r="G10" s="53" t="str">
        <f t="shared" si="0"/>
        <v>Open</v>
      </c>
      <c r="H10" s="53" t="str">
        <f t="shared" si="1"/>
        <v>Open</v>
      </c>
    </row>
    <row r="11" spans="2:8" ht="31.2">
      <c r="B11" s="45" t="s">
        <v>190</v>
      </c>
      <c r="C11" s="48" t="s">
        <v>205</v>
      </c>
      <c r="D11" s="33" t="s">
        <v>203</v>
      </c>
      <c r="E11" s="33" t="s">
        <v>158</v>
      </c>
      <c r="F11" s="4">
        <f>IF(C11=B27,1,IF(C11=C27,2,IF(C11=D27,3,4)))</f>
        <v>3</v>
      </c>
      <c r="G11" s="53" t="str">
        <f t="shared" si="0"/>
        <v>5.76kΩ</v>
      </c>
      <c r="H11" s="53" t="str">
        <f t="shared" si="1"/>
        <v>2.49kΩ</v>
      </c>
    </row>
    <row r="12" spans="2:8" ht="31.2">
      <c r="B12" s="45" t="s">
        <v>207</v>
      </c>
      <c r="C12" s="48" t="s">
        <v>208</v>
      </c>
      <c r="D12" s="33" t="s">
        <v>208</v>
      </c>
      <c r="E12" s="33" t="s">
        <v>159</v>
      </c>
      <c r="F12" s="4">
        <f>IF(C12=B28,1,IF(C12=C28,2,IF(C12=D28,3,4)))</f>
        <v>1</v>
      </c>
      <c r="G12" s="53" t="str">
        <f t="shared" si="0"/>
        <v>Open</v>
      </c>
      <c r="H12" s="53" t="str">
        <f t="shared" si="1"/>
        <v>Open</v>
      </c>
    </row>
    <row r="13" spans="2:8" ht="31.2">
      <c r="B13" s="45" t="s">
        <v>192</v>
      </c>
      <c r="C13" s="48" t="s">
        <v>198</v>
      </c>
      <c r="D13" s="33" t="s">
        <v>219</v>
      </c>
      <c r="E13" s="33" t="s">
        <v>193</v>
      </c>
      <c r="F13" s="4">
        <f>IF(C13=B29,3,4)</f>
        <v>3</v>
      </c>
      <c r="G13" s="53" t="str">
        <f t="shared" si="0"/>
        <v>5.76kΩ</v>
      </c>
      <c r="H13" s="53" t="str">
        <f t="shared" si="1"/>
        <v>2.49kΩ</v>
      </c>
    </row>
    <row r="14" spans="2:8">
      <c r="B14" s="45" t="s">
        <v>194</v>
      </c>
      <c r="C14" s="48" t="s">
        <v>212</v>
      </c>
      <c r="D14" s="33" t="s">
        <v>212</v>
      </c>
      <c r="E14" s="33" t="s">
        <v>195</v>
      </c>
      <c r="F14" s="4">
        <f>IF(C14=B30,1,2)</f>
        <v>1</v>
      </c>
      <c r="G14" s="53" t="str">
        <f t="shared" si="0"/>
        <v>Open</v>
      </c>
      <c r="H14" s="53" t="str">
        <f t="shared" si="1"/>
        <v>Open</v>
      </c>
    </row>
    <row r="15" spans="2:8" ht="31.2">
      <c r="B15" s="45" t="s">
        <v>196</v>
      </c>
      <c r="C15" s="48" t="s">
        <v>40</v>
      </c>
      <c r="D15" s="33" t="s">
        <v>40</v>
      </c>
      <c r="E15" s="33" t="s">
        <v>30</v>
      </c>
      <c r="F15" s="4">
        <f>IF(OR(C15=B31,C15=D31),1,4)</f>
        <v>1</v>
      </c>
      <c r="G15" s="53" t="str">
        <f t="shared" si="0"/>
        <v>Open</v>
      </c>
      <c r="H15" s="53" t="str">
        <f t="shared" si="1"/>
        <v>Open</v>
      </c>
    </row>
    <row r="16" spans="2:8">
      <c r="B16" s="45" t="s">
        <v>197</v>
      </c>
      <c r="C16" s="48" t="s">
        <v>212</v>
      </c>
      <c r="D16" s="33" t="s">
        <v>212</v>
      </c>
      <c r="E16" s="33" t="s">
        <v>31</v>
      </c>
      <c r="F16" s="4">
        <f>IF(C16=B32,1,3)</f>
        <v>1</v>
      </c>
      <c r="G16" s="53" t="str">
        <f t="shared" si="0"/>
        <v>Open</v>
      </c>
      <c r="H16" s="53" t="str">
        <f t="shared" si="1"/>
        <v>Open</v>
      </c>
    </row>
    <row r="17" spans="2:33">
      <c r="B17" s="40"/>
    </row>
    <row r="19" spans="2:33" hidden="1"/>
    <row r="20" spans="2:33" hidden="1"/>
    <row r="21" spans="2:33" hidden="1"/>
    <row r="22" spans="2:33" hidden="1">
      <c r="B22" t="s">
        <v>214</v>
      </c>
      <c r="C22" t="s">
        <v>215</v>
      </c>
      <c r="D22" t="s">
        <v>216</v>
      </c>
      <c r="E22" t="s">
        <v>217</v>
      </c>
      <c r="F22" t="s">
        <v>218</v>
      </c>
    </row>
    <row r="23" spans="2:33" hidden="1">
      <c r="B23">
        <f>_xlfn.BITRSHIFT($C$7,4)</f>
        <v>0</v>
      </c>
      <c r="C23">
        <f>_xlfn.BITAND(1,_xlfn.BITRSHIFT($C$7,3))</f>
        <v>0</v>
      </c>
      <c r="D23">
        <f>_xlfn.BITAND(1,_xlfn.BITRSHIFT($C$7,2))</f>
        <v>0</v>
      </c>
      <c r="E23">
        <f>_xlfn.BITAND(1,_xlfn.BITRSHIFT($C$7,1))</f>
        <v>0</v>
      </c>
      <c r="F23">
        <f>_xlfn.BITAND(1,$C$7)</f>
        <v>0</v>
      </c>
    </row>
    <row r="24" spans="2:33" hidden="1"/>
    <row r="25" spans="2:33" hidden="1">
      <c r="B25">
        <v>0</v>
      </c>
      <c r="C25">
        <v>1</v>
      </c>
      <c r="D25">
        <v>2</v>
      </c>
      <c r="E25">
        <v>3</v>
      </c>
      <c r="F25">
        <v>4</v>
      </c>
      <c r="G25">
        <v>5</v>
      </c>
      <c r="H25">
        <v>6</v>
      </c>
      <c r="I25">
        <v>7</v>
      </c>
      <c r="J25">
        <v>8</v>
      </c>
      <c r="K25">
        <v>9</v>
      </c>
      <c r="L25">
        <v>10</v>
      </c>
      <c r="M25">
        <v>11</v>
      </c>
      <c r="N25">
        <v>12</v>
      </c>
      <c r="O25">
        <v>13</v>
      </c>
      <c r="P25">
        <v>14</v>
      </c>
      <c r="Q25">
        <v>15</v>
      </c>
      <c r="R25">
        <v>16</v>
      </c>
      <c r="S25">
        <v>17</v>
      </c>
      <c r="T25">
        <v>18</v>
      </c>
      <c r="U25">
        <v>19</v>
      </c>
      <c r="V25">
        <v>20</v>
      </c>
      <c r="W25">
        <v>21</v>
      </c>
      <c r="X25">
        <v>22</v>
      </c>
      <c r="Y25">
        <v>23</v>
      </c>
      <c r="Z25">
        <v>24</v>
      </c>
      <c r="AA25">
        <v>25</v>
      </c>
      <c r="AB25">
        <v>26</v>
      </c>
      <c r="AC25">
        <v>27</v>
      </c>
      <c r="AD25">
        <v>28</v>
      </c>
      <c r="AE25">
        <v>29</v>
      </c>
      <c r="AF25">
        <v>30</v>
      </c>
      <c r="AG25">
        <v>31</v>
      </c>
    </row>
    <row r="26" spans="2:33" ht="31.2" hidden="1">
      <c r="B26" s="12" t="s">
        <v>199</v>
      </c>
      <c r="C26" s="12" t="s">
        <v>200</v>
      </c>
      <c r="D26" s="12" t="s">
        <v>201</v>
      </c>
      <c r="E26" s="12" t="s">
        <v>202</v>
      </c>
    </row>
    <row r="27" spans="2:33" ht="31.2" hidden="1">
      <c r="B27" s="12" t="s">
        <v>203</v>
      </c>
      <c r="C27" s="12" t="s">
        <v>204</v>
      </c>
      <c r="D27" s="12" t="s">
        <v>205</v>
      </c>
      <c r="E27" s="12" t="s">
        <v>206</v>
      </c>
    </row>
    <row r="28" spans="2:33" ht="31.2" hidden="1">
      <c r="B28" s="12" t="s">
        <v>208</v>
      </c>
      <c r="C28" s="12" t="s">
        <v>209</v>
      </c>
      <c r="D28" s="12" t="s">
        <v>211</v>
      </c>
      <c r="E28" s="12" t="s">
        <v>210</v>
      </c>
    </row>
    <row r="29" spans="2:33" hidden="1">
      <c r="B29" s="12" t="s">
        <v>198</v>
      </c>
      <c r="C29" s="12" t="s">
        <v>212</v>
      </c>
    </row>
    <row r="30" spans="2:33" hidden="1">
      <c r="B30" s="12" t="s">
        <v>212</v>
      </c>
      <c r="C30" s="12" t="s">
        <v>198</v>
      </c>
    </row>
    <row r="31" spans="2:33" hidden="1">
      <c r="B31" s="12" t="s">
        <v>40</v>
      </c>
      <c r="C31" s="12" t="s">
        <v>63</v>
      </c>
      <c r="D31">
        <v>1000</v>
      </c>
      <c r="E31" s="12" t="s">
        <v>213</v>
      </c>
    </row>
    <row r="32" spans="2:33" hidden="1">
      <c r="B32" s="12" t="s">
        <v>212</v>
      </c>
      <c r="C32" s="12" t="s">
        <v>198</v>
      </c>
    </row>
    <row r="33" spans="2:2" hidden="1"/>
    <row r="34" spans="2:2" hidden="1">
      <c r="B34" s="12"/>
    </row>
    <row r="98" spans="3:7">
      <c r="C98" s="37"/>
      <c r="D98" s="105"/>
      <c r="E98" s="105"/>
      <c r="F98" s="105"/>
      <c r="G98" s="105"/>
    </row>
    <row r="99" spans="3:7">
      <c r="C99" s="37"/>
      <c r="D99" s="105"/>
      <c r="E99" s="105"/>
      <c r="F99" s="105"/>
      <c r="G99" s="105"/>
    </row>
    <row r="109" spans="3:7">
      <c r="C109" s="37"/>
    </row>
    <row r="110" spans="3:7">
      <c r="C110" s="37"/>
    </row>
    <row r="111" spans="3:7">
      <c r="C111" s="37"/>
    </row>
    <row r="112" spans="3:7">
      <c r="C112" s="37"/>
    </row>
    <row r="113" spans="3:3">
      <c r="C113" s="37"/>
    </row>
    <row r="116" spans="3:3">
      <c r="C116" s="12"/>
    </row>
    <row r="117" spans="3:3">
      <c r="C117" s="12"/>
    </row>
    <row r="118" spans="3:3">
      <c r="C118" s="12"/>
    </row>
    <row r="119" spans="3:3">
      <c r="C119" s="12"/>
    </row>
  </sheetData>
  <mergeCells count="7">
    <mergeCell ref="G5:H5"/>
    <mergeCell ref="D98:G98"/>
    <mergeCell ref="D99:E99"/>
    <mergeCell ref="F99:G99"/>
    <mergeCell ref="B7:B9"/>
    <mergeCell ref="C7:C9"/>
    <mergeCell ref="D7:D9"/>
  </mergeCells>
  <dataValidations count="3">
    <dataValidation type="list" allowBlank="1" showInputMessage="1" showErrorMessage="1" sqref="C7:C9" xr:uid="{48B85023-92F5-4E54-BFCD-E82CD25C6B96}">
      <formula1>$B$25:$AG$25</formula1>
    </dataValidation>
    <dataValidation type="list" allowBlank="1" showInputMessage="1" showErrorMessage="1" sqref="C10:C12 C15" xr:uid="{6B15A0C4-D4A0-40B9-BD50-EA6371948A93}">
      <formula1>$B26:$E26</formula1>
    </dataValidation>
    <dataValidation type="list" allowBlank="1" showInputMessage="1" showErrorMessage="1" sqref="C13:C14 C16" xr:uid="{4B30B430-88F2-4E98-B832-2BE276C31BA0}">
      <formula1>$B29:$C29</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D8:G32"/>
  <sheetViews>
    <sheetView workbookViewId="0">
      <selection activeCell="E11" sqref="E11"/>
    </sheetView>
  </sheetViews>
  <sheetFormatPr defaultColWidth="11" defaultRowHeight="15.6"/>
  <cols>
    <col min="5" max="5" width="11.84765625" customWidth="1"/>
    <col min="6" max="6" width="50.34765625" customWidth="1"/>
    <col min="7" max="7" width="17" customWidth="1"/>
  </cols>
  <sheetData>
    <row r="8" spans="4:7">
      <c r="D8" s="18" t="s">
        <v>105</v>
      </c>
      <c r="E8" s="18" t="s">
        <v>106</v>
      </c>
      <c r="F8" s="18" t="s">
        <v>107</v>
      </c>
      <c r="G8" s="18" t="s">
        <v>108</v>
      </c>
    </row>
    <row r="9" spans="4:7">
      <c r="D9" s="4">
        <v>0.1</v>
      </c>
      <c r="E9" s="7">
        <v>43532</v>
      </c>
      <c r="F9" s="4" t="s">
        <v>109</v>
      </c>
      <c r="G9" s="4" t="s">
        <v>110</v>
      </c>
    </row>
    <row r="10" spans="4:7">
      <c r="D10" s="4">
        <v>0.2</v>
      </c>
      <c r="E10" s="7">
        <v>43536</v>
      </c>
      <c r="F10" s="4" t="s">
        <v>111</v>
      </c>
      <c r="G10" s="4" t="s">
        <v>110</v>
      </c>
    </row>
    <row r="11" spans="4:7" ht="31.2">
      <c r="D11" s="4">
        <v>0.3</v>
      </c>
      <c r="E11" s="17">
        <v>45364</v>
      </c>
      <c r="F11" s="51" t="s">
        <v>239</v>
      </c>
      <c r="G11" s="4" t="s">
        <v>112</v>
      </c>
    </row>
    <row r="12" spans="4:7">
      <c r="D12" s="4"/>
      <c r="E12" s="4"/>
      <c r="F12" s="4"/>
      <c r="G12" s="4"/>
    </row>
    <row r="13" spans="4:7">
      <c r="D13" s="4"/>
      <c r="E13" s="4"/>
      <c r="F13" s="4"/>
      <c r="G13" s="4"/>
    </row>
    <row r="14" spans="4:7">
      <c r="D14" s="4"/>
      <c r="E14" s="4"/>
      <c r="F14" s="4"/>
      <c r="G14" s="4"/>
    </row>
    <row r="15" spans="4:7">
      <c r="D15" s="4"/>
      <c r="E15" s="4"/>
      <c r="F15" s="4"/>
      <c r="G15" s="4"/>
    </row>
    <row r="16" spans="4:7">
      <c r="D16" s="4"/>
      <c r="E16" s="4"/>
      <c r="F16" s="4"/>
      <c r="G16" s="4"/>
    </row>
    <row r="17" spans="4:7">
      <c r="D17" s="4"/>
      <c r="E17" s="4"/>
      <c r="F17" s="4"/>
      <c r="G17" s="4"/>
    </row>
    <row r="18" spans="4:7">
      <c r="D18" s="4"/>
      <c r="E18" s="4"/>
      <c r="F18" s="4"/>
      <c r="G18" s="4"/>
    </row>
    <row r="19" spans="4:7">
      <c r="D19" s="4"/>
      <c r="E19" s="4"/>
      <c r="F19" s="4"/>
      <c r="G19" s="4"/>
    </row>
    <row r="20" spans="4:7">
      <c r="D20" s="4"/>
      <c r="E20" s="4"/>
      <c r="F20" s="4"/>
      <c r="G20" s="4"/>
    </row>
    <row r="21" spans="4:7">
      <c r="D21" s="4"/>
      <c r="E21" s="4"/>
      <c r="F21" s="4"/>
      <c r="G21" s="4"/>
    </row>
    <row r="22" spans="4:7">
      <c r="D22" s="4"/>
      <c r="E22" s="4"/>
      <c r="F22" s="4"/>
      <c r="G22" s="4"/>
    </row>
    <row r="23" spans="4:7">
      <c r="D23" s="4"/>
      <c r="E23" s="4"/>
      <c r="F23" s="4"/>
      <c r="G23" s="4"/>
    </row>
    <row r="24" spans="4:7">
      <c r="D24" s="4"/>
      <c r="E24" s="4"/>
      <c r="F24" s="4"/>
      <c r="G24" s="4"/>
    </row>
    <row r="25" spans="4:7">
      <c r="D25" s="4"/>
      <c r="E25" s="4"/>
      <c r="F25" s="4"/>
      <c r="G25" s="4"/>
    </row>
    <row r="26" spans="4:7">
      <c r="D26" s="4"/>
      <c r="E26" s="4"/>
      <c r="F26" s="4"/>
      <c r="G26" s="4"/>
    </row>
    <row r="27" spans="4:7">
      <c r="D27" s="4"/>
      <c r="E27" s="4"/>
      <c r="F27" s="4"/>
      <c r="G27" s="4"/>
    </row>
    <row r="28" spans="4:7">
      <c r="D28" s="4"/>
      <c r="E28" s="4"/>
      <c r="F28" s="4"/>
      <c r="G28" s="4"/>
    </row>
    <row r="29" spans="4:7">
      <c r="D29" s="4"/>
      <c r="E29" s="4"/>
      <c r="F29" s="4"/>
      <c r="G29" s="4"/>
    </row>
    <row r="30" spans="4:7">
      <c r="D30" s="4"/>
      <c r="E30" s="4"/>
      <c r="F30" s="4"/>
      <c r="G30" s="4"/>
    </row>
    <row r="31" spans="4:7">
      <c r="D31" s="4"/>
      <c r="E31" s="4"/>
      <c r="F31" s="4"/>
      <c r="G31" s="4"/>
    </row>
    <row r="32" spans="4:7">
      <c r="D32" s="4"/>
      <c r="E32" s="4"/>
      <c r="F32" s="4"/>
      <c r="G32" s="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4F28C5-3E36-4968-B0CD-1986EB1CCD74}">
  <ds:schemaRefs>
    <ds:schemaRef ds:uri="bb91c991-12d0-4478-8207-ba123b6299cc"/>
    <ds:schemaRef ds:uri="http://schemas.microsoft.com/office/infopath/2007/PartnerControls"/>
    <ds:schemaRef ds:uri="http://schemas.microsoft.com/office/2006/metadata/properties"/>
    <ds:schemaRef ds:uri="http://schemas.microsoft.com/office/2006/documentManagement/types"/>
    <ds:schemaRef ds:uri="http://purl.org/dc/elements/1.1/"/>
    <ds:schemaRef ds:uri="http://purl.org/dc/terms/"/>
    <ds:schemaRef ds:uri="http://purl.org/dc/dcmitype/"/>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2B466F6-23E3-420A-B297-286397AB117A}">
  <ds:schemaRefs>
    <ds:schemaRef ds:uri="http://schemas.microsoft.com/sharepoint/v3/contenttype/forms"/>
  </ds:schemaRefs>
</ds:datastoreItem>
</file>

<file path=customXml/itemProps3.xml><?xml version="1.0" encoding="utf-8"?>
<ds:datastoreItem xmlns:ds="http://schemas.openxmlformats.org/officeDocument/2006/customXml" ds:itemID="{32B781F8-0239-4318-BC25-C621FCF023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How to Use this sheet</vt:lpstr>
      <vt:lpstr>Pin Wise Checklist - RGZ</vt:lpstr>
      <vt:lpstr>RGZ Strap Tool</vt:lpstr>
      <vt:lpstr>Pin Wise Checklist - PAP</vt:lpstr>
      <vt:lpstr>Pic</vt:lpstr>
      <vt:lpstr>PAP Strap Tool</vt:lpstr>
      <vt:lpstr>Revision History</vt:lpstr>
      <vt:lpstr>'Pin Wise Checklist - PAP'!Crystal</vt:lpstr>
      <vt:lpstr>Crystal</vt:lpstr>
      <vt:lpstr>'Pin Wise Checklist - PAP'!CrystalPic</vt:lpstr>
      <vt:lpstr>CrystalPic</vt:lpstr>
      <vt:lpstr>GMII</vt:lpstr>
      <vt:lpstr>MII</vt:lpstr>
      <vt:lpstr>'Pin Wise Checklist - PAP'!Oscillator</vt:lpstr>
      <vt:lpstr>Oscillator</vt:lpstr>
      <vt:lpstr>'Pin Wise Checklist - PAP'!OscillatorPic</vt:lpstr>
      <vt:lpstr>OscillatorPic</vt:lpstr>
      <vt:lpstr>'Pin Wise Checklist - PAP'!RGMII</vt:lpstr>
      <vt:lpstr>RGMII</vt:lpstr>
      <vt:lpstr>'Pin Wise Checklist - PAP'!SGMII</vt:lpstr>
      <vt:lpstr>SGMII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GUNASEKARAN, PAVITHRAN (Consultant)</cp:lastModifiedBy>
  <cp:revision/>
  <dcterms:created xsi:type="dcterms:W3CDTF">2017-11-24T07:37:11Z</dcterms:created>
  <dcterms:modified xsi:type="dcterms:W3CDTF">2024-06-17T12:30:54Z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