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fileSharing readOnlyRecommended="1"/>
  <workbookPr/>
  <mc:AlternateContent xmlns:mc="http://schemas.openxmlformats.org/markup-compatibility/2006">
    <mc:Choice Requires="x15">
      <x15ac:absPath xmlns:x15ac="http://schemas.microsoft.com/office/spreadsheetml/2010/11/ac" url="C:\Users\a0500086\Desktop\Customer Issues\"/>
    </mc:Choice>
  </mc:AlternateContent>
  <xr:revisionPtr revIDLastSave="0" documentId="8_{81FD025F-9AA9-4171-9A05-2DF90FAACC91}" xr6:coauthVersionLast="36" xr6:coauthVersionMax="36" xr10:uidLastSave="{00000000-0000-0000-0000-000000000000}"/>
  <bookViews>
    <workbookView xWindow="0" yWindow="540" windowWidth="16200" windowHeight="9350" tabRatio="782" activeTab="1" xr2:uid="{00000000-000D-0000-FFFF-FFFF00000000}"/>
  </bookViews>
  <sheets>
    <sheet name="How to Use this sheet" sheetId="7" r:id="rId1"/>
    <sheet name="Pin Wise Checklist - RGZ" sheetId="2" r:id="rId2"/>
    <sheet name="RGZ Strap Tool" sheetId="15" r:id="rId3"/>
    <sheet name="Pin Wise Checklist - PAP" sheetId="14" r:id="rId4"/>
    <sheet name="PAP Strap Tool" sheetId="16" r:id="rId5"/>
    <sheet name="Revision History" sheetId="10" r:id="rId6"/>
  </sheets>
  <definedNames>
    <definedName name="Crystal" localSheetId="3">'Pin Wise Checklist - PAP'!$D$91</definedName>
    <definedName name="Crystal">'Pin Wise Checklist - RGZ'!$D$81</definedName>
    <definedName name="CrystalPic" localSheetId="3">'Pin Wise Checklist - PAP'!$D$92</definedName>
    <definedName name="CrystalPic">'Pin Wise Checklist - RGZ'!$D$82</definedName>
    <definedName name="GMII">'Pin Wise Checklist - PAP'!$D$89</definedName>
    <definedName name="MII">'Pin Wise Checklist - PAP'!$D$90</definedName>
    <definedName name="Oscillator" localSheetId="3">'Pin Wise Checklist - PAP'!$D$93</definedName>
    <definedName name="Oscillator">'Pin Wise Checklist - RGZ'!$D$83</definedName>
    <definedName name="OscillatorPic" localSheetId="3">'Pin Wise Checklist - PAP'!$D$94</definedName>
    <definedName name="OscillatorPic">'Pin Wise Checklist - RGZ'!$D$84</definedName>
    <definedName name="Picture" localSheetId="3">INDIRECT('Pin Wise Checklist - PAP'!$B$88)</definedName>
    <definedName name="Picture" localSheetId="1">INDIRECT('Pin Wise Checklist - RGZ'!$B$79)</definedName>
    <definedName name="Picture2" localSheetId="3">INDIRECT('Pin Wise Checklist - PAP'!$B$91)</definedName>
    <definedName name="Picture2" localSheetId="1">INDIRECT('Pin Wise Checklist - RGZ'!$B$81)</definedName>
    <definedName name="Picture3" localSheetId="3">INDIRECT('Pin Wise Checklist - PAP'!$B$92)</definedName>
    <definedName name="Picture3" localSheetId="1">INDIRECT('Pin Wise Checklist - RGZ'!$B$82)</definedName>
    <definedName name="RGMII" localSheetId="3">'Pin Wise Checklist - PAP'!$D$88</definedName>
    <definedName name="RGMII">'Pin Wise Checklist - RGZ'!$D$79</definedName>
    <definedName name="SGMII" localSheetId="3">'Pin Wise Checklist - PAP'!$D$90</definedName>
    <definedName name="SGMII">'Pin Wise Checklist - RGZ'!$D$80</definedName>
  </definedNames>
  <calcPr calcId="191028"/>
</workbook>
</file>

<file path=xl/calcChain.xml><?xml version="1.0" encoding="utf-8"?>
<calcChain xmlns="http://schemas.openxmlformats.org/spreadsheetml/2006/main">
  <c r="D25" i="2" l="1"/>
  <c r="D21" i="14"/>
  <c r="B26" i="14"/>
  <c r="B30" i="2"/>
  <c r="F16" i="15" l="1"/>
  <c r="F9" i="16"/>
  <c r="G9" i="16" s="1"/>
  <c r="F15" i="16"/>
  <c r="H15" i="16" s="1"/>
  <c r="F23" i="16"/>
  <c r="E23" i="16"/>
  <c r="D23" i="16"/>
  <c r="C23" i="16"/>
  <c r="B23" i="16"/>
  <c r="F16" i="16"/>
  <c r="H16" i="16" s="1"/>
  <c r="F14" i="16"/>
  <c r="H14" i="16" s="1"/>
  <c r="F13" i="16"/>
  <c r="G13" i="16" s="1"/>
  <c r="F11" i="16"/>
  <c r="H11" i="16" s="1"/>
  <c r="F12" i="16"/>
  <c r="H12" i="16" s="1"/>
  <c r="F10" i="16"/>
  <c r="G10" i="16" s="1"/>
  <c r="G12" i="16" l="1"/>
  <c r="F7" i="16"/>
  <c r="G7" i="16" s="1"/>
  <c r="H9" i="16"/>
  <c r="G15" i="16"/>
  <c r="F8" i="16"/>
  <c r="G8" i="16" s="1"/>
  <c r="G16" i="16"/>
  <c r="G14" i="16"/>
  <c r="H13" i="16"/>
  <c r="G11" i="16"/>
  <c r="H10" i="16"/>
  <c r="C22" i="15"/>
  <c r="D22" i="15"/>
  <c r="E22" i="15"/>
  <c r="F22" i="15"/>
  <c r="D21" i="15"/>
  <c r="E21" i="15"/>
  <c r="F21" i="15"/>
  <c r="B24" i="15" s="1"/>
  <c r="C21" i="15"/>
  <c r="H16" i="15"/>
  <c r="F15" i="15"/>
  <c r="H15" i="15" s="1"/>
  <c r="F14" i="15"/>
  <c r="H14" i="15" s="1"/>
  <c r="F13" i="15"/>
  <c r="H13" i="15" s="1"/>
  <c r="F12" i="15"/>
  <c r="H12" i="15" s="1"/>
  <c r="F11" i="15"/>
  <c r="H11" i="15" s="1"/>
  <c r="F8" i="15"/>
  <c r="H8" i="15" s="1"/>
  <c r="F7" i="15"/>
  <c r="H7" i="15" s="1"/>
  <c r="C44" i="15"/>
  <c r="D44" i="15" s="1"/>
  <c r="C43" i="15"/>
  <c r="E43" i="15" s="1"/>
  <c r="C42" i="15"/>
  <c r="E42" i="15" s="1"/>
  <c r="C41" i="15"/>
  <c r="E41" i="15" s="1"/>
  <c r="C40" i="15"/>
  <c r="E40" i="15" s="1"/>
  <c r="C39" i="15"/>
  <c r="E39" i="15" s="1"/>
  <c r="C38" i="15"/>
  <c r="E38" i="15" s="1"/>
  <c r="C37" i="15"/>
  <c r="E37" i="15" s="1"/>
  <c r="D50" i="14"/>
  <c r="D49" i="14"/>
  <c r="D48" i="14"/>
  <c r="B50" i="14"/>
  <c r="B48" i="14"/>
  <c r="B49" i="14"/>
  <c r="D47" i="14"/>
  <c r="B47" i="14"/>
  <c r="B46" i="14"/>
  <c r="B45" i="14"/>
  <c r="B44" i="14"/>
  <c r="B43" i="14"/>
  <c r="D29" i="14"/>
  <c r="B29" i="14"/>
  <c r="D44" i="14"/>
  <c r="D45" i="14"/>
  <c r="D46" i="14"/>
  <c r="D43" i="14"/>
  <c r="B88" i="14"/>
  <c r="D26" i="14"/>
  <c r="D28" i="14"/>
  <c r="B28" i="14"/>
  <c r="D31" i="14"/>
  <c r="D32" i="14"/>
  <c r="D33" i="14"/>
  <c r="D30" i="14"/>
  <c r="D27" i="14"/>
  <c r="B33" i="14"/>
  <c r="B32" i="14"/>
  <c r="B31" i="14"/>
  <c r="B30" i="14"/>
  <c r="B27" i="14"/>
  <c r="B92" i="14"/>
  <c r="B91" i="14"/>
  <c r="B15" i="14"/>
  <c r="D14" i="14"/>
  <c r="B82" i="2"/>
  <c r="D35" i="2"/>
  <c r="B81" i="2"/>
  <c r="B19" i="2"/>
  <c r="D18" i="2"/>
  <c r="F9" i="15" l="1"/>
  <c r="F10" i="15"/>
  <c r="G11" i="15"/>
  <c r="H7" i="16"/>
  <c r="H8" i="16"/>
  <c r="D39" i="15"/>
  <c r="C24" i="15"/>
  <c r="E44" i="15"/>
  <c r="G14" i="15"/>
  <c r="D42" i="15"/>
  <c r="D37" i="15"/>
  <c r="G7" i="15"/>
  <c r="D40" i="15"/>
  <c r="G12" i="15"/>
  <c r="D43" i="15"/>
  <c r="G15" i="15"/>
  <c r="D38" i="15"/>
  <c r="G8" i="15"/>
  <c r="D41" i="15"/>
  <c r="G13" i="15"/>
  <c r="G16" i="15"/>
  <c r="D41" i="2"/>
  <c r="B79" i="2"/>
  <c r="H10" i="15" l="1"/>
  <c r="G10" i="15"/>
  <c r="H9" i="15"/>
  <c r="G9" i="15"/>
  <c r="D38" i="2"/>
  <c r="D37" i="2"/>
  <c r="D40" i="2"/>
  <c r="D39" i="2"/>
  <c r="D34" i="2"/>
  <c r="D31" i="2"/>
  <c r="D30" i="2"/>
  <c r="D36" i="2"/>
  <c r="D33" i="2"/>
  <c r="D32" i="2"/>
  <c r="B40" i="2"/>
  <c r="B39" i="2"/>
  <c r="B38" i="2"/>
  <c r="B37" i="2"/>
  <c r="B35" i="2"/>
  <c r="B34" i="2"/>
  <c r="B41" i="2"/>
  <c r="B36" i="2"/>
  <c r="B33" i="2"/>
  <c r="B32" i="2"/>
  <c r="B31" i="2"/>
</calcChain>
</file>

<file path=xl/sharedStrings.xml><?xml version="1.0" encoding="utf-8"?>
<sst xmlns="http://schemas.openxmlformats.org/spreadsheetml/2006/main" count="591" uniqueCount="250">
  <si>
    <t>Purpose</t>
  </si>
  <si>
    <t>Go thru the schematics checklist and ensure your design confirms to our guidelines</t>
  </si>
  <si>
    <t>Go thru the layout checklist and ensure your design confirms to layout guidelines</t>
  </si>
  <si>
    <t>If you still have questions/concerns on your design, fill all the sheets of this document</t>
  </si>
  <si>
    <t>OPTION 1</t>
  </si>
  <si>
    <t>PHY_AD[3]</t>
  </si>
  <si>
    <t>PHY_AD[2]</t>
  </si>
  <si>
    <t>PHY_AD[1]</t>
  </si>
  <si>
    <t>PHY_AD[0]</t>
  </si>
  <si>
    <t>ANEG Disable</t>
  </si>
  <si>
    <t>RGMII Skew RX [2]</t>
  </si>
  <si>
    <t>RGMII Skew RX [1]</t>
  </si>
  <si>
    <t>RGMII Skew RX [0]</t>
  </si>
  <si>
    <t>RGMII Skew TX [2]</t>
  </si>
  <si>
    <t>RGMII Skew TX [1]</t>
  </si>
  <si>
    <t>RGMII Skew TX [0]</t>
  </si>
  <si>
    <t>ANEG SEL</t>
  </si>
  <si>
    <t>Mirror Enable</t>
  </si>
  <si>
    <t>SGMII Enable</t>
  </si>
  <si>
    <t>Strap Resistors</t>
  </si>
  <si>
    <t>Strap Pin</t>
  </si>
  <si>
    <t>Strap Mode</t>
  </si>
  <si>
    <r>
      <t>Recommend Pull up (R</t>
    </r>
    <r>
      <rPr>
        <b/>
        <vertAlign val="subscript"/>
        <sz val="12"/>
        <color theme="1"/>
        <rFont val="Calibri"/>
        <family val="2"/>
        <scheme val="minor"/>
      </rPr>
      <t>H</t>
    </r>
    <r>
      <rPr>
        <b/>
        <sz val="12"/>
        <color theme="1"/>
        <rFont val="Calibri"/>
        <family val="2"/>
        <scheme val="minor"/>
      </rPr>
      <t>)</t>
    </r>
  </si>
  <si>
    <r>
      <t>Recommend Pull Down (R</t>
    </r>
    <r>
      <rPr>
        <b/>
        <vertAlign val="subscript"/>
        <sz val="12"/>
        <color theme="1"/>
        <rFont val="Calibri"/>
        <family val="2"/>
        <scheme val="minor"/>
      </rPr>
      <t>L</t>
    </r>
    <r>
      <rPr>
        <b/>
        <sz val="12"/>
        <color theme="1"/>
        <rFont val="Calibri"/>
        <family val="2"/>
        <scheme val="minor"/>
      </rPr>
      <t>)</t>
    </r>
  </si>
  <si>
    <t>RX_D0</t>
  </si>
  <si>
    <t>RX_D2</t>
  </si>
  <si>
    <t>RX_CTRL</t>
  </si>
  <si>
    <t>GPIO_0</t>
  </si>
  <si>
    <t>GPIO_1</t>
  </si>
  <si>
    <t>LED_2</t>
  </si>
  <si>
    <t>LED_1</t>
  </si>
  <si>
    <t>LED_0</t>
  </si>
  <si>
    <t>OPTION 2</t>
  </si>
  <si>
    <t>Hardware Configuration</t>
  </si>
  <si>
    <t>Feature Select</t>
  </si>
  <si>
    <t>Default Value</t>
  </si>
  <si>
    <t>PHY Address</t>
  </si>
  <si>
    <t>Enable</t>
  </si>
  <si>
    <t>0ns</t>
  </si>
  <si>
    <t>2.0ns</t>
  </si>
  <si>
    <t>10/100/1000</t>
  </si>
  <si>
    <t>Pull up</t>
  </si>
  <si>
    <t>Pull Down</t>
  </si>
  <si>
    <t>PHY ADDRESS</t>
  </si>
  <si>
    <t>Mode 1</t>
  </si>
  <si>
    <t>Open</t>
  </si>
  <si>
    <t>Mode 2</t>
  </si>
  <si>
    <r>
      <t>10k</t>
    </r>
    <r>
      <rPr>
        <sz val="12"/>
        <color theme="1"/>
        <rFont val="Calibri"/>
        <family val="2"/>
      </rPr>
      <t>Ω</t>
    </r>
  </si>
  <si>
    <t>2.49kΩ</t>
  </si>
  <si>
    <t>Mode 3</t>
  </si>
  <si>
    <t>5.76kΩ</t>
  </si>
  <si>
    <t>Mode 4</t>
  </si>
  <si>
    <t>Auto Neg Disable</t>
  </si>
  <si>
    <t>Disable</t>
  </si>
  <si>
    <t>RX SKEW</t>
  </si>
  <si>
    <t>1.5ns</t>
  </si>
  <si>
    <t>1.0ns</t>
  </si>
  <si>
    <t>0.5ns</t>
  </si>
  <si>
    <t>3.5ns</t>
  </si>
  <si>
    <t>3.0ns</t>
  </si>
  <si>
    <t>2.5ns</t>
  </si>
  <si>
    <t>ANEG_SEL _ TX Skew</t>
  </si>
  <si>
    <t>ANEG_SEL</t>
  </si>
  <si>
    <t>100/1000</t>
  </si>
  <si>
    <t>TX SKEW</t>
  </si>
  <si>
    <t>Mirror, SGMII</t>
  </si>
  <si>
    <t>Domain</t>
  </si>
  <si>
    <t>Items</t>
  </si>
  <si>
    <t>Recommended Connection</t>
  </si>
  <si>
    <t>Pictures</t>
  </si>
  <si>
    <t>Power</t>
  </si>
  <si>
    <t>VDDIO</t>
  </si>
  <si>
    <t>19, 30, 41</t>
  </si>
  <si>
    <t>VDDA2P5</t>
  </si>
  <si>
    <t>3, 9</t>
  </si>
  <si>
    <t>VDD1P0</t>
  </si>
  <si>
    <t>6, 24, 31, 42</t>
  </si>
  <si>
    <t>VDDA1P8</t>
  </si>
  <si>
    <t>13, 48</t>
  </si>
  <si>
    <t>GND</t>
  </si>
  <si>
    <t>Ground Pad</t>
  </si>
  <si>
    <t>RBIAS</t>
  </si>
  <si>
    <t xml:space="preserve">Connect a 11kohm 1% tolerance resistor between RBIAS pin and GND. </t>
  </si>
  <si>
    <t>LEDs</t>
  </si>
  <si>
    <t>GPIOs</t>
  </si>
  <si>
    <t>XI</t>
  </si>
  <si>
    <t>Serial Management Interface</t>
  </si>
  <si>
    <t>MDC</t>
  </si>
  <si>
    <t>MDIO</t>
  </si>
  <si>
    <t>Reset</t>
  </si>
  <si>
    <t>RESET_N</t>
  </si>
  <si>
    <t>Active-LOW input. This pin has a weak internal pullup. Asserting this pin LOW for at least 1 μs will force a reset process to occur. All internal registers will reinitialize to their default states as specified for each bit in the datasheet. All bootstrap pins are resampled upon deassertion of reset.</t>
  </si>
  <si>
    <t>Interrupt</t>
  </si>
  <si>
    <t>CLK_OUT</t>
  </si>
  <si>
    <t>Medium Dependent Interface (MDI)</t>
  </si>
  <si>
    <t>TD_P_A
TD_M_A
TD_P_B
TD_M_B
TD_P_C
TD_M_C
TD_P_D
TD_M_D</t>
  </si>
  <si>
    <t>JTAG</t>
  </si>
  <si>
    <t>JTAG_TCK</t>
  </si>
  <si>
    <t>Test Clock. This pin can be left unconnected if not used</t>
  </si>
  <si>
    <t>JTAG_TDO</t>
  </si>
  <si>
    <t>Test Data Output. This pin can be left unconnected if not used</t>
  </si>
  <si>
    <t>JTAG_TMS</t>
  </si>
  <si>
    <t>Test Mode Select. This pin can be left unconnected if not used</t>
  </si>
  <si>
    <t>JTAG_TDI</t>
  </si>
  <si>
    <t>Test Data Input. This pin can be left unconnected if not used</t>
  </si>
  <si>
    <t>Version</t>
  </si>
  <si>
    <t>Date</t>
  </si>
  <si>
    <t>List of Updates</t>
  </si>
  <si>
    <t>Author</t>
  </si>
  <si>
    <t>First Draft</t>
  </si>
  <si>
    <t>Aniruddha Khadye</t>
  </si>
  <si>
    <t>Added second option in strap tool</t>
  </si>
  <si>
    <t>Gerome Cacho</t>
  </si>
  <si>
    <t>IO Supply: 1.8 V, 2.5 V, or 3.3 V
Connect 0.1-µF, 1-µF ceramic decoupling capacitors near each pin; optional ferrite bead.
Connect 10nF, 10µF capacitor as well</t>
  </si>
  <si>
    <t>Analog Supply: 2.5 V
Connect 0.1-µF, 1-µF ceramic decoupling capacitors near each pin; optional ferrite bead.
Connect 10nF, 10µF capacitor as well</t>
  </si>
  <si>
    <t>Analog Supply: 1.0 V
Connect 0.1-µF, 1-µF ceramic decoupling capacitors near each pin; optional ferrite bead.
Connect 10nF, 10µF capacitor as well</t>
  </si>
  <si>
    <t>For 1.8V operation, BJT recommended for level shifting to 3.3V to provide enough forward voltage to turn on diode.
For any configuration requiring intermediate mode strapping, recommended to place voltage divider network parallel to LED with current limiting.</t>
  </si>
  <si>
    <t>GPIO configurable via Reg 0x172. Default COL
All 4 strap modes are applicable.</t>
  </si>
  <si>
    <t>Clock
(Crystal)</t>
  </si>
  <si>
    <t>This pin requires a pullup resistor between 1.5kΩ and 2.2kΩ due to open-drain.
Bidirectional</t>
  </si>
  <si>
    <t>RGMII</t>
  </si>
  <si>
    <t>SGMII</t>
  </si>
  <si>
    <t>1
2
4
5
7
8
10
11</t>
  </si>
  <si>
    <t>Required</t>
  </si>
  <si>
    <t>CLK_OUT is active by default and will output 25MHz clock. The output clock is configurable through register settings and can also be turned off. If unused, leave this pin floating. Suggested test point for quick test if PHY is active</t>
  </si>
  <si>
    <t>GPIO configurable via Reg 0x172. Default RX_ER
Only Mode 1 and 3 straps are applicable. Do not strap into Mode 2 and 4.</t>
  </si>
  <si>
    <t>Pin Associated
(S) if strap pin</t>
  </si>
  <si>
    <t>33
(S)</t>
  </si>
  <si>
    <t>35
(S)</t>
  </si>
  <si>
    <t>38
(S)</t>
  </si>
  <si>
    <t>39
(S)</t>
  </si>
  <si>
    <t>40
(S)</t>
  </si>
  <si>
    <t>45
(S)</t>
  </si>
  <si>
    <t>46
(S)</t>
  </si>
  <si>
    <t>47
(S)</t>
  </si>
  <si>
    <t>Keep option to isolate the digital ground from the MDI connector ground for EMC purposes</t>
  </si>
  <si>
    <t>Strap pin
Active polarity detection and correction depending on strap
Mode 1,2,3 is active high, mode 4 is active low. 
Default function indicates transmit/receive activity</t>
  </si>
  <si>
    <t>Strap pin
Active polarity detection and correction depending on strap
Mode 1,2,3 is active high, mode 4 is active low
Default function indicates 1000BASE-T Link</t>
  </si>
  <si>
    <t>Strap pin
Active polarity detection and correction depending on strap
Mode 1,2,3 is active high, mode 4 is active low
Default function indicates link</t>
  </si>
  <si>
    <t>Optional Analog Supply: 1.8V
In triple supply mode, connect 0.1-µF, 1-µF ceramic decoupling capacitors near each pin; optional ferrite bead. Connect 10nF, 10µF capacitor as well
In dual supply mode, these pins should be left floating. They should not even be connected to each other.</t>
  </si>
  <si>
    <t>Four differential channels for 1Gbps operation/2 channels for 10/100Mbps
Route to magnetics; ensuring that each channel has individual center taps with 100nF decoupling
Magnetics should meet PHY requirements (Insertion Loss, Return Loss, Turns Ratio)</t>
  </si>
  <si>
    <t>Customer Questions 
(If Any)</t>
  </si>
  <si>
    <t>Clock
(Oscillator)</t>
  </si>
  <si>
    <t>23, 41, 57</t>
  </si>
  <si>
    <t>MII</t>
  </si>
  <si>
    <t>GMII</t>
  </si>
  <si>
    <t>TX_D3</t>
  </si>
  <si>
    <t>TX_D2</t>
  </si>
  <si>
    <t>TX_D1</t>
  </si>
  <si>
    <t>TX_D0</t>
  </si>
  <si>
    <t>Transmit Data</t>
  </si>
  <si>
    <t>RX_CLK</t>
  </si>
  <si>
    <t>Receive Clock
2.5MHz for 10Mbps, 25MHz for 100Mbps, 125MHz for 1000Mbps</t>
  </si>
  <si>
    <t>RX_D1</t>
  </si>
  <si>
    <t>RX_D3</t>
  </si>
  <si>
    <t>Receive Data</t>
  </si>
  <si>
    <t>RX_D4</t>
  </si>
  <si>
    <t>RX_D5</t>
  </si>
  <si>
    <t>RX_D6</t>
  </si>
  <si>
    <t>RX_D7</t>
  </si>
  <si>
    <t>INT_N/PWDN</t>
  </si>
  <si>
    <t>Power Down</t>
  </si>
  <si>
    <t>2
3
5
6
10
11
13
14</t>
  </si>
  <si>
    <t>4, 12</t>
  </si>
  <si>
    <t>VDD1P1</t>
  </si>
  <si>
    <t>Analog Supply: 1.1 V
Connect 0.1-µF, 1-µF ceramic decoupling capacitors near each pin; optional ferrite bead.
Connect 10nF, 10µF capacitor as well</t>
  </si>
  <si>
    <t>8, 29, 42, 58</t>
  </si>
  <si>
    <t>17, 64</t>
  </si>
  <si>
    <t>44
(S)</t>
  </si>
  <si>
    <t>48
(S)</t>
  </si>
  <si>
    <t>49
(S)</t>
  </si>
  <si>
    <t>50
(S)</t>
  </si>
  <si>
    <t>51
(S)</t>
  </si>
  <si>
    <t>53
(S)</t>
  </si>
  <si>
    <t>56
(S)</t>
  </si>
  <si>
    <t>62
(S)</t>
  </si>
  <si>
    <t>63
(S)</t>
  </si>
  <si>
    <t>Customer Input</t>
  </si>
  <si>
    <t>Serial Management Interface (SMI)</t>
  </si>
  <si>
    <t>Connect to host driving the SMI clock for PHY register programming. No pullup required
Input to PHY</t>
  </si>
  <si>
    <t>Reg 0x6E</t>
  </si>
  <si>
    <t>Reg 0x6F</t>
  </si>
  <si>
    <t>A</t>
  </si>
  <si>
    <t>B</t>
  </si>
  <si>
    <t>C</t>
  </si>
  <si>
    <t>D</t>
  </si>
  <si>
    <t>E</t>
  </si>
  <si>
    <t>F</t>
  </si>
  <si>
    <t>Hex to Bin 6E</t>
  </si>
  <si>
    <t>Hex to Bin 6F</t>
  </si>
  <si>
    <t>Auto-MDIX
MAC Interface</t>
  </si>
  <si>
    <t>MDI/X (Don't Care if Auto-MDIX enabled)
Duplex (Don't Care if Auto-Negotiation enabled)</t>
  </si>
  <si>
    <t>Auto-Negotiation</t>
  </si>
  <si>
    <t>RX_CTRL/RX_DV</t>
  </si>
  <si>
    <t>Fast Link Drop</t>
  </si>
  <si>
    <t>CRS</t>
  </si>
  <si>
    <t>Auto-Negotiation Advertisements 
(Don't Care if Auto-Negotiation is disabled)</t>
  </si>
  <si>
    <t>Port Mirroring</t>
  </si>
  <si>
    <t>Enabled</t>
  </si>
  <si>
    <t>MDI
Full Duplex</t>
  </si>
  <si>
    <t>MDI
Half Duplex</t>
  </si>
  <si>
    <t>MDIX
Full Duplex</t>
  </si>
  <si>
    <t>MDIX
Half Duplex</t>
  </si>
  <si>
    <t>Enabled
RGMII</t>
  </si>
  <si>
    <t>Disabled
RGMII</t>
  </si>
  <si>
    <t>Enabled
GMII</t>
  </si>
  <si>
    <t>Disabled
GMII</t>
  </si>
  <si>
    <t>Speed Optimization (0x14[9])
CLK OUT (0x170[6])</t>
  </si>
  <si>
    <t>Disabled
Enabled</t>
  </si>
  <si>
    <t>Disabled
Disabled</t>
  </si>
  <si>
    <t>Enabled
Disabled</t>
  </si>
  <si>
    <t>Enabled
Enabled</t>
  </si>
  <si>
    <t>Disabled</t>
  </si>
  <si>
    <t>10/100</t>
  </si>
  <si>
    <t>Bit4</t>
  </si>
  <si>
    <t>Bit3</t>
  </si>
  <si>
    <t>Bit2</t>
  </si>
  <si>
    <t>Bit1</t>
  </si>
  <si>
    <t>BIT0</t>
  </si>
  <si>
    <r>
      <t xml:space="preserve">RESERVED
</t>
    </r>
    <r>
      <rPr>
        <b/>
        <sz val="12"/>
        <color theme="1"/>
        <rFont val="Calibri"/>
        <family val="2"/>
        <scheme val="minor"/>
      </rPr>
      <t>Must strap to mode 3 or 4</t>
    </r>
  </si>
  <si>
    <r>
      <t xml:space="preserve">Enable
</t>
    </r>
    <r>
      <rPr>
        <b/>
        <sz val="12"/>
        <color theme="1"/>
        <rFont val="Calibri"/>
        <family val="2"/>
        <scheme val="minor"/>
      </rPr>
      <t>Must strap into Mode 3 or 4</t>
    </r>
  </si>
  <si>
    <t>Auto-Negotiation Advertisements</t>
  </si>
  <si>
    <t>RGMII RX Clock Skew
(N/A if using MII or SGMII)</t>
  </si>
  <si>
    <t>RGMII TX Clock Skew
(N/A if using MII or SGMII)</t>
  </si>
  <si>
    <t>Mirror Mode
MAC Interface</t>
  </si>
  <si>
    <t>Mirror Disable
RGMII</t>
  </si>
  <si>
    <t>Mirror Disable
SGMII</t>
  </si>
  <si>
    <t>Mirror Enable
RGMII</t>
  </si>
  <si>
    <t>Mirror Enable
SGMII</t>
  </si>
  <si>
    <t>Customer Questions</t>
  </si>
  <si>
    <t>Create your design using TI PHY, referencing datasheet, EVM, and reference designs (if applicable)</t>
  </si>
  <si>
    <t>Design Process</t>
  </si>
  <si>
    <t>Use EVM design files along with Layout User Guidelines for layout</t>
  </si>
  <si>
    <t>Section Instructions</t>
  </si>
  <si>
    <t>Pin Wise Checklist - XXX</t>
  </si>
  <si>
    <t>This sheet also provides checking for multiple configurations of clock and MAC interface. All configurable cells with dropdowns are painted in orange.</t>
  </si>
  <si>
    <t>TI Feedback</t>
  </si>
  <si>
    <t>This sheet provides recommended connection for each pin. Please enter your inputs in Column "G" with yes and no via dropdown menu. If menu is not immediately seen, you may either type "yes" or "no" or click to right of cell to toggle dropdown. This will clear the yellow cell fill. If you have any questions, please write them in column "H"</t>
  </si>
  <si>
    <t>This sheet provides recommended strap network for each strap pin</t>
  </si>
  <si>
    <t>Added PAP package support; Refreshed RGZ support
Introduced SGMII Strap Load balancing</t>
  </si>
  <si>
    <t>For option 1, please input the desired configuration via drop-down menu in orange</t>
  </si>
  <si>
    <t>The desired strap configuration for the relevant pins would be revealed in green cell</t>
  </si>
  <si>
    <t>XXX Strap Tool</t>
  </si>
  <si>
    <t>General</t>
  </si>
  <si>
    <t>For option 2 (if applicable), please input 1 or 0 into desired field in blue</t>
  </si>
  <si>
    <t>The purpose of Ethernet Customer Design Process is to ensure that your board follows the guidelines provided by TI. This document is intended to enable customer-led schematic reviews using the knowledge base of TI's Ethernet team in the form of the best practices guidelines in the following sheets.</t>
  </si>
  <si>
    <t>If there are any concerns, typos, or questions about the functionality of this excel document. Please feel free to contact your local TI contact.</t>
  </si>
  <si>
    <t>Submit to your FAE or on E2E.ti.com to review with all information complete</t>
  </si>
  <si>
    <t>We recommend 1M and 4700pF instead of 8M and 10nF.</t>
  </si>
  <si>
    <t xml:space="preserve">Im unsure if 1-2301994-1 fits the recommended specification. The datasheet said this magnetics is for 10/100 operation but clearly the schematic shows 8 ports so this is for 1000 operation.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</si>
</sst>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vertAlign val="subscript"/>
      <sz val="12"/>
      <color theme="1"/>
      <name val="Calibri"/>
      <family val="2"/>
      <scheme val="minor"/>
    </font>
    <font>
      <sz val="12"/>
      <color theme="1"/>
      <name val="Calibri"/>
      <family val="2"/>
    </font>
  </fonts>
  <fills count="13">
    <fill>
      <patternFill patternType="none"/>
    </fill>
    <fill>
      <patternFill patternType="gray125"/>
    </fill>
    <fill>
      <patternFill patternType="solid">
        <fgColor rgb="FFFFFF00"/>
        <bgColor indexed="64"/>
      </patternFill>
    </fill>
    <fill>
      <patternFill patternType="solid">
        <fgColor theme="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59999389629810485"/>
        <bgColor indexed="64"/>
      </patternFill>
    </fill>
    <fill>
      <patternFill patternType="solid">
        <fgColor rgb="FFFFFF66"/>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DFF0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3">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2" fillId="0" borderId="0"/>
    <xf numFmtId="0" fontId="1" fillId="0" borderId="0"/>
  </cellStyleXfs>
  <cellXfs count="102">
    <xf numFmtId="0" fontId="0" fillId="0" borderId="0" xfId="0"/>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8" fillId="0" borderId="0" xfId="0" applyFont="1"/>
    <xf numFmtId="0" fontId="0" fillId="0" borderId="1" xfId="0" applyBorder="1" applyAlignment="1">
      <alignment horizontal="center"/>
    </xf>
    <xf numFmtId="0" fontId="8" fillId="0" borderId="0" xfId="0" applyFont="1" applyAlignment="1">
      <alignment vertical="center" wrapText="1"/>
    </xf>
    <xf numFmtId="0" fontId="8" fillId="0" borderId="0" xfId="0" applyFont="1" applyAlignment="1">
      <alignment wrapText="1"/>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6" borderId="1" xfId="0" applyFill="1" applyBorder="1" applyAlignment="1">
      <alignment horizontal="center" vertical="center"/>
    </xf>
    <xf numFmtId="0" fontId="0" fillId="0" borderId="1" xfId="0" applyBorder="1" applyAlignment="1">
      <alignment wrapText="1"/>
    </xf>
    <xf numFmtId="0" fontId="0" fillId="0" borderId="0" xfId="0" applyAlignment="1">
      <alignment wrapText="1"/>
    </xf>
    <xf numFmtId="0" fontId="3" fillId="0" borderId="1" xfId="0" applyFont="1" applyBorder="1" applyAlignment="1">
      <alignment wrapText="1"/>
    </xf>
    <xf numFmtId="0" fontId="0" fillId="7" borderId="1" xfId="0" applyFill="1" applyBorder="1" applyAlignment="1">
      <alignment horizontal="center"/>
    </xf>
    <xf numFmtId="0" fontId="3" fillId="8" borderId="1" xfId="0" applyFont="1" applyFill="1" applyBorder="1" applyAlignment="1">
      <alignment wrapText="1"/>
    </xf>
    <xf numFmtId="0" fontId="0" fillId="4" borderId="1" xfId="0" applyFill="1" applyBorder="1" applyAlignment="1">
      <alignment wrapText="1"/>
    </xf>
    <xf numFmtId="14" fontId="0" fillId="0" borderId="1" xfId="0" applyNumberFormat="1" applyBorder="1" applyAlignment="1">
      <alignment horizontal="center"/>
    </xf>
    <xf numFmtId="0" fontId="0" fillId="2" borderId="1" xfId="0" applyFill="1" applyBorder="1" applyAlignment="1">
      <alignment horizontal="center"/>
    </xf>
    <xf numFmtId="0" fontId="0" fillId="0" borderId="1" xfId="0" applyBorder="1" applyAlignment="1">
      <alignment vertical="center"/>
    </xf>
    <xf numFmtId="0" fontId="0" fillId="9" borderId="1" xfId="0" applyFill="1" applyBorder="1" applyAlignment="1">
      <alignment horizontal="center" vertical="center"/>
    </xf>
    <xf numFmtId="0" fontId="0" fillId="0" borderId="0" xfId="0" applyBorder="1"/>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vertical="center"/>
    </xf>
    <xf numFmtId="0" fontId="0" fillId="12" borderId="1" xfId="0" applyFill="1" applyBorder="1" applyAlignment="1">
      <alignment horizontal="center" vertical="center" wrapText="1"/>
    </xf>
    <xf numFmtId="0" fontId="0" fillId="0" borderId="1" xfId="0" applyFill="1" applyBorder="1" applyAlignment="1">
      <alignment horizontal="center" vertical="center"/>
    </xf>
    <xf numFmtId="0" fontId="0" fillId="9" borderId="1" xfId="0" applyFill="1" applyBorder="1" applyAlignment="1">
      <alignment vertical="center" wrapText="1"/>
    </xf>
    <xf numFmtId="0" fontId="0" fillId="0" borderId="1" xfId="0" applyBorder="1" applyAlignment="1" applyProtection="1">
      <alignment horizontal="center" vertical="center" wrapText="1"/>
    </xf>
    <xf numFmtId="0" fontId="0" fillId="0" borderId="1" xfId="0" applyBorder="1" applyAlignment="1">
      <alignment horizontal="center" vertical="center" wrapText="1"/>
    </xf>
    <xf numFmtId="0" fontId="0" fillId="9" borderId="1" xfId="0" applyFill="1" applyBorder="1" applyAlignment="1">
      <alignment horizontal="center" vertical="center"/>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9" borderId="1" xfId="0" applyFill="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wrapText="1"/>
    </xf>
    <xf numFmtId="0" fontId="0" fillId="0" borderId="0" xfId="0" applyAlignment="1">
      <alignment horizontal="center"/>
    </xf>
    <xf numFmtId="0" fontId="0" fillId="0" borderId="1" xfId="0" applyBorder="1" applyAlignment="1">
      <alignment horizontal="center" vertical="center" wrapText="1"/>
    </xf>
    <xf numFmtId="0" fontId="0" fillId="11" borderId="1" xfId="0" applyFill="1" applyBorder="1" applyAlignment="1">
      <alignment horizontal="center" vertical="center"/>
    </xf>
    <xf numFmtId="0" fontId="3" fillId="0" borderId="0" xfId="0" applyFont="1" applyBorder="1" applyAlignment="1">
      <alignment horizontal="center" wrapText="1"/>
    </xf>
    <xf numFmtId="0" fontId="0" fillId="0" borderId="0" xfId="0" applyFill="1" applyBorder="1" applyAlignment="1">
      <alignment horizontal="center" wrapText="1"/>
    </xf>
    <xf numFmtId="0" fontId="0" fillId="2" borderId="1" xfId="0" applyFill="1" applyBorder="1"/>
    <xf numFmtId="0" fontId="3" fillId="8" borderId="1" xfId="0" applyFont="1" applyFill="1" applyBorder="1" applyAlignment="1">
      <alignment horizontal="center" wrapText="1"/>
    </xf>
    <xf numFmtId="0" fontId="0" fillId="11" borderId="0" xfId="0" applyFill="1" applyBorder="1" applyAlignment="1">
      <alignment horizontal="center" wrapText="1"/>
    </xf>
    <xf numFmtId="0" fontId="3" fillId="0" borderId="1" xfId="0" applyFont="1" applyBorder="1" applyAlignment="1">
      <alignment horizontal="center" vertical="center" wrapText="1"/>
    </xf>
    <xf numFmtId="0" fontId="3" fillId="8" borderId="1" xfId="0" applyFont="1" applyFill="1" applyBorder="1" applyAlignment="1">
      <alignment horizontal="center" vertical="center" wrapText="1"/>
    </xf>
    <xf numFmtId="0" fontId="0" fillId="4" borderId="1" xfId="0" applyFill="1" applyBorder="1" applyAlignment="1">
      <alignment horizontal="center" vertical="center" wrapText="1"/>
    </xf>
    <xf numFmtId="0" fontId="0" fillId="11" borderId="1" xfId="0" applyFill="1" applyBorder="1" applyAlignment="1">
      <alignment horizontal="center" vertical="center" wrapText="1"/>
    </xf>
    <xf numFmtId="0" fontId="3" fillId="0" borderId="2"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0" xfId="0" applyAlignment="1"/>
    <xf numFmtId="0" fontId="0" fillId="4" borderId="1" xfId="0" applyFill="1" applyBorder="1" applyAlignment="1">
      <alignment horizontal="center"/>
    </xf>
    <xf numFmtId="0" fontId="8" fillId="0" borderId="1" xfId="0" applyFont="1" applyBorder="1"/>
    <xf numFmtId="0" fontId="8" fillId="0" borderId="1" xfId="0" applyFont="1" applyBorder="1" applyAlignment="1">
      <alignment wrapText="1"/>
    </xf>
    <xf numFmtId="0" fontId="8" fillId="0" borderId="1" xfId="0" applyFont="1" applyBorder="1" applyAlignment="1">
      <alignment horizontal="left" vertical="center" wrapText="1"/>
    </xf>
    <xf numFmtId="0" fontId="7" fillId="0" borderId="1" xfId="0" applyFont="1" applyFill="1" applyBorder="1" applyAlignment="1">
      <alignment horizontal="left" vertical="center"/>
    </xf>
    <xf numFmtId="0" fontId="8" fillId="0" borderId="0" xfId="0" applyFont="1" applyFill="1" applyAlignment="1">
      <alignment horizontal="left" vertical="center"/>
    </xf>
    <xf numFmtId="0" fontId="8" fillId="0" borderId="0" xfId="0" applyFont="1" applyAlignment="1">
      <alignment horizontal="left" vertical="center"/>
    </xf>
    <xf numFmtId="0" fontId="8" fillId="0" borderId="1" xfId="0" applyFont="1" applyBorder="1" applyAlignment="1">
      <alignment horizontal="left" vertical="center"/>
    </xf>
    <xf numFmtId="0" fontId="8" fillId="0" borderId="1" xfId="0" applyFont="1" applyFill="1" applyBorder="1" applyAlignment="1">
      <alignment horizontal="left" vertical="center"/>
    </xf>
    <xf numFmtId="0" fontId="7" fillId="0" borderId="0" xfId="0" applyFont="1" applyFill="1" applyAlignment="1">
      <alignment horizontal="left" vertical="center"/>
    </xf>
    <xf numFmtId="0" fontId="8" fillId="2" borderId="1" xfId="0" applyFont="1" applyFill="1" applyBorder="1" applyAlignment="1">
      <alignment horizontal="left" vertical="center" wrapText="1"/>
    </xf>
    <xf numFmtId="0" fontId="8" fillId="11" borderId="1" xfId="0" applyFont="1" applyFill="1" applyBorder="1" applyAlignment="1">
      <alignment horizontal="left" vertical="center" wrapText="1"/>
    </xf>
    <xf numFmtId="0" fontId="8" fillId="4" borderId="1" xfId="0" applyFont="1" applyFill="1" applyBorder="1" applyAlignment="1">
      <alignment horizontal="left" vertical="center" wrapText="1"/>
    </xf>
    <xf numFmtId="0" fontId="0" fillId="0" borderId="0" xfId="0" applyBorder="1" applyAlignment="1">
      <alignment wrapText="1"/>
    </xf>
    <xf numFmtId="0" fontId="3" fillId="5" borderId="1" xfId="0" applyFont="1" applyFill="1" applyBorder="1" applyAlignment="1">
      <alignment horizontal="center" vertical="center" wrapText="1"/>
    </xf>
    <xf numFmtId="0" fontId="3" fillId="5" borderId="1" xfId="0" applyFont="1" applyFill="1" applyBorder="1" applyAlignment="1">
      <alignment vertical="center" wrapText="1"/>
    </xf>
    <xf numFmtId="0" fontId="8" fillId="7" borderId="1" xfId="0" applyFont="1" applyFill="1" applyBorder="1" applyAlignment="1">
      <alignment horizontal="left" vertical="center" wrapText="1"/>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 fillId="0" borderId="4" xfId="0" applyFont="1" applyFill="1" applyBorder="1" applyAlignment="1">
      <alignment horizontal="left" vertical="center"/>
    </xf>
    <xf numFmtId="0" fontId="0" fillId="9" borderId="1" xfId="0" applyFill="1" applyBorder="1" applyAlignment="1">
      <alignment horizontal="center" vertical="center"/>
    </xf>
    <xf numFmtId="0" fontId="0" fillId="10" borderId="0" xfId="0" applyFill="1" applyBorder="1" applyAlignment="1">
      <alignment horizontal="center" vertical="center"/>
    </xf>
    <xf numFmtId="0" fontId="0" fillId="11" borderId="2" xfId="0" applyFill="1" applyBorder="1" applyAlignment="1">
      <alignment horizontal="center" vertical="center"/>
    </xf>
    <xf numFmtId="0" fontId="0" fillId="11" borderId="3" xfId="0" applyFill="1" applyBorder="1" applyAlignment="1">
      <alignment horizontal="center" vertical="center"/>
    </xf>
    <xf numFmtId="0" fontId="0" fillId="11" borderId="4" xfId="0"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wrapText="1"/>
    </xf>
    <xf numFmtId="0" fontId="0" fillId="9" borderId="1" xfId="0" applyFill="1"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vertical="center"/>
    </xf>
    <xf numFmtId="0" fontId="0" fillId="11" borderId="1" xfId="0" applyFill="1" applyBorder="1" applyAlignment="1">
      <alignment horizontal="center" vertical="center" wrapText="1"/>
    </xf>
    <xf numFmtId="0" fontId="0" fillId="11" borderId="1" xfId="0" applyFill="1" applyBorder="1" applyAlignment="1">
      <alignment horizontal="center" vertical="center"/>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0" fillId="11" borderId="2"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4" xfId="0" applyFill="1" applyBorder="1" applyAlignment="1">
      <alignment horizontal="center" vertical="center" wrapText="1"/>
    </xf>
    <xf numFmtId="0" fontId="0" fillId="0" borderId="0" xfId="0" applyAlignment="1">
      <alignment horizontal="center"/>
    </xf>
    <xf numFmtId="0" fontId="3" fillId="3" borderId="5" xfId="0" applyFont="1" applyFill="1" applyBorder="1" applyAlignment="1">
      <alignment horizontal="center"/>
    </xf>
    <xf numFmtId="0" fontId="3" fillId="3" borderId="6" xfId="0" applyFont="1" applyFill="1" applyBorder="1" applyAlignment="1">
      <alignment horizont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9" borderId="2" xfId="0" applyFill="1" applyBorder="1" applyAlignment="1">
      <alignment horizontal="center" vertical="center"/>
    </xf>
    <xf numFmtId="0" fontId="0" fillId="9" borderId="4" xfId="0" applyFill="1" applyBorder="1" applyAlignment="1">
      <alignment horizontal="center" vertical="center"/>
    </xf>
  </cellXfs>
  <cellStyles count="23">
    <cellStyle name="Followed Hyperlink" xfId="10" builtinId="9" hidden="1"/>
    <cellStyle name="Followed Hyperlink" xfId="12" builtinId="9" hidden="1"/>
    <cellStyle name="Followed Hyperlink" xfId="16" builtinId="9" hidden="1"/>
    <cellStyle name="Followed Hyperlink" xfId="18" builtinId="9" hidden="1"/>
    <cellStyle name="Followed Hyperlink" xfId="20" builtinId="9" hidden="1"/>
    <cellStyle name="Followed Hyperlink" xfId="14" builtinId="9" hidden="1"/>
    <cellStyle name="Followed Hyperlink" xfId="6" builtinId="9" hidden="1"/>
    <cellStyle name="Followed Hyperlink" xfId="8" builtinId="9" hidden="1"/>
    <cellStyle name="Followed Hyperlink" xfId="4" builtinId="9" hidden="1"/>
    <cellStyle name="Followed Hyperlink" xfId="2" builtinId="9" hidden="1"/>
    <cellStyle name="Hyperlink" xfId="15" builtinId="8" hidden="1"/>
    <cellStyle name="Hyperlink" xfId="17" builtinId="8" hidden="1"/>
    <cellStyle name="Hyperlink" xfId="19" builtinId="8" hidden="1"/>
    <cellStyle name="Hyperlink" xfId="13" builtinId="8" hidden="1"/>
    <cellStyle name="Hyperlink" xfId="7" builtinId="8" hidden="1"/>
    <cellStyle name="Hyperlink" xfId="9" builtinId="8" hidden="1"/>
    <cellStyle name="Hyperlink" xfId="11" builtinId="8" hidden="1"/>
    <cellStyle name="Hyperlink" xfId="3" builtinId="8" hidden="1"/>
    <cellStyle name="Hyperlink" xfId="5" builtinId="8" hidden="1"/>
    <cellStyle name="Hyperlink" xfId="1" builtinId="8" hidden="1"/>
    <cellStyle name="Normal" xfId="0" builtinId="0"/>
    <cellStyle name="Normal 2" xfId="21" xr:uid="{00000000-0005-0000-0000-000016000000}"/>
    <cellStyle name="Normal 2 2" xfId="22" xr:uid="{00000000-0005-0000-0000-00001600000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Medium7"/>
  <colors>
    <mruColors>
      <color rgb="FFFD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emf"/><Relationship Id="rId17" Type="http://schemas.openxmlformats.org/officeDocument/2006/relationships/image" Target="../media/image20.png"/><Relationship Id="rId2" Type="http://schemas.openxmlformats.org/officeDocument/2006/relationships/image" Target="../media/image5.emf"/><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emf"/><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2.png"/><Relationship Id="rId3" Type="http://schemas.openxmlformats.org/officeDocument/2006/relationships/image" Target="../media/image6.png"/><Relationship Id="rId21" Type="http://schemas.openxmlformats.org/officeDocument/2006/relationships/image" Target="../media/image34.png"/><Relationship Id="rId7" Type="http://schemas.openxmlformats.org/officeDocument/2006/relationships/image" Target="../media/image10.png"/><Relationship Id="rId12" Type="http://schemas.openxmlformats.org/officeDocument/2006/relationships/image" Target="../media/image31.emf"/><Relationship Id="rId17" Type="http://schemas.openxmlformats.org/officeDocument/2006/relationships/image" Target="../media/image21.png"/><Relationship Id="rId2" Type="http://schemas.openxmlformats.org/officeDocument/2006/relationships/image" Target="../media/image30.emf"/><Relationship Id="rId16" Type="http://schemas.openxmlformats.org/officeDocument/2006/relationships/image" Target="../media/image20.png"/><Relationship Id="rId20" Type="http://schemas.openxmlformats.org/officeDocument/2006/relationships/image" Target="../media/image3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6.png"/><Relationship Id="rId5" Type="http://schemas.openxmlformats.org/officeDocument/2006/relationships/image" Target="../media/image8.png"/><Relationship Id="rId15" Type="http://schemas.openxmlformats.org/officeDocument/2006/relationships/image" Target="../media/image19.png"/><Relationship Id="rId23" Type="http://schemas.openxmlformats.org/officeDocument/2006/relationships/image" Target="../media/image25.png"/><Relationship Id="rId10" Type="http://schemas.openxmlformats.org/officeDocument/2006/relationships/image" Target="../media/image13.png"/><Relationship Id="rId19" Type="http://schemas.openxmlformats.org/officeDocument/2006/relationships/image" Target="../media/image2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32.emf"/><Relationship Id="rId22"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6.emf"/><Relationship Id="rId1" Type="http://schemas.openxmlformats.org/officeDocument/2006/relationships/image" Target="../media/image35.emf"/></Relationships>
</file>

<file path=xl/drawings/drawing1.xml><?xml version="1.0" encoding="utf-8"?>
<xdr:wsDr xmlns:xdr="http://schemas.openxmlformats.org/drawingml/2006/spreadsheetDrawing" xmlns:a="http://schemas.openxmlformats.org/drawingml/2006/main">
  <xdr:twoCellAnchor editAs="oneCell">
    <xdr:from>
      <xdr:col>4</xdr:col>
      <xdr:colOff>56029</xdr:colOff>
      <xdr:row>11</xdr:row>
      <xdr:rowOff>212913</xdr:rowOff>
    </xdr:from>
    <xdr:to>
      <xdr:col>5</xdr:col>
      <xdr:colOff>821302</xdr:colOff>
      <xdr:row>13</xdr:row>
      <xdr:rowOff>137127</xdr:rowOff>
    </xdr:to>
    <xdr:pic>
      <xdr:nvPicPr>
        <xdr:cNvPr id="2" name="Picture 1">
          <a:extLst>
            <a:ext uri="{FF2B5EF4-FFF2-40B4-BE49-F238E27FC236}">
              <a16:creationId xmlns:a16="http://schemas.microsoft.com/office/drawing/2014/main" id="{D636FC23-9C78-4574-9249-6770CA890C47}"/>
            </a:ext>
          </a:extLst>
        </xdr:cNvPr>
        <xdr:cNvPicPr>
          <a:picLocks noChangeAspect="1"/>
        </xdr:cNvPicPr>
      </xdr:nvPicPr>
      <xdr:blipFill>
        <a:blip xmlns:r="http://schemas.openxmlformats.org/officeDocument/2006/relationships" r:embed="rId1"/>
        <a:stretch>
          <a:fillRect/>
        </a:stretch>
      </xdr:blipFill>
      <xdr:spPr>
        <a:xfrm>
          <a:off x="15318441" y="3787589"/>
          <a:ext cx="1601904" cy="2059047"/>
        </a:xfrm>
        <a:prstGeom prst="rect">
          <a:avLst/>
        </a:prstGeom>
      </xdr:spPr>
    </xdr:pic>
    <xdr:clientData/>
  </xdr:twoCellAnchor>
  <xdr:twoCellAnchor editAs="oneCell">
    <xdr:from>
      <xdr:col>4</xdr:col>
      <xdr:colOff>33618</xdr:colOff>
      <xdr:row>14</xdr:row>
      <xdr:rowOff>381000</xdr:rowOff>
    </xdr:from>
    <xdr:to>
      <xdr:col>9</xdr:col>
      <xdr:colOff>98079</xdr:colOff>
      <xdr:row>17</xdr:row>
      <xdr:rowOff>60486</xdr:rowOff>
    </xdr:to>
    <xdr:pic>
      <xdr:nvPicPr>
        <xdr:cNvPr id="3" name="Picture 2">
          <a:extLst>
            <a:ext uri="{FF2B5EF4-FFF2-40B4-BE49-F238E27FC236}">
              <a16:creationId xmlns:a16="http://schemas.microsoft.com/office/drawing/2014/main" id="{A4931C25-68B7-4F84-96DB-45E3AF2D3978}"/>
            </a:ext>
          </a:extLst>
        </xdr:cNvPr>
        <xdr:cNvPicPr>
          <a:picLocks noChangeAspect="1"/>
        </xdr:cNvPicPr>
      </xdr:nvPicPr>
      <xdr:blipFill>
        <a:blip xmlns:r="http://schemas.openxmlformats.org/officeDocument/2006/relationships" r:embed="rId2"/>
        <a:stretch>
          <a:fillRect/>
        </a:stretch>
      </xdr:blipFill>
      <xdr:spPr>
        <a:xfrm>
          <a:off x="14903824" y="6308912"/>
          <a:ext cx="4262857" cy="1095238"/>
        </a:xfrm>
        <a:prstGeom prst="rect">
          <a:avLst/>
        </a:prstGeom>
      </xdr:spPr>
    </xdr:pic>
    <xdr:clientData/>
  </xdr:twoCellAnchor>
  <xdr:twoCellAnchor editAs="oneCell">
    <xdr:from>
      <xdr:col>4</xdr:col>
      <xdr:colOff>33617</xdr:colOff>
      <xdr:row>17</xdr:row>
      <xdr:rowOff>44824</xdr:rowOff>
    </xdr:from>
    <xdr:to>
      <xdr:col>7</xdr:col>
      <xdr:colOff>74199</xdr:colOff>
      <xdr:row>18</xdr:row>
      <xdr:rowOff>362749</xdr:rowOff>
    </xdr:to>
    <xdr:pic>
      <xdr:nvPicPr>
        <xdr:cNvPr id="4" name="Picture 3">
          <a:extLst>
            <a:ext uri="{FF2B5EF4-FFF2-40B4-BE49-F238E27FC236}">
              <a16:creationId xmlns:a16="http://schemas.microsoft.com/office/drawing/2014/main" id="{4BF93A7F-D915-4201-8481-B6B4783330E4}"/>
            </a:ext>
          </a:extLst>
        </xdr:cNvPr>
        <xdr:cNvPicPr>
          <a:picLocks noChangeAspect="1"/>
        </xdr:cNvPicPr>
      </xdr:nvPicPr>
      <xdr:blipFill>
        <a:blip xmlns:r="http://schemas.openxmlformats.org/officeDocument/2006/relationships" r:embed="rId3"/>
        <a:stretch>
          <a:fillRect/>
        </a:stretch>
      </xdr:blipFill>
      <xdr:spPr>
        <a:xfrm>
          <a:off x="14903823" y="7384677"/>
          <a:ext cx="2561905" cy="7790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1251859</xdr:colOff>
      <xdr:row>6</xdr:row>
      <xdr:rowOff>94885</xdr:rowOff>
    </xdr:from>
    <xdr:to>
      <xdr:col>4</xdr:col>
      <xdr:colOff>3940651</xdr:colOff>
      <xdr:row>6</xdr:row>
      <xdr:rowOff>2074000</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stretch>
          <a:fillRect/>
        </a:stretch>
      </xdr:blipFill>
      <xdr:spPr>
        <a:xfrm>
          <a:off x="10817680" y="12831171"/>
          <a:ext cx="2688792" cy="19734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74615</xdr:colOff>
          <xdr:row>17</xdr:row>
          <xdr:rowOff>1857946</xdr:rowOff>
        </xdr:from>
        <xdr:to>
          <xdr:col>4</xdr:col>
          <xdr:colOff>5050267</xdr:colOff>
          <xdr:row>18</xdr:row>
          <xdr:rowOff>1888079</xdr:rowOff>
        </xdr:to>
        <xdr:pic>
          <xdr:nvPicPr>
            <xdr:cNvPr id="23" name="Picture 22">
              <a:extLst>
                <a:ext uri="{FF2B5EF4-FFF2-40B4-BE49-F238E27FC236}">
                  <a16:creationId xmlns:a16="http://schemas.microsoft.com/office/drawing/2014/main" id="{00000000-0008-0000-0300-000017000000}"/>
                </a:ext>
              </a:extLst>
            </xdr:cNvPr>
            <xdr:cNvPicPr>
              <a:picLocks noChangeAspect="1" noChangeArrowheads="1"/>
              <a:extLst>
                <a:ext uri="{84589F7E-364E-4C9E-8A38-B11213B215E9}">
                  <a14:cameraTool cellRange="Picture3" spid="_x0000_s2711"/>
                </a:ext>
              </a:extLst>
            </xdr:cNvPicPr>
          </xdr:nvPicPr>
          <xdr:blipFill>
            <a:blip xmlns:r="http://schemas.openxmlformats.org/officeDocument/2006/relationships" r:embed="rId2"/>
            <a:srcRect/>
            <a:stretch>
              <a:fillRect/>
            </a:stretch>
          </xdr:blipFill>
          <xdr:spPr bwMode="auto">
            <a:xfrm>
              <a:off x="9633233" y="32125034"/>
              <a:ext cx="4968032" cy="213134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1284520</xdr:colOff>
      <xdr:row>21</xdr:row>
      <xdr:rowOff>54435</xdr:rowOff>
    </xdr:from>
    <xdr:to>
      <xdr:col>4</xdr:col>
      <xdr:colOff>3698746</xdr:colOff>
      <xdr:row>21</xdr:row>
      <xdr:rowOff>2054097</xdr:rowOff>
    </xdr:to>
    <xdr:pic>
      <xdr:nvPicPr>
        <xdr:cNvPr id="30" name="Picture 29">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12291" y="20051492"/>
          <a:ext cx="2414226" cy="199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1458724</xdr:colOff>
      <xdr:row>23</xdr:row>
      <xdr:rowOff>28180</xdr:rowOff>
    </xdr:from>
    <xdr:to>
      <xdr:col>4</xdr:col>
      <xdr:colOff>3641911</xdr:colOff>
      <xdr:row>23</xdr:row>
      <xdr:rowOff>2094899</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4"/>
        <a:stretch>
          <a:fillRect/>
        </a:stretch>
      </xdr:blipFill>
      <xdr:spPr>
        <a:xfrm>
          <a:off x="11017342" y="39551327"/>
          <a:ext cx="2183187" cy="2066719"/>
        </a:xfrm>
        <a:prstGeom prst="rect">
          <a:avLst/>
        </a:prstGeom>
      </xdr:spPr>
    </xdr:pic>
    <xdr:clientData/>
  </xdr:twoCellAnchor>
  <xdr:twoCellAnchor editAs="oneCell">
    <xdr:from>
      <xdr:col>4</xdr:col>
      <xdr:colOff>859266</xdr:colOff>
      <xdr:row>27</xdr:row>
      <xdr:rowOff>44684</xdr:rowOff>
    </xdr:from>
    <xdr:to>
      <xdr:col>4</xdr:col>
      <xdr:colOff>4647248</xdr:colOff>
      <xdr:row>27</xdr:row>
      <xdr:rowOff>3025995</xdr:rowOff>
    </xdr:to>
    <xdr:pic>
      <xdr:nvPicPr>
        <xdr:cNvPr id="21" name="Picture 20">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96172" y="46062340"/>
          <a:ext cx="3787982" cy="2981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908478</xdr:colOff>
      <xdr:row>1</xdr:row>
      <xdr:rowOff>89647</xdr:rowOff>
    </xdr:from>
    <xdr:to>
      <xdr:col>4</xdr:col>
      <xdr:colOff>4360001</xdr:colOff>
      <xdr:row>1</xdr:row>
      <xdr:rowOff>2495360</xdr:rowOff>
    </xdr:to>
    <xdr:pic>
      <xdr:nvPicPr>
        <xdr:cNvPr id="10" name="Picture 9">
          <a:extLst>
            <a:ext uri="{FF2B5EF4-FFF2-40B4-BE49-F238E27FC236}">
              <a16:creationId xmlns:a16="http://schemas.microsoft.com/office/drawing/2014/main" id="{E7D050BD-7978-4648-98EA-A2BFB1CCB396}"/>
            </a:ext>
          </a:extLst>
        </xdr:cNvPr>
        <xdr:cNvPicPr>
          <a:picLocks noChangeAspect="1"/>
        </xdr:cNvPicPr>
      </xdr:nvPicPr>
      <xdr:blipFill>
        <a:blip xmlns:r="http://schemas.openxmlformats.org/officeDocument/2006/relationships" r:embed="rId6"/>
        <a:stretch>
          <a:fillRect/>
        </a:stretch>
      </xdr:blipFill>
      <xdr:spPr>
        <a:xfrm>
          <a:off x="10474299" y="851647"/>
          <a:ext cx="3445808" cy="2420953"/>
        </a:xfrm>
        <a:prstGeom prst="rect">
          <a:avLst/>
        </a:prstGeom>
      </xdr:spPr>
    </xdr:pic>
    <xdr:clientData/>
  </xdr:twoCellAnchor>
  <xdr:twoCellAnchor editAs="oneCell">
    <xdr:from>
      <xdr:col>4</xdr:col>
      <xdr:colOff>661148</xdr:colOff>
      <xdr:row>2</xdr:row>
      <xdr:rowOff>112058</xdr:rowOff>
    </xdr:from>
    <xdr:to>
      <xdr:col>4</xdr:col>
      <xdr:colOff>4264096</xdr:colOff>
      <xdr:row>2</xdr:row>
      <xdr:rowOff>2418566</xdr:rowOff>
    </xdr:to>
    <xdr:pic>
      <xdr:nvPicPr>
        <xdr:cNvPr id="11" name="Picture 10">
          <a:extLst>
            <a:ext uri="{FF2B5EF4-FFF2-40B4-BE49-F238E27FC236}">
              <a16:creationId xmlns:a16="http://schemas.microsoft.com/office/drawing/2014/main" id="{D6BF31FE-221F-4950-83A4-18AD10F1BE1C}"/>
            </a:ext>
          </a:extLst>
        </xdr:cNvPr>
        <xdr:cNvPicPr>
          <a:picLocks noChangeAspect="1"/>
        </xdr:cNvPicPr>
      </xdr:nvPicPr>
      <xdr:blipFill>
        <a:blip xmlns:r="http://schemas.openxmlformats.org/officeDocument/2006/relationships" r:embed="rId7"/>
        <a:stretch>
          <a:fillRect/>
        </a:stretch>
      </xdr:blipFill>
      <xdr:spPr>
        <a:xfrm>
          <a:off x="10219766" y="3406587"/>
          <a:ext cx="3599138" cy="2308413"/>
        </a:xfrm>
        <a:prstGeom prst="rect">
          <a:avLst/>
        </a:prstGeom>
      </xdr:spPr>
    </xdr:pic>
    <xdr:clientData/>
  </xdr:twoCellAnchor>
  <xdr:twoCellAnchor editAs="oneCell">
    <xdr:from>
      <xdr:col>4</xdr:col>
      <xdr:colOff>802822</xdr:colOff>
      <xdr:row>3</xdr:row>
      <xdr:rowOff>41339</xdr:rowOff>
    </xdr:from>
    <xdr:to>
      <xdr:col>4</xdr:col>
      <xdr:colOff>4403000</xdr:colOff>
      <xdr:row>3</xdr:row>
      <xdr:rowOff>3906125</xdr:rowOff>
    </xdr:to>
    <xdr:pic>
      <xdr:nvPicPr>
        <xdr:cNvPr id="12" name="Picture 11">
          <a:extLst>
            <a:ext uri="{FF2B5EF4-FFF2-40B4-BE49-F238E27FC236}">
              <a16:creationId xmlns:a16="http://schemas.microsoft.com/office/drawing/2014/main" id="{280BF146-B37E-49A1-8119-65C500B94490}"/>
            </a:ext>
          </a:extLst>
        </xdr:cNvPr>
        <xdr:cNvPicPr>
          <a:picLocks noChangeAspect="1"/>
        </xdr:cNvPicPr>
      </xdr:nvPicPr>
      <xdr:blipFill>
        <a:blip xmlns:r="http://schemas.openxmlformats.org/officeDocument/2006/relationships" r:embed="rId8"/>
        <a:stretch>
          <a:fillRect/>
        </a:stretch>
      </xdr:blipFill>
      <xdr:spPr>
        <a:xfrm>
          <a:off x="10368643" y="5865196"/>
          <a:ext cx="3605893" cy="3853356"/>
        </a:xfrm>
        <a:prstGeom prst="rect">
          <a:avLst/>
        </a:prstGeom>
      </xdr:spPr>
    </xdr:pic>
    <xdr:clientData/>
  </xdr:twoCellAnchor>
  <xdr:twoCellAnchor editAs="oneCell">
    <xdr:from>
      <xdr:col>4</xdr:col>
      <xdr:colOff>896470</xdr:colOff>
      <xdr:row>4</xdr:row>
      <xdr:rowOff>56028</xdr:rowOff>
    </xdr:from>
    <xdr:to>
      <xdr:col>4</xdr:col>
      <xdr:colOff>4841741</xdr:colOff>
      <xdr:row>4</xdr:row>
      <xdr:rowOff>2435485</xdr:rowOff>
    </xdr:to>
    <xdr:pic>
      <xdr:nvPicPr>
        <xdr:cNvPr id="13" name="Picture 12">
          <a:extLst>
            <a:ext uri="{FF2B5EF4-FFF2-40B4-BE49-F238E27FC236}">
              <a16:creationId xmlns:a16="http://schemas.microsoft.com/office/drawing/2014/main" id="{F2BCEFE0-F88E-4D5A-882C-3D87A8597919}"/>
            </a:ext>
          </a:extLst>
        </xdr:cNvPr>
        <xdr:cNvPicPr>
          <a:picLocks noChangeAspect="1"/>
        </xdr:cNvPicPr>
      </xdr:nvPicPr>
      <xdr:blipFill>
        <a:blip xmlns:r="http://schemas.openxmlformats.org/officeDocument/2006/relationships" r:embed="rId9"/>
        <a:stretch>
          <a:fillRect/>
        </a:stretch>
      </xdr:blipFill>
      <xdr:spPr>
        <a:xfrm>
          <a:off x="10455088" y="9816352"/>
          <a:ext cx="3945271" cy="2375647"/>
        </a:xfrm>
        <a:prstGeom prst="rect">
          <a:avLst/>
        </a:prstGeom>
      </xdr:spPr>
    </xdr:pic>
    <xdr:clientData/>
  </xdr:twoCellAnchor>
  <xdr:twoCellAnchor editAs="oneCell">
    <xdr:from>
      <xdr:col>4</xdr:col>
      <xdr:colOff>313766</xdr:colOff>
      <xdr:row>11</xdr:row>
      <xdr:rowOff>1077854</xdr:rowOff>
    </xdr:from>
    <xdr:to>
      <xdr:col>4</xdr:col>
      <xdr:colOff>4741995</xdr:colOff>
      <xdr:row>12</xdr:row>
      <xdr:rowOff>2168450</xdr:rowOff>
    </xdr:to>
    <xdr:pic>
      <xdr:nvPicPr>
        <xdr:cNvPr id="4" name="Picture 3">
          <a:extLst>
            <a:ext uri="{FF2B5EF4-FFF2-40B4-BE49-F238E27FC236}">
              <a16:creationId xmlns:a16="http://schemas.microsoft.com/office/drawing/2014/main" id="{C3898D72-430E-4571-8ACE-0F819FDF2EDE}"/>
            </a:ext>
          </a:extLst>
        </xdr:cNvPr>
        <xdr:cNvPicPr>
          <a:picLocks noChangeAspect="1"/>
        </xdr:cNvPicPr>
      </xdr:nvPicPr>
      <xdr:blipFill>
        <a:blip xmlns:r="http://schemas.openxmlformats.org/officeDocument/2006/relationships" r:embed="rId10"/>
        <a:stretch>
          <a:fillRect/>
        </a:stretch>
      </xdr:blipFill>
      <xdr:spPr>
        <a:xfrm>
          <a:off x="8292354" y="21416530"/>
          <a:ext cx="4426324" cy="4200116"/>
        </a:xfrm>
        <a:prstGeom prst="rect">
          <a:avLst/>
        </a:prstGeom>
      </xdr:spPr>
    </xdr:pic>
    <xdr:clientData/>
  </xdr:twoCellAnchor>
  <xdr:twoCellAnchor editAs="oneCell">
    <xdr:from>
      <xdr:col>4</xdr:col>
      <xdr:colOff>907678</xdr:colOff>
      <xdr:row>10</xdr:row>
      <xdr:rowOff>44823</xdr:rowOff>
    </xdr:from>
    <xdr:to>
      <xdr:col>4</xdr:col>
      <xdr:colOff>4247562</xdr:colOff>
      <xdr:row>11</xdr:row>
      <xdr:rowOff>1165292</xdr:rowOff>
    </xdr:to>
    <xdr:pic>
      <xdr:nvPicPr>
        <xdr:cNvPr id="5" name="Picture 4">
          <a:extLst>
            <a:ext uri="{FF2B5EF4-FFF2-40B4-BE49-F238E27FC236}">
              <a16:creationId xmlns:a16="http://schemas.microsoft.com/office/drawing/2014/main" id="{EF24D02D-9B74-4E2C-883B-4DADE30D36BB}"/>
            </a:ext>
          </a:extLst>
        </xdr:cNvPr>
        <xdr:cNvPicPr>
          <a:picLocks noChangeAspect="1"/>
        </xdr:cNvPicPr>
      </xdr:nvPicPr>
      <xdr:blipFill>
        <a:blip xmlns:r="http://schemas.openxmlformats.org/officeDocument/2006/relationships" r:embed="rId11"/>
        <a:stretch>
          <a:fillRect/>
        </a:stretch>
      </xdr:blipFill>
      <xdr:spPr>
        <a:xfrm>
          <a:off x="8886266" y="17268264"/>
          <a:ext cx="3347504" cy="4228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78440</xdr:colOff>
          <xdr:row>17</xdr:row>
          <xdr:rowOff>89648</xdr:rowOff>
        </xdr:from>
        <xdr:to>
          <xdr:col>4</xdr:col>
          <xdr:colOff>5031441</xdr:colOff>
          <xdr:row>17</xdr:row>
          <xdr:rowOff>1470146</xdr:rowOff>
        </xdr:to>
        <xdr:pic>
          <xdr:nvPicPr>
            <xdr:cNvPr id="7" name="Picture 6">
              <a:extLst>
                <a:ext uri="{FF2B5EF4-FFF2-40B4-BE49-F238E27FC236}">
                  <a16:creationId xmlns:a16="http://schemas.microsoft.com/office/drawing/2014/main" id="{C722C110-5C93-492A-BE76-128F27A47DB2}"/>
                </a:ext>
              </a:extLst>
            </xdr:cNvPr>
            <xdr:cNvPicPr>
              <a:picLocks noChangeAspect="1"/>
              <a:extLst>
                <a:ext uri="{84589F7E-364E-4C9E-8A38-B11213B215E9}">
                  <a14:cameraTool cellRange="Picture2" spid="_x0000_s2712"/>
                </a:ext>
              </a:extLst>
            </xdr:cNvPicPr>
          </xdr:nvPicPr>
          <xdr:blipFill>
            <a:blip xmlns:r="http://schemas.openxmlformats.org/officeDocument/2006/relationships" r:embed="rId12"/>
            <a:stretch>
              <a:fillRect/>
            </a:stretch>
          </xdr:blipFill>
          <xdr:spPr>
            <a:xfrm>
              <a:off x="9637058" y="30356736"/>
              <a:ext cx="4953001" cy="1380498"/>
            </a:xfrm>
            <a:prstGeom prst="rect">
              <a:avLst/>
            </a:prstGeom>
          </xdr:spPr>
        </xdr:pic>
        <xdr:clientData/>
      </xdr:twoCellAnchor>
    </mc:Choice>
    <mc:Fallback/>
  </mc:AlternateContent>
  <xdr:twoCellAnchor editAs="oneCell">
    <xdr:from>
      <xdr:col>3</xdr:col>
      <xdr:colOff>381001</xdr:colOff>
      <xdr:row>78</xdr:row>
      <xdr:rowOff>112058</xdr:rowOff>
    </xdr:from>
    <xdr:to>
      <xdr:col>3</xdr:col>
      <xdr:colOff>5446059</xdr:colOff>
      <xdr:row>78</xdr:row>
      <xdr:rowOff>2282263</xdr:rowOff>
    </xdr:to>
    <xdr:pic>
      <xdr:nvPicPr>
        <xdr:cNvPr id="18" name="Picture 17">
          <a:extLst>
            <a:ext uri="{FF2B5EF4-FFF2-40B4-BE49-F238E27FC236}">
              <a16:creationId xmlns:a16="http://schemas.microsoft.com/office/drawing/2014/main" id="{3C4CD423-C654-4F94-9B70-A3B91A29F258}"/>
            </a:ext>
          </a:extLst>
        </xdr:cNvPr>
        <xdr:cNvPicPr>
          <a:picLocks noChangeAspect="1"/>
        </xdr:cNvPicPr>
      </xdr:nvPicPr>
      <xdr:blipFill>
        <a:blip xmlns:r="http://schemas.openxmlformats.org/officeDocument/2006/relationships" r:embed="rId13"/>
        <a:stretch>
          <a:fillRect/>
        </a:stretch>
      </xdr:blipFill>
      <xdr:spPr>
        <a:xfrm>
          <a:off x="3989295" y="60926382"/>
          <a:ext cx="5065058" cy="2170205"/>
        </a:xfrm>
        <a:prstGeom prst="rect">
          <a:avLst/>
        </a:prstGeom>
      </xdr:spPr>
    </xdr:pic>
    <xdr:clientData/>
  </xdr:twoCellAnchor>
  <xdr:twoCellAnchor editAs="oneCell">
    <xdr:from>
      <xdr:col>3</xdr:col>
      <xdr:colOff>235324</xdr:colOff>
      <xdr:row>79</xdr:row>
      <xdr:rowOff>89647</xdr:rowOff>
    </xdr:from>
    <xdr:to>
      <xdr:col>3</xdr:col>
      <xdr:colOff>5546912</xdr:colOff>
      <xdr:row>79</xdr:row>
      <xdr:rowOff>2265410</xdr:rowOff>
    </xdr:to>
    <xdr:pic>
      <xdr:nvPicPr>
        <xdr:cNvPr id="19" name="Picture 18">
          <a:extLst>
            <a:ext uri="{FF2B5EF4-FFF2-40B4-BE49-F238E27FC236}">
              <a16:creationId xmlns:a16="http://schemas.microsoft.com/office/drawing/2014/main" id="{8453DF57-A4EF-4125-B1D9-255C8D5AD4EC}"/>
            </a:ext>
          </a:extLst>
        </xdr:cNvPr>
        <xdr:cNvPicPr>
          <a:picLocks noChangeAspect="1"/>
        </xdr:cNvPicPr>
      </xdr:nvPicPr>
      <xdr:blipFill>
        <a:blip xmlns:r="http://schemas.openxmlformats.org/officeDocument/2006/relationships" r:embed="rId14"/>
        <a:stretch>
          <a:fillRect/>
        </a:stretch>
      </xdr:blipFill>
      <xdr:spPr>
        <a:xfrm>
          <a:off x="3843618" y="63268412"/>
          <a:ext cx="5311588" cy="21833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153966</xdr:colOff>
          <xdr:row>30</xdr:row>
          <xdr:rowOff>44825</xdr:rowOff>
        </xdr:from>
        <xdr:to>
          <xdr:col>4</xdr:col>
          <xdr:colOff>5009030</xdr:colOff>
          <xdr:row>40</xdr:row>
          <xdr:rowOff>190500</xdr:rowOff>
        </xdr:to>
        <xdr:pic>
          <xdr:nvPicPr>
            <xdr:cNvPr id="14" name="Picture 13">
              <a:extLst>
                <a:ext uri="{FF2B5EF4-FFF2-40B4-BE49-F238E27FC236}">
                  <a16:creationId xmlns:a16="http://schemas.microsoft.com/office/drawing/2014/main" id="{942955B0-B351-4C7A-A9BA-8C437A5A70F5}"/>
                </a:ext>
              </a:extLst>
            </xdr:cNvPr>
            <xdr:cNvPicPr>
              <a:picLocks noChangeAspect="1"/>
              <a:extLst>
                <a:ext uri="{84589F7E-364E-4C9E-8A38-B11213B215E9}">
                  <a14:cameraTool cellRange="Picture" spid="_x0000_s2713"/>
                </a:ext>
              </a:extLst>
            </xdr:cNvPicPr>
          </xdr:nvPicPr>
          <xdr:blipFill>
            <a:blip xmlns:r="http://schemas.openxmlformats.org/officeDocument/2006/relationships" r:embed="rId15"/>
            <a:stretch>
              <a:fillRect/>
            </a:stretch>
          </xdr:blipFill>
          <xdr:spPr>
            <a:xfrm>
              <a:off x="9712584" y="50762649"/>
              <a:ext cx="4866494" cy="2566145"/>
            </a:xfrm>
            <a:prstGeom prst="rect">
              <a:avLst/>
            </a:prstGeom>
          </xdr:spPr>
        </xdr:pic>
        <xdr:clientData/>
      </xdr:twoCellAnchor>
    </mc:Choice>
    <mc:Fallback/>
  </mc:AlternateContent>
  <xdr:twoCellAnchor editAs="oneCell">
    <xdr:from>
      <xdr:col>4</xdr:col>
      <xdr:colOff>268286</xdr:colOff>
      <xdr:row>8</xdr:row>
      <xdr:rowOff>136072</xdr:rowOff>
    </xdr:from>
    <xdr:to>
      <xdr:col>4</xdr:col>
      <xdr:colOff>4398140</xdr:colOff>
      <xdr:row>8</xdr:row>
      <xdr:rowOff>1926500</xdr:rowOff>
    </xdr:to>
    <xdr:pic>
      <xdr:nvPicPr>
        <xdr:cNvPr id="15" name="Picture 14">
          <a:extLst>
            <a:ext uri="{FF2B5EF4-FFF2-40B4-BE49-F238E27FC236}">
              <a16:creationId xmlns:a16="http://schemas.microsoft.com/office/drawing/2014/main" id="{B08043A4-54D4-45E7-A544-6C2A607779BF}"/>
            </a:ext>
          </a:extLst>
        </xdr:cNvPr>
        <xdr:cNvPicPr>
          <a:picLocks noChangeAspect="1"/>
        </xdr:cNvPicPr>
      </xdr:nvPicPr>
      <xdr:blipFill>
        <a:blip xmlns:r="http://schemas.openxmlformats.org/officeDocument/2006/relationships" r:embed="rId16"/>
        <a:stretch>
          <a:fillRect/>
        </a:stretch>
      </xdr:blipFill>
      <xdr:spPr>
        <a:xfrm>
          <a:off x="9834107" y="15403286"/>
          <a:ext cx="4129854" cy="1796143"/>
        </a:xfrm>
        <a:prstGeom prst="rect">
          <a:avLst/>
        </a:prstGeom>
      </xdr:spPr>
    </xdr:pic>
    <xdr:clientData/>
  </xdr:twoCellAnchor>
  <xdr:twoCellAnchor editAs="oneCell">
    <xdr:from>
      <xdr:col>3</xdr:col>
      <xdr:colOff>78441</xdr:colOff>
      <xdr:row>83</xdr:row>
      <xdr:rowOff>91236</xdr:rowOff>
    </xdr:from>
    <xdr:to>
      <xdr:col>4</xdr:col>
      <xdr:colOff>22411</xdr:colOff>
      <xdr:row>83</xdr:row>
      <xdr:rowOff>2511335</xdr:rowOff>
    </xdr:to>
    <xdr:pic>
      <xdr:nvPicPr>
        <xdr:cNvPr id="24" name="Picture 23">
          <a:extLst>
            <a:ext uri="{FF2B5EF4-FFF2-40B4-BE49-F238E27FC236}">
              <a16:creationId xmlns:a16="http://schemas.microsoft.com/office/drawing/2014/main" id="{D2773620-5AFC-4408-9BE2-A4466CF2DF20}"/>
            </a:ext>
          </a:extLst>
        </xdr:cNvPr>
        <xdr:cNvPicPr>
          <a:picLocks noChangeAspect="1"/>
        </xdr:cNvPicPr>
      </xdr:nvPicPr>
      <xdr:blipFill>
        <a:blip xmlns:r="http://schemas.openxmlformats.org/officeDocument/2006/relationships" r:embed="rId17"/>
        <a:stretch>
          <a:fillRect/>
        </a:stretch>
      </xdr:blipFill>
      <xdr:spPr>
        <a:xfrm>
          <a:off x="3686735" y="71528736"/>
          <a:ext cx="5894294" cy="2420099"/>
        </a:xfrm>
        <a:prstGeom prst="rect">
          <a:avLst/>
        </a:prstGeom>
      </xdr:spPr>
    </xdr:pic>
    <xdr:clientData/>
  </xdr:twoCellAnchor>
  <xdr:twoCellAnchor editAs="oneCell">
    <xdr:from>
      <xdr:col>3</xdr:col>
      <xdr:colOff>74141</xdr:colOff>
      <xdr:row>82</xdr:row>
      <xdr:rowOff>56030</xdr:rowOff>
    </xdr:from>
    <xdr:to>
      <xdr:col>3</xdr:col>
      <xdr:colOff>5924754</xdr:colOff>
      <xdr:row>82</xdr:row>
      <xdr:rowOff>1770530</xdr:rowOff>
    </xdr:to>
    <xdr:pic>
      <xdr:nvPicPr>
        <xdr:cNvPr id="25" name="Picture 24">
          <a:extLst>
            <a:ext uri="{FF2B5EF4-FFF2-40B4-BE49-F238E27FC236}">
              <a16:creationId xmlns:a16="http://schemas.microsoft.com/office/drawing/2014/main" id="{5F3677AC-0DFD-4E13-99A8-22961238CA97}"/>
            </a:ext>
          </a:extLst>
        </xdr:cNvPr>
        <xdr:cNvPicPr>
          <a:picLocks noChangeAspect="1"/>
        </xdr:cNvPicPr>
      </xdr:nvPicPr>
      <xdr:blipFill>
        <a:blip xmlns:r="http://schemas.openxmlformats.org/officeDocument/2006/relationships" r:embed="rId18"/>
        <a:stretch>
          <a:fillRect/>
        </a:stretch>
      </xdr:blipFill>
      <xdr:spPr>
        <a:xfrm>
          <a:off x="3682435" y="69700589"/>
          <a:ext cx="5835373" cy="1714500"/>
        </a:xfrm>
        <a:prstGeom prst="rect">
          <a:avLst/>
        </a:prstGeom>
      </xdr:spPr>
    </xdr:pic>
    <xdr:clientData/>
  </xdr:twoCellAnchor>
  <xdr:twoCellAnchor editAs="oneCell">
    <xdr:from>
      <xdr:col>3</xdr:col>
      <xdr:colOff>145677</xdr:colOff>
      <xdr:row>81</xdr:row>
      <xdr:rowOff>48996</xdr:rowOff>
    </xdr:from>
    <xdr:to>
      <xdr:col>3</xdr:col>
      <xdr:colOff>5851152</xdr:colOff>
      <xdr:row>81</xdr:row>
      <xdr:rowOff>1997567</xdr:rowOff>
    </xdr:to>
    <xdr:pic>
      <xdr:nvPicPr>
        <xdr:cNvPr id="28" name="Picture 27">
          <a:extLst>
            <a:ext uri="{FF2B5EF4-FFF2-40B4-BE49-F238E27FC236}">
              <a16:creationId xmlns:a16="http://schemas.microsoft.com/office/drawing/2014/main" id="{0A197CE8-5DF6-4AB6-81D1-F324D2BD445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753971" y="67609261"/>
          <a:ext cx="5715000" cy="194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xdr:colOff>
      <xdr:row>79</xdr:row>
      <xdr:rowOff>2274794</xdr:rowOff>
    </xdr:from>
    <xdr:to>
      <xdr:col>3</xdr:col>
      <xdr:colOff>5923878</xdr:colOff>
      <xdr:row>81</xdr:row>
      <xdr:rowOff>0</xdr:rowOff>
    </xdr:to>
    <xdr:pic>
      <xdr:nvPicPr>
        <xdr:cNvPr id="29" name="Picture 28">
          <a:extLst>
            <a:ext uri="{FF2B5EF4-FFF2-40B4-BE49-F238E27FC236}">
              <a16:creationId xmlns:a16="http://schemas.microsoft.com/office/drawing/2014/main" id="{3B009AC3-4CBC-4EAE-A844-74334BACA972}"/>
            </a:ext>
          </a:extLst>
        </xdr:cNvPr>
        <xdr:cNvPicPr>
          <a:picLocks noChangeAspect="1"/>
        </xdr:cNvPicPr>
      </xdr:nvPicPr>
      <xdr:blipFill>
        <a:blip xmlns:r="http://schemas.openxmlformats.org/officeDocument/2006/relationships" r:embed="rId20"/>
        <a:stretch>
          <a:fillRect/>
        </a:stretch>
      </xdr:blipFill>
      <xdr:spPr>
        <a:xfrm>
          <a:off x="3675529" y="65879382"/>
          <a:ext cx="5871883" cy="1680883"/>
        </a:xfrm>
        <a:prstGeom prst="rect">
          <a:avLst/>
        </a:prstGeom>
      </xdr:spPr>
    </xdr:pic>
    <xdr:clientData/>
  </xdr:twoCellAnchor>
  <xdr:twoCellAnchor editAs="oneCell">
    <xdr:from>
      <xdr:col>4</xdr:col>
      <xdr:colOff>762000</xdr:colOff>
      <xdr:row>24</xdr:row>
      <xdr:rowOff>154781</xdr:rowOff>
    </xdr:from>
    <xdr:to>
      <xdr:col>4</xdr:col>
      <xdr:colOff>4287716</xdr:colOff>
      <xdr:row>24</xdr:row>
      <xdr:rowOff>2002400</xdr:rowOff>
    </xdr:to>
    <xdr:pic>
      <xdr:nvPicPr>
        <xdr:cNvPr id="2" name="Picture 1">
          <a:extLst>
            <a:ext uri="{FF2B5EF4-FFF2-40B4-BE49-F238E27FC236}">
              <a16:creationId xmlns:a16="http://schemas.microsoft.com/office/drawing/2014/main" id="{FC094957-34A4-4B54-A0D3-93FFB3646FAC}"/>
            </a:ext>
          </a:extLst>
        </xdr:cNvPr>
        <xdr:cNvPicPr>
          <a:picLocks noChangeAspect="1"/>
        </xdr:cNvPicPr>
      </xdr:nvPicPr>
      <xdr:blipFill>
        <a:blip xmlns:r="http://schemas.openxmlformats.org/officeDocument/2006/relationships" r:embed="rId21"/>
        <a:stretch>
          <a:fillRect/>
        </a:stretch>
      </xdr:blipFill>
      <xdr:spPr>
        <a:xfrm>
          <a:off x="10298906" y="41540906"/>
          <a:ext cx="3516191" cy="1851429"/>
        </a:xfrm>
        <a:prstGeom prst="rect">
          <a:avLst/>
        </a:prstGeom>
      </xdr:spPr>
    </xdr:pic>
    <xdr:clientData/>
  </xdr:twoCellAnchor>
  <xdr:twoCellAnchor editAs="oneCell">
    <xdr:from>
      <xdr:col>4</xdr:col>
      <xdr:colOff>35718</xdr:colOff>
      <xdr:row>27</xdr:row>
      <xdr:rowOff>3071813</xdr:rowOff>
    </xdr:from>
    <xdr:to>
      <xdr:col>4</xdr:col>
      <xdr:colOff>5067383</xdr:colOff>
      <xdr:row>27</xdr:row>
      <xdr:rowOff>3795270</xdr:rowOff>
    </xdr:to>
    <xdr:pic>
      <xdr:nvPicPr>
        <xdr:cNvPr id="26" name="Picture 25">
          <a:extLst>
            <a:ext uri="{FF2B5EF4-FFF2-40B4-BE49-F238E27FC236}">
              <a16:creationId xmlns:a16="http://schemas.microsoft.com/office/drawing/2014/main" id="{7C522FD6-FCD6-4369-B52A-0266681C8355}"/>
            </a:ext>
          </a:extLst>
        </xdr:cNvPr>
        <xdr:cNvPicPr>
          <a:picLocks noChangeAspect="1"/>
        </xdr:cNvPicPr>
      </xdr:nvPicPr>
      <xdr:blipFill>
        <a:blip xmlns:r="http://schemas.openxmlformats.org/officeDocument/2006/relationships" r:embed="rId22"/>
        <a:stretch>
          <a:fillRect/>
        </a:stretch>
      </xdr:blipFill>
      <xdr:spPr>
        <a:xfrm>
          <a:off x="9572624" y="49089469"/>
          <a:ext cx="5031665" cy="723457"/>
        </a:xfrm>
        <a:prstGeom prst="rect">
          <a:avLst/>
        </a:prstGeom>
      </xdr:spPr>
    </xdr:pic>
    <xdr:clientData/>
  </xdr:twoCellAnchor>
  <xdr:twoCellAnchor editAs="oneCell">
    <xdr:from>
      <xdr:col>4</xdr:col>
      <xdr:colOff>95141</xdr:colOff>
      <xdr:row>27</xdr:row>
      <xdr:rowOff>3769833</xdr:rowOff>
    </xdr:from>
    <xdr:to>
      <xdr:col>4</xdr:col>
      <xdr:colOff>5007280</xdr:colOff>
      <xdr:row>27</xdr:row>
      <xdr:rowOff>4869771</xdr:rowOff>
    </xdr:to>
    <xdr:pic>
      <xdr:nvPicPr>
        <xdr:cNvPr id="27" name="Picture 26">
          <a:extLst>
            <a:ext uri="{FF2B5EF4-FFF2-40B4-BE49-F238E27FC236}">
              <a16:creationId xmlns:a16="http://schemas.microsoft.com/office/drawing/2014/main" id="{734AC6FB-80CC-415E-B5DA-70E65A62C704}"/>
            </a:ext>
          </a:extLst>
        </xdr:cNvPr>
        <xdr:cNvPicPr>
          <a:picLocks noChangeAspect="1"/>
        </xdr:cNvPicPr>
      </xdr:nvPicPr>
      <xdr:blipFill>
        <a:blip xmlns:r="http://schemas.openxmlformats.org/officeDocument/2006/relationships" r:embed="rId23"/>
        <a:stretch>
          <a:fillRect/>
        </a:stretch>
      </xdr:blipFill>
      <xdr:spPr>
        <a:xfrm>
          <a:off x="9632047" y="49787489"/>
          <a:ext cx="4912139" cy="10999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655544</xdr:colOff>
      <xdr:row>30</xdr:row>
      <xdr:rowOff>150159</xdr:rowOff>
    </xdr:from>
    <xdr:to>
      <xdr:col>19</xdr:col>
      <xdr:colOff>214406</xdr:colOff>
      <xdr:row>33</xdr:row>
      <xdr:rowOff>99733</xdr:rowOff>
    </xdr:to>
    <xdr:sp macro="" textlink="">
      <xdr:nvSpPr>
        <xdr:cNvPr id="2" name="Rounded Rectangle 1">
          <a:extLst>
            <a:ext uri="{FF2B5EF4-FFF2-40B4-BE49-F238E27FC236}">
              <a16:creationId xmlns:a16="http://schemas.microsoft.com/office/drawing/2014/main" id="{B0D0B910-9216-4124-863C-B75597EC05F4}"/>
            </a:ext>
          </a:extLst>
        </xdr:cNvPr>
        <xdr:cNvSpPr/>
      </xdr:nvSpPr>
      <xdr:spPr>
        <a:xfrm>
          <a:off x="14895419" y="350184"/>
          <a:ext cx="2263962" cy="7496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Enter</a:t>
          </a:r>
          <a:r>
            <a:rPr lang="en-US" sz="1100" baseline="0"/>
            <a:t> Configuration Customer is planning to use for the DP83867 through Straps</a:t>
          </a:r>
          <a:endParaRPr lang="en-US" sz="1100"/>
        </a:p>
      </xdr:txBody>
    </xdr:sp>
    <xdr:clientData/>
  </xdr:twoCellAnchor>
  <xdr:twoCellAnchor>
    <xdr:from>
      <xdr:col>15</xdr:col>
      <xdr:colOff>14941</xdr:colOff>
      <xdr:row>31</xdr:row>
      <xdr:rowOff>321400</xdr:rowOff>
    </xdr:from>
    <xdr:to>
      <xdr:col>15</xdr:col>
      <xdr:colOff>655544</xdr:colOff>
      <xdr:row>32</xdr:row>
      <xdr:rowOff>115421</xdr:rowOff>
    </xdr:to>
    <xdr:cxnSp macro="">
      <xdr:nvCxnSpPr>
        <xdr:cNvPr id="3" name="Straight Arrow Connector 2">
          <a:extLst>
            <a:ext uri="{FF2B5EF4-FFF2-40B4-BE49-F238E27FC236}">
              <a16:creationId xmlns:a16="http://schemas.microsoft.com/office/drawing/2014/main" id="{3894C968-0584-4558-80C3-E3611C4313DC}"/>
            </a:ext>
          </a:extLst>
        </xdr:cNvPr>
        <xdr:cNvCxnSpPr>
          <a:endCxn id="2" idx="1"/>
        </xdr:cNvCxnSpPr>
      </xdr:nvCxnSpPr>
      <xdr:spPr>
        <a:xfrm flipV="1">
          <a:off x="14254816" y="721450"/>
          <a:ext cx="640603" cy="194071"/>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629386</xdr:colOff>
      <xdr:row>37</xdr:row>
      <xdr:rowOff>98955</xdr:rowOff>
    </xdr:from>
    <xdr:to>
      <xdr:col>7</xdr:col>
      <xdr:colOff>213854</xdr:colOff>
      <xdr:row>40</xdr:row>
      <xdr:rowOff>11906</xdr:rowOff>
    </xdr:to>
    <xdr:sp macro="" textlink="">
      <xdr:nvSpPr>
        <xdr:cNvPr id="4" name="Rounded Rectangle 4">
          <a:extLst>
            <a:ext uri="{FF2B5EF4-FFF2-40B4-BE49-F238E27FC236}">
              <a16:creationId xmlns:a16="http://schemas.microsoft.com/office/drawing/2014/main" id="{73B6F0EC-87B9-43ED-B3C7-F327A8625932}"/>
            </a:ext>
          </a:extLst>
        </xdr:cNvPr>
        <xdr:cNvSpPr/>
      </xdr:nvSpPr>
      <xdr:spPr>
        <a:xfrm>
          <a:off x="5363311" y="2337330"/>
          <a:ext cx="1489468" cy="5130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Resistor Values to be used for the Straps</a:t>
          </a:r>
        </a:p>
      </xdr:txBody>
    </xdr:sp>
    <xdr:clientData/>
  </xdr:twoCellAnchor>
  <xdr:twoCellAnchor>
    <xdr:from>
      <xdr:col>5</xdr:col>
      <xdr:colOff>9159</xdr:colOff>
      <xdr:row>38</xdr:row>
      <xdr:rowOff>193260</xdr:rowOff>
    </xdr:from>
    <xdr:to>
      <xdr:col>5</xdr:col>
      <xdr:colOff>623956</xdr:colOff>
      <xdr:row>39</xdr:row>
      <xdr:rowOff>8890</xdr:rowOff>
    </xdr:to>
    <xdr:cxnSp macro="">
      <xdr:nvCxnSpPr>
        <xdr:cNvPr id="5" name="Straight Arrow Connector 4">
          <a:extLst>
            <a:ext uri="{FF2B5EF4-FFF2-40B4-BE49-F238E27FC236}">
              <a16:creationId xmlns:a16="http://schemas.microsoft.com/office/drawing/2014/main" id="{FEEC5965-360D-46AF-9E32-ECA31231974B}"/>
            </a:ext>
          </a:extLst>
        </xdr:cNvPr>
        <xdr:cNvCxnSpPr/>
      </xdr:nvCxnSpPr>
      <xdr:spPr>
        <a:xfrm flipV="1">
          <a:off x="4743084" y="2631660"/>
          <a:ext cx="614797" cy="1565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295835</xdr:colOff>
      <xdr:row>0</xdr:row>
      <xdr:rowOff>166915</xdr:rowOff>
    </xdr:from>
    <xdr:to>
      <xdr:col>3</xdr:col>
      <xdr:colOff>603997</xdr:colOff>
      <xdr:row>3</xdr:row>
      <xdr:rowOff>71718</xdr:rowOff>
    </xdr:to>
    <xdr:sp macro="" textlink="">
      <xdr:nvSpPr>
        <xdr:cNvPr id="6" name="Rounded Rectangle 6">
          <a:extLst>
            <a:ext uri="{FF2B5EF4-FFF2-40B4-BE49-F238E27FC236}">
              <a16:creationId xmlns:a16="http://schemas.microsoft.com/office/drawing/2014/main" id="{C6B62134-C605-476C-A0A1-5029E78FEB39}"/>
            </a:ext>
          </a:extLst>
        </xdr:cNvPr>
        <xdr:cNvSpPr/>
      </xdr:nvSpPr>
      <xdr:spPr>
        <a:xfrm>
          <a:off x="1248335" y="4605565"/>
          <a:ext cx="2194112" cy="5048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desired</a:t>
          </a:r>
          <a:r>
            <a:rPr lang="en-US" sz="1100" baseline="0"/>
            <a:t> feature from the drop down list for each line item.</a:t>
          </a:r>
          <a:endParaRPr lang="en-US" sz="1100"/>
        </a:p>
      </xdr:txBody>
    </xdr:sp>
    <xdr:clientData/>
  </xdr:twoCellAnchor>
  <xdr:twoCellAnchor>
    <xdr:from>
      <xdr:col>2</xdr:col>
      <xdr:colOff>449917</xdr:colOff>
      <xdr:row>3</xdr:row>
      <xdr:rowOff>71718</xdr:rowOff>
    </xdr:from>
    <xdr:to>
      <xdr:col>2</xdr:col>
      <xdr:colOff>449943</xdr:colOff>
      <xdr:row>4</xdr:row>
      <xdr:rowOff>192318</xdr:rowOff>
    </xdr:to>
    <xdr:cxnSp macro="">
      <xdr:nvCxnSpPr>
        <xdr:cNvPr id="7" name="Straight Arrow Connector 6">
          <a:extLst>
            <a:ext uri="{FF2B5EF4-FFF2-40B4-BE49-F238E27FC236}">
              <a16:creationId xmlns:a16="http://schemas.microsoft.com/office/drawing/2014/main" id="{8A6495DF-9F4A-4AA6-8A48-72C3C7DF2D1D}"/>
            </a:ext>
          </a:extLst>
        </xdr:cNvPr>
        <xdr:cNvCxnSpPr>
          <a:endCxn id="6" idx="2"/>
        </xdr:cNvCxnSpPr>
      </xdr:nvCxnSpPr>
      <xdr:spPr>
        <a:xfrm flipH="1" flipV="1">
          <a:off x="2345392" y="5110443"/>
          <a:ext cx="26" cy="32062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2015</xdr:colOff>
      <xdr:row>7</xdr:row>
      <xdr:rowOff>170896</xdr:rowOff>
    </xdr:from>
    <xdr:to>
      <xdr:col>11</xdr:col>
      <xdr:colOff>554356</xdr:colOff>
      <xdr:row>13</xdr:row>
      <xdr:rowOff>295274</xdr:rowOff>
    </xdr:to>
    <xdr:sp macro="" textlink="">
      <xdr:nvSpPr>
        <xdr:cNvPr id="8" name="Rounded Rectangle 13">
          <a:extLst>
            <a:ext uri="{FF2B5EF4-FFF2-40B4-BE49-F238E27FC236}">
              <a16:creationId xmlns:a16="http://schemas.microsoft.com/office/drawing/2014/main" id="{A4E0A398-94A9-4EA7-84C7-E30FC4B87EA0}"/>
            </a:ext>
          </a:extLst>
        </xdr:cNvPr>
        <xdr:cNvSpPr/>
      </xdr:nvSpPr>
      <xdr:spPr>
        <a:xfrm>
          <a:off x="10993865" y="1999696"/>
          <a:ext cx="2447816" cy="152455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Resistor Values to be used for the Straps</a:t>
          </a:r>
        </a:p>
        <a:p>
          <a:pPr algn="l"/>
          <a:r>
            <a:rPr lang="en-US" sz="1100"/>
            <a:t>1% tolerant</a:t>
          </a:r>
          <a:r>
            <a:rPr lang="en-US" sz="1100" baseline="0"/>
            <a:t> recommended</a:t>
          </a:r>
        </a:p>
        <a:p>
          <a:pPr algn="l"/>
          <a:endParaRPr lang="en-US" sz="1100" baseline="0"/>
        </a:p>
        <a:p>
          <a:pPr algn="l"/>
          <a:r>
            <a:rPr lang="en-US" sz="1100" baseline="0"/>
            <a:t>RX_D1/3 dummy loading required in SGMII for balancing purposes. Not required in RGMII mode</a:t>
          </a:r>
          <a:endParaRPr lang="en-US" sz="1100"/>
        </a:p>
      </xdr:txBody>
    </xdr:sp>
    <xdr:clientData/>
  </xdr:twoCellAnchor>
  <xdr:twoCellAnchor>
    <xdr:from>
      <xdr:col>8</xdr:col>
      <xdr:colOff>9293</xdr:colOff>
      <xdr:row>10</xdr:row>
      <xdr:rowOff>226178</xdr:rowOff>
    </xdr:from>
    <xdr:to>
      <xdr:col>9</xdr:col>
      <xdr:colOff>3823</xdr:colOff>
      <xdr:row>10</xdr:row>
      <xdr:rowOff>257098</xdr:rowOff>
    </xdr:to>
    <xdr:cxnSp macro="">
      <xdr:nvCxnSpPr>
        <xdr:cNvPr id="9" name="Straight Arrow Connector 8">
          <a:extLst>
            <a:ext uri="{FF2B5EF4-FFF2-40B4-BE49-F238E27FC236}">
              <a16:creationId xmlns:a16="http://schemas.microsoft.com/office/drawing/2014/main" id="{DC532FCE-AED3-40E0-8FD7-7CC5E4B52219}"/>
            </a:ext>
          </a:extLst>
        </xdr:cNvPr>
        <xdr:cNvCxnSpPr/>
      </xdr:nvCxnSpPr>
      <xdr:spPr>
        <a:xfrm flipV="1">
          <a:off x="7600718" y="6703178"/>
          <a:ext cx="947030" cy="30920"/>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818030</xdr:colOff>
      <xdr:row>35</xdr:row>
      <xdr:rowOff>448235</xdr:rowOff>
    </xdr:from>
    <xdr:to>
      <xdr:col>14</xdr:col>
      <xdr:colOff>818030</xdr:colOff>
      <xdr:row>43</xdr:row>
      <xdr:rowOff>156881</xdr:rowOff>
    </xdr:to>
    <xdr:sp macro="" textlink="">
      <xdr:nvSpPr>
        <xdr:cNvPr id="10" name="Rounded Rectangle 9">
          <a:extLst>
            <a:ext uri="{FF2B5EF4-FFF2-40B4-BE49-F238E27FC236}">
              <a16:creationId xmlns:a16="http://schemas.microsoft.com/office/drawing/2014/main" id="{51A57049-3CA8-4173-BF22-A5A7FDBE4A56}"/>
            </a:ext>
          </a:extLst>
        </xdr:cNvPr>
        <xdr:cNvSpPr/>
      </xdr:nvSpPr>
      <xdr:spPr>
        <a:xfrm>
          <a:off x="8409455" y="1848410"/>
          <a:ext cx="5695950" cy="174699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NOTE For</a:t>
          </a:r>
          <a:r>
            <a:rPr lang="en-US" sz="1200" b="1" baseline="0"/>
            <a:t> SGMII Operation</a:t>
          </a:r>
        </a:p>
        <a:p>
          <a:pPr algn="l"/>
          <a:r>
            <a:rPr lang="en-US" sz="1200"/>
            <a:t>For SGMII Mode 4 strap, TI recommends using Rhi = 4 k</a:t>
          </a:r>
          <a:r>
            <a:rPr lang="el-GR" sz="1200"/>
            <a:t>Ω </a:t>
          </a:r>
          <a:r>
            <a:rPr lang="en-US" sz="1200"/>
            <a:t>and Rlo = 10 k</a:t>
          </a:r>
          <a:r>
            <a:rPr lang="el-GR" sz="1200"/>
            <a:t>Ω </a:t>
          </a:r>
          <a:r>
            <a:rPr lang="en-US" sz="1200"/>
            <a:t>on  RX_D0 and RX_D1 , RX_D2 and RX_D3. </a:t>
          </a:r>
        </a:p>
        <a:p>
          <a:pPr algn="l"/>
          <a:r>
            <a:rPr lang="en-US" sz="1200"/>
            <a:t>RX_D1 and RX_D3 are not a strap inputs,</a:t>
          </a:r>
          <a:r>
            <a:rPr lang="en-US" sz="1200" baseline="0"/>
            <a:t> </a:t>
          </a:r>
          <a:r>
            <a:rPr lang="en-US" sz="1200"/>
            <a:t>but these</a:t>
          </a:r>
          <a:r>
            <a:rPr lang="en-US" sz="1200" baseline="0"/>
            <a:t> </a:t>
          </a:r>
          <a:r>
            <a:rPr lang="en-US" sz="1200"/>
            <a:t>pins must be populated with the same strap resistors chosen for RX_D0</a:t>
          </a:r>
          <a:r>
            <a:rPr lang="en-US" sz="1200" baseline="0"/>
            <a:t> </a:t>
          </a:r>
          <a:r>
            <a:rPr lang="en-US" sz="1200"/>
            <a:t>and RX_D2</a:t>
          </a:r>
          <a:r>
            <a:rPr lang="en-US" sz="1200" baseline="0"/>
            <a:t> respectively.</a:t>
          </a:r>
          <a:r>
            <a:rPr lang="en-US" sz="1200"/>
            <a:t> </a:t>
          </a:r>
          <a:r>
            <a:rPr lang="en-US" sz="1200">
              <a:solidFill>
                <a:schemeClr val="lt1"/>
              </a:solidFill>
              <a:effectLst/>
              <a:latin typeface="+mn-lt"/>
              <a:ea typeface="+mn-ea"/>
              <a:cs typeface="+mn-cs"/>
            </a:rPr>
            <a:t>RX_D0 and RX_D1 form an SGMII differential pair. RX_D2</a:t>
          </a:r>
          <a:r>
            <a:rPr lang="en-US" sz="1200" baseline="0">
              <a:solidFill>
                <a:schemeClr val="lt1"/>
              </a:solidFill>
              <a:effectLst/>
              <a:latin typeface="+mn-lt"/>
              <a:ea typeface="+mn-ea"/>
              <a:cs typeface="+mn-cs"/>
            </a:rPr>
            <a:t> </a:t>
          </a:r>
          <a:r>
            <a:rPr lang="en-US" sz="1200">
              <a:solidFill>
                <a:schemeClr val="lt1"/>
              </a:solidFill>
              <a:effectLst/>
              <a:latin typeface="+mn-lt"/>
              <a:ea typeface="+mn-ea"/>
              <a:cs typeface="+mn-cs"/>
            </a:rPr>
            <a:t>and RX_D3</a:t>
          </a:r>
          <a:r>
            <a:rPr lang="en-US" sz="1200" baseline="0">
              <a:solidFill>
                <a:schemeClr val="lt1"/>
              </a:solidFill>
              <a:effectLst/>
              <a:latin typeface="+mn-lt"/>
              <a:ea typeface="+mn-ea"/>
              <a:cs typeface="+mn-cs"/>
            </a:rPr>
            <a:t> </a:t>
          </a:r>
          <a:r>
            <a:rPr lang="en-US" sz="1200">
              <a:solidFill>
                <a:schemeClr val="lt1"/>
              </a:solidFill>
              <a:effectLst/>
              <a:latin typeface="+mn-lt"/>
              <a:ea typeface="+mn-ea"/>
              <a:cs typeface="+mn-cs"/>
            </a:rPr>
            <a:t>form another SGMII differential pair</a:t>
          </a:r>
          <a:r>
            <a:rPr lang="en-US" sz="1200"/>
            <a:t>. The dummy straps on RX_D1 and RX_D3 are required to provide a balanced load for the</a:t>
          </a:r>
          <a:r>
            <a:rPr lang="en-US" sz="1200" baseline="0"/>
            <a:t> </a:t>
          </a:r>
          <a:r>
            <a:rPr lang="en-US" sz="1200"/>
            <a:t>SGMII differential pairs</a:t>
          </a:r>
          <a:r>
            <a:rPr lang="en-US"/>
            <a:t>.</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1251859</xdr:colOff>
      <xdr:row>6</xdr:row>
      <xdr:rowOff>94885</xdr:rowOff>
    </xdr:from>
    <xdr:to>
      <xdr:col>4</xdr:col>
      <xdr:colOff>3944461</xdr:colOff>
      <xdr:row>6</xdr:row>
      <xdr:rowOff>2077810</xdr:rowOff>
    </xdr:to>
    <xdr:pic>
      <xdr:nvPicPr>
        <xdr:cNvPr id="2" name="Picture 1">
          <a:extLst>
            <a:ext uri="{FF2B5EF4-FFF2-40B4-BE49-F238E27FC236}">
              <a16:creationId xmlns:a16="http://schemas.microsoft.com/office/drawing/2014/main" id="{BF42199E-A36A-4912-B545-06042F838FC3}"/>
            </a:ext>
          </a:extLst>
        </xdr:cNvPr>
        <xdr:cNvPicPr>
          <a:picLocks noChangeAspect="1"/>
        </xdr:cNvPicPr>
      </xdr:nvPicPr>
      <xdr:blipFill>
        <a:blip xmlns:r="http://schemas.openxmlformats.org/officeDocument/2006/relationships" r:embed="rId1"/>
        <a:stretch>
          <a:fillRect/>
        </a:stretch>
      </xdr:blipFill>
      <xdr:spPr>
        <a:xfrm>
          <a:off x="10814959" y="12820285"/>
          <a:ext cx="2688792" cy="19734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74615</xdr:colOff>
          <xdr:row>13</xdr:row>
          <xdr:rowOff>1857946</xdr:rowOff>
        </xdr:from>
        <xdr:to>
          <xdr:col>4</xdr:col>
          <xdr:colOff>5012839</xdr:colOff>
          <xdr:row>14</xdr:row>
          <xdr:rowOff>1850549</xdr:rowOff>
        </xdr:to>
        <xdr:pic>
          <xdr:nvPicPr>
            <xdr:cNvPr id="3" name="Picture 2">
              <a:extLst>
                <a:ext uri="{FF2B5EF4-FFF2-40B4-BE49-F238E27FC236}">
                  <a16:creationId xmlns:a16="http://schemas.microsoft.com/office/drawing/2014/main" id="{5ADEB4EE-7F59-4C39-9F4A-0D4D9BA7D1CC}"/>
                </a:ext>
              </a:extLst>
            </xdr:cNvPr>
            <xdr:cNvPicPr>
              <a:picLocks noChangeAspect="1" noChangeArrowheads="1"/>
              <a:extLst>
                <a:ext uri="{84589F7E-364E-4C9E-8A38-B11213B215E9}">
                  <a14:cameraTool cellRange="Picture3" spid="_x0000_s7689"/>
                </a:ext>
              </a:extLst>
            </xdr:cNvPicPr>
          </xdr:nvPicPr>
          <xdr:blipFill>
            <a:blip xmlns:r="http://schemas.openxmlformats.org/officeDocument/2006/relationships" r:embed="rId2"/>
            <a:srcRect/>
            <a:stretch>
              <a:fillRect/>
            </a:stretch>
          </xdr:blipFill>
          <xdr:spPr bwMode="auto">
            <a:xfrm>
              <a:off x="9633233" y="31934534"/>
              <a:ext cx="4934414" cy="20842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1284520</xdr:colOff>
      <xdr:row>17</xdr:row>
      <xdr:rowOff>54435</xdr:rowOff>
    </xdr:from>
    <xdr:to>
      <xdr:col>4</xdr:col>
      <xdr:colOff>3698746</xdr:colOff>
      <xdr:row>17</xdr:row>
      <xdr:rowOff>2054097</xdr:rowOff>
    </xdr:to>
    <xdr:pic>
      <xdr:nvPicPr>
        <xdr:cNvPr id="4" name="Picture 3">
          <a:extLst>
            <a:ext uri="{FF2B5EF4-FFF2-40B4-BE49-F238E27FC236}">
              <a16:creationId xmlns:a16="http://schemas.microsoft.com/office/drawing/2014/main" id="{257002C3-BD84-4CF7-9C9F-BD8F70C9BA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47620" y="37059060"/>
          <a:ext cx="2414226" cy="199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1458724</xdr:colOff>
      <xdr:row>19</xdr:row>
      <xdr:rowOff>28180</xdr:rowOff>
    </xdr:from>
    <xdr:to>
      <xdr:col>4</xdr:col>
      <xdr:colOff>3638101</xdr:colOff>
      <xdr:row>19</xdr:row>
      <xdr:rowOff>2094899</xdr:rowOff>
    </xdr:to>
    <xdr:pic>
      <xdr:nvPicPr>
        <xdr:cNvPr id="5" name="Picture 4">
          <a:extLst>
            <a:ext uri="{FF2B5EF4-FFF2-40B4-BE49-F238E27FC236}">
              <a16:creationId xmlns:a16="http://schemas.microsoft.com/office/drawing/2014/main" id="{5627AF3B-B208-49FA-B7D0-D9DD77CA0345}"/>
            </a:ext>
          </a:extLst>
        </xdr:cNvPr>
        <xdr:cNvPicPr>
          <a:picLocks noChangeAspect="1"/>
        </xdr:cNvPicPr>
      </xdr:nvPicPr>
      <xdr:blipFill>
        <a:blip xmlns:r="http://schemas.openxmlformats.org/officeDocument/2006/relationships" r:embed="rId4"/>
        <a:stretch>
          <a:fillRect/>
        </a:stretch>
      </xdr:blipFill>
      <xdr:spPr>
        <a:xfrm>
          <a:off x="11021824" y="39566455"/>
          <a:ext cx="2183187" cy="2066719"/>
        </a:xfrm>
        <a:prstGeom prst="rect">
          <a:avLst/>
        </a:prstGeom>
      </xdr:spPr>
    </xdr:pic>
    <xdr:clientData/>
  </xdr:twoCellAnchor>
  <xdr:twoCellAnchor editAs="oneCell">
    <xdr:from>
      <xdr:col>4</xdr:col>
      <xdr:colOff>814442</xdr:colOff>
      <xdr:row>23</xdr:row>
      <xdr:rowOff>117103</xdr:rowOff>
    </xdr:from>
    <xdr:to>
      <xdr:col>4</xdr:col>
      <xdr:colOff>4415117</xdr:colOff>
      <xdr:row>23</xdr:row>
      <xdr:rowOff>2975221</xdr:rowOff>
    </xdr:to>
    <xdr:pic>
      <xdr:nvPicPr>
        <xdr:cNvPr id="6" name="Picture 5">
          <a:extLst>
            <a:ext uri="{FF2B5EF4-FFF2-40B4-BE49-F238E27FC236}">
              <a16:creationId xmlns:a16="http://schemas.microsoft.com/office/drawing/2014/main" id="{F8D2F9CB-3D29-418B-A0F3-309D9AB37F4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630795" y="44279485"/>
          <a:ext cx="3600675" cy="285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908478</xdr:colOff>
      <xdr:row>1</xdr:row>
      <xdr:rowOff>89647</xdr:rowOff>
    </xdr:from>
    <xdr:to>
      <xdr:col>4</xdr:col>
      <xdr:colOff>4363811</xdr:colOff>
      <xdr:row>1</xdr:row>
      <xdr:rowOff>2499170</xdr:rowOff>
    </xdr:to>
    <xdr:pic>
      <xdr:nvPicPr>
        <xdr:cNvPr id="7" name="Picture 6">
          <a:extLst>
            <a:ext uri="{FF2B5EF4-FFF2-40B4-BE49-F238E27FC236}">
              <a16:creationId xmlns:a16="http://schemas.microsoft.com/office/drawing/2014/main" id="{C1517BDA-76B9-48B0-BCC8-DBEAA5B9DF8F}"/>
            </a:ext>
          </a:extLst>
        </xdr:cNvPr>
        <xdr:cNvPicPr>
          <a:picLocks noChangeAspect="1"/>
        </xdr:cNvPicPr>
      </xdr:nvPicPr>
      <xdr:blipFill>
        <a:blip xmlns:r="http://schemas.openxmlformats.org/officeDocument/2006/relationships" r:embed="rId6"/>
        <a:stretch>
          <a:fillRect/>
        </a:stretch>
      </xdr:blipFill>
      <xdr:spPr>
        <a:xfrm>
          <a:off x="10471578" y="851647"/>
          <a:ext cx="3445808" cy="2420953"/>
        </a:xfrm>
        <a:prstGeom prst="rect">
          <a:avLst/>
        </a:prstGeom>
      </xdr:spPr>
    </xdr:pic>
    <xdr:clientData/>
  </xdr:twoCellAnchor>
  <xdr:twoCellAnchor editAs="oneCell">
    <xdr:from>
      <xdr:col>4</xdr:col>
      <xdr:colOff>661148</xdr:colOff>
      <xdr:row>2</xdr:row>
      <xdr:rowOff>112058</xdr:rowOff>
    </xdr:from>
    <xdr:to>
      <xdr:col>4</xdr:col>
      <xdr:colOff>4264096</xdr:colOff>
      <xdr:row>2</xdr:row>
      <xdr:rowOff>2422376</xdr:rowOff>
    </xdr:to>
    <xdr:pic>
      <xdr:nvPicPr>
        <xdr:cNvPr id="8" name="Picture 7">
          <a:extLst>
            <a:ext uri="{FF2B5EF4-FFF2-40B4-BE49-F238E27FC236}">
              <a16:creationId xmlns:a16="http://schemas.microsoft.com/office/drawing/2014/main" id="{78FA445C-82BA-4C78-88F4-7B5AE4D69BC9}"/>
            </a:ext>
          </a:extLst>
        </xdr:cNvPr>
        <xdr:cNvPicPr>
          <a:picLocks noChangeAspect="1"/>
        </xdr:cNvPicPr>
      </xdr:nvPicPr>
      <xdr:blipFill>
        <a:blip xmlns:r="http://schemas.openxmlformats.org/officeDocument/2006/relationships" r:embed="rId7"/>
        <a:stretch>
          <a:fillRect/>
        </a:stretch>
      </xdr:blipFill>
      <xdr:spPr>
        <a:xfrm>
          <a:off x="10224248" y="3407708"/>
          <a:ext cx="3602948" cy="2317938"/>
        </a:xfrm>
        <a:prstGeom prst="rect">
          <a:avLst/>
        </a:prstGeom>
      </xdr:spPr>
    </xdr:pic>
    <xdr:clientData/>
  </xdr:twoCellAnchor>
  <xdr:twoCellAnchor editAs="oneCell">
    <xdr:from>
      <xdr:col>4</xdr:col>
      <xdr:colOff>802822</xdr:colOff>
      <xdr:row>3</xdr:row>
      <xdr:rowOff>41339</xdr:rowOff>
    </xdr:from>
    <xdr:to>
      <xdr:col>4</xdr:col>
      <xdr:colOff>4399190</xdr:colOff>
      <xdr:row>3</xdr:row>
      <xdr:rowOff>3902315</xdr:rowOff>
    </xdr:to>
    <xdr:pic>
      <xdr:nvPicPr>
        <xdr:cNvPr id="9" name="Picture 8">
          <a:extLst>
            <a:ext uri="{FF2B5EF4-FFF2-40B4-BE49-F238E27FC236}">
              <a16:creationId xmlns:a16="http://schemas.microsoft.com/office/drawing/2014/main" id="{DB919723-856C-4754-9E7B-9491BCCAE2D8}"/>
            </a:ext>
          </a:extLst>
        </xdr:cNvPr>
        <xdr:cNvPicPr>
          <a:picLocks noChangeAspect="1"/>
        </xdr:cNvPicPr>
      </xdr:nvPicPr>
      <xdr:blipFill>
        <a:blip xmlns:r="http://schemas.openxmlformats.org/officeDocument/2006/relationships" r:embed="rId8"/>
        <a:stretch>
          <a:fillRect/>
        </a:stretch>
      </xdr:blipFill>
      <xdr:spPr>
        <a:xfrm>
          <a:off x="10365922" y="5861114"/>
          <a:ext cx="3605893" cy="3853356"/>
        </a:xfrm>
        <a:prstGeom prst="rect">
          <a:avLst/>
        </a:prstGeom>
      </xdr:spPr>
    </xdr:pic>
    <xdr:clientData/>
  </xdr:twoCellAnchor>
  <xdr:twoCellAnchor editAs="oneCell">
    <xdr:from>
      <xdr:col>4</xdr:col>
      <xdr:colOff>896470</xdr:colOff>
      <xdr:row>4</xdr:row>
      <xdr:rowOff>56028</xdr:rowOff>
    </xdr:from>
    <xdr:to>
      <xdr:col>4</xdr:col>
      <xdr:colOff>4841741</xdr:colOff>
      <xdr:row>4</xdr:row>
      <xdr:rowOff>2435485</xdr:rowOff>
    </xdr:to>
    <xdr:pic>
      <xdr:nvPicPr>
        <xdr:cNvPr id="10" name="Picture 9">
          <a:extLst>
            <a:ext uri="{FF2B5EF4-FFF2-40B4-BE49-F238E27FC236}">
              <a16:creationId xmlns:a16="http://schemas.microsoft.com/office/drawing/2014/main" id="{845BA3AD-BB3F-4DCC-8921-433E4245A23A}"/>
            </a:ext>
          </a:extLst>
        </xdr:cNvPr>
        <xdr:cNvPicPr>
          <a:picLocks noChangeAspect="1"/>
        </xdr:cNvPicPr>
      </xdr:nvPicPr>
      <xdr:blipFill>
        <a:blip xmlns:r="http://schemas.openxmlformats.org/officeDocument/2006/relationships" r:embed="rId9"/>
        <a:stretch>
          <a:fillRect/>
        </a:stretch>
      </xdr:blipFill>
      <xdr:spPr>
        <a:xfrm>
          <a:off x="10459570" y="9819153"/>
          <a:ext cx="3945271" cy="2379457"/>
        </a:xfrm>
        <a:prstGeom prst="rect">
          <a:avLst/>
        </a:prstGeom>
      </xdr:spPr>
    </xdr:pic>
    <xdr:clientData/>
  </xdr:twoCellAnchor>
  <xdr:twoCellAnchor editAs="oneCell">
    <xdr:from>
      <xdr:col>4</xdr:col>
      <xdr:colOff>267414</xdr:colOff>
      <xdr:row>10</xdr:row>
      <xdr:rowOff>4207353</xdr:rowOff>
    </xdr:from>
    <xdr:to>
      <xdr:col>4</xdr:col>
      <xdr:colOff>4705465</xdr:colOff>
      <xdr:row>11</xdr:row>
      <xdr:rowOff>3449551</xdr:rowOff>
    </xdr:to>
    <xdr:pic>
      <xdr:nvPicPr>
        <xdr:cNvPr id="11" name="Picture 10">
          <a:extLst>
            <a:ext uri="{FF2B5EF4-FFF2-40B4-BE49-F238E27FC236}">
              <a16:creationId xmlns:a16="http://schemas.microsoft.com/office/drawing/2014/main" id="{85066CBE-A6F1-488F-870B-FCB564038B17}"/>
            </a:ext>
          </a:extLst>
        </xdr:cNvPr>
        <xdr:cNvPicPr>
          <a:picLocks noChangeAspect="1"/>
        </xdr:cNvPicPr>
      </xdr:nvPicPr>
      <xdr:blipFill>
        <a:blip xmlns:r="http://schemas.openxmlformats.org/officeDocument/2006/relationships" r:embed="rId10"/>
        <a:stretch>
          <a:fillRect/>
        </a:stretch>
      </xdr:blipFill>
      <xdr:spPr>
        <a:xfrm>
          <a:off x="9827050" y="21802626"/>
          <a:ext cx="4428526" cy="4202992"/>
        </a:xfrm>
        <a:prstGeom prst="rect">
          <a:avLst/>
        </a:prstGeom>
      </xdr:spPr>
    </xdr:pic>
    <xdr:clientData/>
  </xdr:twoCellAnchor>
  <xdr:twoCellAnchor editAs="oneCell">
    <xdr:from>
      <xdr:col>4</xdr:col>
      <xdr:colOff>771606</xdr:colOff>
      <xdr:row>10</xdr:row>
      <xdr:rowOff>95250</xdr:rowOff>
    </xdr:from>
    <xdr:to>
      <xdr:col>4</xdr:col>
      <xdr:colOff>4130540</xdr:colOff>
      <xdr:row>10</xdr:row>
      <xdr:rowOff>4323335</xdr:rowOff>
    </xdr:to>
    <xdr:pic>
      <xdr:nvPicPr>
        <xdr:cNvPr id="12" name="Picture 11">
          <a:extLst>
            <a:ext uri="{FF2B5EF4-FFF2-40B4-BE49-F238E27FC236}">
              <a16:creationId xmlns:a16="http://schemas.microsoft.com/office/drawing/2014/main" id="{3B1FFA6C-D439-4485-AAA4-DFDD3B3DEDCD}"/>
            </a:ext>
          </a:extLst>
        </xdr:cNvPr>
        <xdr:cNvPicPr>
          <a:picLocks noChangeAspect="1"/>
        </xdr:cNvPicPr>
      </xdr:nvPicPr>
      <xdr:blipFill>
        <a:blip xmlns:r="http://schemas.openxmlformats.org/officeDocument/2006/relationships" r:embed="rId11"/>
        <a:stretch>
          <a:fillRect/>
        </a:stretch>
      </xdr:blipFill>
      <xdr:spPr>
        <a:xfrm>
          <a:off x="10337427" y="17702893"/>
          <a:ext cx="3355124" cy="42414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78440</xdr:colOff>
          <xdr:row>13</xdr:row>
          <xdr:rowOff>89648</xdr:rowOff>
        </xdr:from>
        <xdr:to>
          <xdr:col>4</xdr:col>
          <xdr:colOff>5065058</xdr:colOff>
          <xdr:row>13</xdr:row>
          <xdr:rowOff>1430543</xdr:rowOff>
        </xdr:to>
        <xdr:pic>
          <xdr:nvPicPr>
            <xdr:cNvPr id="13" name="Picture 12">
              <a:extLst>
                <a:ext uri="{FF2B5EF4-FFF2-40B4-BE49-F238E27FC236}">
                  <a16:creationId xmlns:a16="http://schemas.microsoft.com/office/drawing/2014/main" id="{02222247-769C-4DC5-8FAC-AEB9175CDF06}"/>
                </a:ext>
              </a:extLst>
            </xdr:cNvPr>
            <xdr:cNvPicPr>
              <a:picLocks noChangeAspect="1"/>
              <a:extLst>
                <a:ext uri="{84589F7E-364E-4C9E-8A38-B11213B215E9}">
                  <a14:cameraTool cellRange="Picture2" spid="_x0000_s7690"/>
                </a:ext>
              </a:extLst>
            </xdr:cNvPicPr>
          </xdr:nvPicPr>
          <xdr:blipFill>
            <a:blip xmlns:r="http://schemas.openxmlformats.org/officeDocument/2006/relationships" r:embed="rId12"/>
            <a:stretch>
              <a:fillRect/>
            </a:stretch>
          </xdr:blipFill>
          <xdr:spPr>
            <a:xfrm>
              <a:off x="9637058" y="30166236"/>
              <a:ext cx="4986618" cy="1344705"/>
            </a:xfrm>
            <a:prstGeom prst="rect">
              <a:avLst/>
            </a:prstGeom>
          </xdr:spPr>
        </xdr:pic>
        <xdr:clientData/>
      </xdr:twoCellAnchor>
    </mc:Choice>
    <mc:Fallback/>
  </mc:AlternateContent>
  <xdr:twoCellAnchor editAs="oneCell">
    <xdr:from>
      <xdr:col>3</xdr:col>
      <xdr:colOff>381001</xdr:colOff>
      <xdr:row>87</xdr:row>
      <xdr:rowOff>112058</xdr:rowOff>
    </xdr:from>
    <xdr:to>
      <xdr:col>3</xdr:col>
      <xdr:colOff>5446059</xdr:colOff>
      <xdr:row>87</xdr:row>
      <xdr:rowOff>2282263</xdr:rowOff>
    </xdr:to>
    <xdr:pic>
      <xdr:nvPicPr>
        <xdr:cNvPr id="14" name="Picture 13">
          <a:extLst>
            <a:ext uri="{FF2B5EF4-FFF2-40B4-BE49-F238E27FC236}">
              <a16:creationId xmlns:a16="http://schemas.microsoft.com/office/drawing/2014/main" id="{71983AF6-2AD8-41AD-A298-747031DD6384}"/>
            </a:ext>
          </a:extLst>
        </xdr:cNvPr>
        <xdr:cNvPicPr>
          <a:picLocks noChangeAspect="1"/>
        </xdr:cNvPicPr>
      </xdr:nvPicPr>
      <xdr:blipFill>
        <a:blip xmlns:r="http://schemas.openxmlformats.org/officeDocument/2006/relationships" r:embed="rId13"/>
        <a:stretch>
          <a:fillRect/>
        </a:stretch>
      </xdr:blipFill>
      <xdr:spPr>
        <a:xfrm>
          <a:off x="3990976" y="61281608"/>
          <a:ext cx="5065058" cy="217020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153966</xdr:colOff>
          <xdr:row>25</xdr:row>
          <xdr:rowOff>332974</xdr:rowOff>
        </xdr:from>
        <xdr:to>
          <xdr:col>4</xdr:col>
          <xdr:colOff>5012839</xdr:colOff>
          <xdr:row>46</xdr:row>
          <xdr:rowOff>60416</xdr:rowOff>
        </xdr:to>
        <xdr:pic>
          <xdr:nvPicPr>
            <xdr:cNvPr id="16" name="Picture 15">
              <a:extLst>
                <a:ext uri="{FF2B5EF4-FFF2-40B4-BE49-F238E27FC236}">
                  <a16:creationId xmlns:a16="http://schemas.microsoft.com/office/drawing/2014/main" id="{83DD9C5E-3803-49ED-8610-F49564D89FD7}"/>
                </a:ext>
              </a:extLst>
            </xdr:cNvPr>
            <xdr:cNvPicPr>
              <a:picLocks noChangeAspect="1"/>
              <a:extLst>
                <a:ext uri="{84589F7E-364E-4C9E-8A38-B11213B215E9}">
                  <a14:cameraTool cellRange="Picture" spid="_x0000_s7691"/>
                </a:ext>
              </a:extLst>
            </xdr:cNvPicPr>
          </xdr:nvPicPr>
          <xdr:blipFill>
            <a:blip xmlns:r="http://schemas.openxmlformats.org/officeDocument/2006/relationships" r:embed="rId14"/>
            <a:stretch>
              <a:fillRect/>
            </a:stretch>
          </xdr:blipFill>
          <xdr:spPr>
            <a:xfrm>
              <a:off x="9964716" y="48434224"/>
              <a:ext cx="4855063" cy="6579454"/>
            </a:xfrm>
            <a:prstGeom prst="rect">
              <a:avLst/>
            </a:prstGeom>
          </xdr:spPr>
        </xdr:pic>
        <xdr:clientData/>
      </xdr:twoCellAnchor>
    </mc:Choice>
    <mc:Fallback/>
  </mc:AlternateContent>
  <xdr:twoCellAnchor editAs="oneCell">
    <xdr:from>
      <xdr:col>4</xdr:col>
      <xdr:colOff>268286</xdr:colOff>
      <xdr:row>8</xdr:row>
      <xdr:rowOff>136072</xdr:rowOff>
    </xdr:from>
    <xdr:to>
      <xdr:col>4</xdr:col>
      <xdr:colOff>4401950</xdr:colOff>
      <xdr:row>8</xdr:row>
      <xdr:rowOff>1922690</xdr:rowOff>
    </xdr:to>
    <xdr:pic>
      <xdr:nvPicPr>
        <xdr:cNvPr id="17" name="Picture 16">
          <a:extLst>
            <a:ext uri="{FF2B5EF4-FFF2-40B4-BE49-F238E27FC236}">
              <a16:creationId xmlns:a16="http://schemas.microsoft.com/office/drawing/2014/main" id="{84B2A628-3667-4217-A2A6-6C66FBB30038}"/>
            </a:ext>
          </a:extLst>
        </xdr:cNvPr>
        <xdr:cNvPicPr>
          <a:picLocks noChangeAspect="1"/>
        </xdr:cNvPicPr>
      </xdr:nvPicPr>
      <xdr:blipFill>
        <a:blip xmlns:r="http://schemas.openxmlformats.org/officeDocument/2006/relationships" r:embed="rId15"/>
        <a:stretch>
          <a:fillRect/>
        </a:stretch>
      </xdr:blipFill>
      <xdr:spPr>
        <a:xfrm>
          <a:off x="9831386" y="15395122"/>
          <a:ext cx="4129854" cy="1796143"/>
        </a:xfrm>
        <a:prstGeom prst="rect">
          <a:avLst/>
        </a:prstGeom>
      </xdr:spPr>
    </xdr:pic>
    <xdr:clientData/>
  </xdr:twoCellAnchor>
  <xdr:twoCellAnchor editAs="oneCell">
    <xdr:from>
      <xdr:col>3</xdr:col>
      <xdr:colOff>78441</xdr:colOff>
      <xdr:row>93</xdr:row>
      <xdr:rowOff>91236</xdr:rowOff>
    </xdr:from>
    <xdr:to>
      <xdr:col>3</xdr:col>
      <xdr:colOff>5965115</xdr:colOff>
      <xdr:row>93</xdr:row>
      <xdr:rowOff>2511335</xdr:rowOff>
    </xdr:to>
    <xdr:pic>
      <xdr:nvPicPr>
        <xdr:cNvPr id="18" name="Picture 17">
          <a:extLst>
            <a:ext uri="{FF2B5EF4-FFF2-40B4-BE49-F238E27FC236}">
              <a16:creationId xmlns:a16="http://schemas.microsoft.com/office/drawing/2014/main" id="{2785E6EF-3988-48A3-BD39-C109C426977F}"/>
            </a:ext>
          </a:extLst>
        </xdr:cNvPr>
        <xdr:cNvPicPr>
          <a:picLocks noChangeAspect="1"/>
        </xdr:cNvPicPr>
      </xdr:nvPicPr>
      <xdr:blipFill>
        <a:blip xmlns:r="http://schemas.openxmlformats.org/officeDocument/2006/relationships" r:embed="rId16"/>
        <a:stretch>
          <a:fillRect/>
        </a:stretch>
      </xdr:blipFill>
      <xdr:spPr>
        <a:xfrm>
          <a:off x="3688416" y="71452536"/>
          <a:ext cx="5897095" cy="2420099"/>
        </a:xfrm>
        <a:prstGeom prst="rect">
          <a:avLst/>
        </a:prstGeom>
      </xdr:spPr>
    </xdr:pic>
    <xdr:clientData/>
  </xdr:twoCellAnchor>
  <xdr:twoCellAnchor editAs="oneCell">
    <xdr:from>
      <xdr:col>3</xdr:col>
      <xdr:colOff>74141</xdr:colOff>
      <xdr:row>92</xdr:row>
      <xdr:rowOff>56030</xdr:rowOff>
    </xdr:from>
    <xdr:to>
      <xdr:col>3</xdr:col>
      <xdr:colOff>5920944</xdr:colOff>
      <xdr:row>92</xdr:row>
      <xdr:rowOff>1774340</xdr:rowOff>
    </xdr:to>
    <xdr:pic>
      <xdr:nvPicPr>
        <xdr:cNvPr id="19" name="Picture 18">
          <a:extLst>
            <a:ext uri="{FF2B5EF4-FFF2-40B4-BE49-F238E27FC236}">
              <a16:creationId xmlns:a16="http://schemas.microsoft.com/office/drawing/2014/main" id="{8DC6C3CF-DB02-4E0B-87CD-9FAC2BF76021}"/>
            </a:ext>
          </a:extLst>
        </xdr:cNvPr>
        <xdr:cNvPicPr>
          <a:picLocks noChangeAspect="1"/>
        </xdr:cNvPicPr>
      </xdr:nvPicPr>
      <xdr:blipFill>
        <a:blip xmlns:r="http://schemas.openxmlformats.org/officeDocument/2006/relationships" r:embed="rId17"/>
        <a:stretch>
          <a:fillRect/>
        </a:stretch>
      </xdr:blipFill>
      <xdr:spPr>
        <a:xfrm>
          <a:off x="3684116" y="69626630"/>
          <a:ext cx="5835373" cy="1714500"/>
        </a:xfrm>
        <a:prstGeom prst="rect">
          <a:avLst/>
        </a:prstGeom>
      </xdr:spPr>
    </xdr:pic>
    <xdr:clientData/>
  </xdr:twoCellAnchor>
  <xdr:twoCellAnchor editAs="oneCell">
    <xdr:from>
      <xdr:col>3</xdr:col>
      <xdr:colOff>145677</xdr:colOff>
      <xdr:row>91</xdr:row>
      <xdr:rowOff>48996</xdr:rowOff>
    </xdr:from>
    <xdr:to>
      <xdr:col>3</xdr:col>
      <xdr:colOff>5847342</xdr:colOff>
      <xdr:row>91</xdr:row>
      <xdr:rowOff>2001377</xdr:rowOff>
    </xdr:to>
    <xdr:pic>
      <xdr:nvPicPr>
        <xdr:cNvPr id="20" name="Picture 19">
          <a:extLst>
            <a:ext uri="{FF2B5EF4-FFF2-40B4-BE49-F238E27FC236}">
              <a16:creationId xmlns:a16="http://schemas.microsoft.com/office/drawing/2014/main" id="{FB143B6F-38D4-450C-A3CC-A034878799C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755652" y="67533621"/>
          <a:ext cx="5715000" cy="194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xdr:colOff>
      <xdr:row>90</xdr:row>
      <xdr:rowOff>67235</xdr:rowOff>
    </xdr:from>
    <xdr:to>
      <xdr:col>3</xdr:col>
      <xdr:colOff>5927688</xdr:colOff>
      <xdr:row>91</xdr:row>
      <xdr:rowOff>0</xdr:rowOff>
    </xdr:to>
    <xdr:pic>
      <xdr:nvPicPr>
        <xdr:cNvPr id="21" name="Picture 20">
          <a:extLst>
            <a:ext uri="{FF2B5EF4-FFF2-40B4-BE49-F238E27FC236}">
              <a16:creationId xmlns:a16="http://schemas.microsoft.com/office/drawing/2014/main" id="{F0594D3C-E123-4BF5-A157-546BECB6CD2B}"/>
            </a:ext>
          </a:extLst>
        </xdr:cNvPr>
        <xdr:cNvPicPr>
          <a:picLocks noChangeAspect="1"/>
        </xdr:cNvPicPr>
      </xdr:nvPicPr>
      <xdr:blipFill>
        <a:blip xmlns:r="http://schemas.openxmlformats.org/officeDocument/2006/relationships" r:embed="rId19"/>
        <a:stretch>
          <a:fillRect/>
        </a:stretch>
      </xdr:blipFill>
      <xdr:spPr>
        <a:xfrm>
          <a:off x="3675529" y="68075735"/>
          <a:ext cx="5871883" cy="1591236"/>
        </a:xfrm>
        <a:prstGeom prst="rect">
          <a:avLst/>
        </a:prstGeom>
      </xdr:spPr>
    </xdr:pic>
    <xdr:clientData/>
  </xdr:twoCellAnchor>
  <xdr:twoCellAnchor editAs="oneCell">
    <xdr:from>
      <xdr:col>3</xdr:col>
      <xdr:colOff>268941</xdr:colOff>
      <xdr:row>88</xdr:row>
      <xdr:rowOff>47878</xdr:rowOff>
    </xdr:from>
    <xdr:to>
      <xdr:col>3</xdr:col>
      <xdr:colOff>5827059</xdr:colOff>
      <xdr:row>89</xdr:row>
      <xdr:rowOff>16452</xdr:rowOff>
    </xdr:to>
    <xdr:pic>
      <xdr:nvPicPr>
        <xdr:cNvPr id="25" name="Picture 24">
          <a:extLst>
            <a:ext uri="{FF2B5EF4-FFF2-40B4-BE49-F238E27FC236}">
              <a16:creationId xmlns:a16="http://schemas.microsoft.com/office/drawing/2014/main" id="{81F7DD15-BBA2-488B-943C-D792F2A37D3B}"/>
            </a:ext>
          </a:extLst>
        </xdr:cNvPr>
        <xdr:cNvPicPr>
          <a:picLocks noChangeAspect="1"/>
        </xdr:cNvPicPr>
      </xdr:nvPicPr>
      <xdr:blipFill>
        <a:blip xmlns:r="http://schemas.openxmlformats.org/officeDocument/2006/relationships" r:embed="rId20"/>
        <a:stretch>
          <a:fillRect/>
        </a:stretch>
      </xdr:blipFill>
      <xdr:spPr>
        <a:xfrm>
          <a:off x="3877235" y="65871231"/>
          <a:ext cx="5558118" cy="2254349"/>
        </a:xfrm>
        <a:prstGeom prst="rect">
          <a:avLst/>
        </a:prstGeom>
      </xdr:spPr>
    </xdr:pic>
    <xdr:clientData/>
  </xdr:twoCellAnchor>
  <xdr:twoCellAnchor editAs="oneCell">
    <xdr:from>
      <xdr:col>3</xdr:col>
      <xdr:colOff>108857</xdr:colOff>
      <xdr:row>89</xdr:row>
      <xdr:rowOff>70160</xdr:rowOff>
    </xdr:from>
    <xdr:to>
      <xdr:col>3</xdr:col>
      <xdr:colOff>6096000</xdr:colOff>
      <xdr:row>89</xdr:row>
      <xdr:rowOff>2265215</xdr:rowOff>
    </xdr:to>
    <xdr:pic>
      <xdr:nvPicPr>
        <xdr:cNvPr id="26" name="Picture 25">
          <a:extLst>
            <a:ext uri="{FF2B5EF4-FFF2-40B4-BE49-F238E27FC236}">
              <a16:creationId xmlns:a16="http://schemas.microsoft.com/office/drawing/2014/main" id="{BA7B3C58-BA1B-4051-9DAC-DD72CD2E37CE}"/>
            </a:ext>
          </a:extLst>
        </xdr:cNvPr>
        <xdr:cNvPicPr>
          <a:picLocks noChangeAspect="1"/>
        </xdr:cNvPicPr>
      </xdr:nvPicPr>
      <xdr:blipFill>
        <a:blip xmlns:r="http://schemas.openxmlformats.org/officeDocument/2006/relationships" r:embed="rId21"/>
        <a:stretch>
          <a:fillRect/>
        </a:stretch>
      </xdr:blipFill>
      <xdr:spPr>
        <a:xfrm>
          <a:off x="3714750" y="68255553"/>
          <a:ext cx="5987143" cy="2191245"/>
        </a:xfrm>
        <a:prstGeom prst="rect">
          <a:avLst/>
        </a:prstGeom>
      </xdr:spPr>
    </xdr:pic>
    <xdr:clientData/>
  </xdr:twoCellAnchor>
  <xdr:twoCellAnchor editAs="oneCell">
    <xdr:from>
      <xdr:col>4</xdr:col>
      <xdr:colOff>862853</xdr:colOff>
      <xdr:row>20</xdr:row>
      <xdr:rowOff>112059</xdr:rowOff>
    </xdr:from>
    <xdr:to>
      <xdr:col>4</xdr:col>
      <xdr:colOff>4379044</xdr:colOff>
      <xdr:row>20</xdr:row>
      <xdr:rowOff>1959678</xdr:rowOff>
    </xdr:to>
    <xdr:pic>
      <xdr:nvPicPr>
        <xdr:cNvPr id="15" name="Picture 14">
          <a:extLst>
            <a:ext uri="{FF2B5EF4-FFF2-40B4-BE49-F238E27FC236}">
              <a16:creationId xmlns:a16="http://schemas.microsoft.com/office/drawing/2014/main" id="{60950CD4-973C-42C0-95B5-F6156898AF38}"/>
            </a:ext>
          </a:extLst>
        </xdr:cNvPr>
        <xdr:cNvPicPr>
          <a:picLocks noChangeAspect="1"/>
        </xdr:cNvPicPr>
      </xdr:nvPicPr>
      <xdr:blipFill>
        <a:blip xmlns:r="http://schemas.openxmlformats.org/officeDocument/2006/relationships" r:embed="rId22"/>
        <a:stretch>
          <a:fillRect/>
        </a:stretch>
      </xdr:blipFill>
      <xdr:spPr>
        <a:xfrm>
          <a:off x="10679206" y="39646412"/>
          <a:ext cx="3516191" cy="1851429"/>
        </a:xfrm>
        <a:prstGeom prst="rect">
          <a:avLst/>
        </a:prstGeom>
      </xdr:spPr>
    </xdr:pic>
    <xdr:clientData/>
  </xdr:twoCellAnchor>
  <xdr:twoCellAnchor editAs="oneCell">
    <xdr:from>
      <xdr:col>4</xdr:col>
      <xdr:colOff>37203</xdr:colOff>
      <xdr:row>23</xdr:row>
      <xdr:rowOff>2993168</xdr:rowOff>
    </xdr:from>
    <xdr:to>
      <xdr:col>4</xdr:col>
      <xdr:colOff>5068868</xdr:colOff>
      <xdr:row>23</xdr:row>
      <xdr:rowOff>3716625</xdr:rowOff>
    </xdr:to>
    <xdr:pic>
      <xdr:nvPicPr>
        <xdr:cNvPr id="22" name="Picture 21">
          <a:extLst>
            <a:ext uri="{FF2B5EF4-FFF2-40B4-BE49-F238E27FC236}">
              <a16:creationId xmlns:a16="http://schemas.microsoft.com/office/drawing/2014/main" id="{9BE8970A-F213-418F-9783-9F4B8A852AC6}"/>
            </a:ext>
          </a:extLst>
        </xdr:cNvPr>
        <xdr:cNvPicPr>
          <a:picLocks noChangeAspect="1"/>
        </xdr:cNvPicPr>
      </xdr:nvPicPr>
      <xdr:blipFill>
        <a:blip xmlns:r="http://schemas.openxmlformats.org/officeDocument/2006/relationships" r:embed="rId23"/>
        <a:stretch>
          <a:fillRect/>
        </a:stretch>
      </xdr:blipFill>
      <xdr:spPr>
        <a:xfrm>
          <a:off x="9853556" y="47155550"/>
          <a:ext cx="5031665" cy="723457"/>
        </a:xfrm>
        <a:prstGeom prst="rect">
          <a:avLst/>
        </a:prstGeom>
      </xdr:spPr>
    </xdr:pic>
    <xdr:clientData/>
  </xdr:twoCellAnchor>
  <xdr:twoCellAnchor editAs="oneCell">
    <xdr:from>
      <xdr:col>4</xdr:col>
      <xdr:colOff>89006</xdr:colOff>
      <xdr:row>23</xdr:row>
      <xdr:rowOff>3687378</xdr:rowOff>
    </xdr:from>
    <xdr:to>
      <xdr:col>4</xdr:col>
      <xdr:colOff>5004955</xdr:colOff>
      <xdr:row>23</xdr:row>
      <xdr:rowOff>4787316</xdr:rowOff>
    </xdr:to>
    <xdr:pic>
      <xdr:nvPicPr>
        <xdr:cNvPr id="24" name="Picture 23">
          <a:extLst>
            <a:ext uri="{FF2B5EF4-FFF2-40B4-BE49-F238E27FC236}">
              <a16:creationId xmlns:a16="http://schemas.microsoft.com/office/drawing/2014/main" id="{2CC6DE2B-D90A-4099-99C2-0DE2F4864436}"/>
            </a:ext>
          </a:extLst>
        </xdr:cNvPr>
        <xdr:cNvPicPr>
          <a:picLocks noChangeAspect="1"/>
        </xdr:cNvPicPr>
      </xdr:nvPicPr>
      <xdr:blipFill>
        <a:blip xmlns:r="http://schemas.openxmlformats.org/officeDocument/2006/relationships" r:embed="rId24"/>
        <a:stretch>
          <a:fillRect/>
        </a:stretch>
      </xdr:blipFill>
      <xdr:spPr>
        <a:xfrm>
          <a:off x="9908415" y="47883378"/>
          <a:ext cx="4915949" cy="10999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295835</xdr:colOff>
      <xdr:row>0</xdr:row>
      <xdr:rowOff>166915</xdr:rowOff>
    </xdr:from>
    <xdr:to>
      <xdr:col>3</xdr:col>
      <xdr:colOff>603997</xdr:colOff>
      <xdr:row>3</xdr:row>
      <xdr:rowOff>71718</xdr:rowOff>
    </xdr:to>
    <xdr:sp macro="" textlink="">
      <xdr:nvSpPr>
        <xdr:cNvPr id="6" name="Rounded Rectangle 6">
          <a:extLst>
            <a:ext uri="{FF2B5EF4-FFF2-40B4-BE49-F238E27FC236}">
              <a16:creationId xmlns:a16="http://schemas.microsoft.com/office/drawing/2014/main" id="{AFC2234E-E7F8-4D7F-B118-A8B7AC77B0DA}"/>
            </a:ext>
          </a:extLst>
        </xdr:cNvPr>
        <xdr:cNvSpPr/>
      </xdr:nvSpPr>
      <xdr:spPr>
        <a:xfrm>
          <a:off x="1248335" y="166915"/>
          <a:ext cx="2803712" cy="5048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desired</a:t>
          </a:r>
          <a:r>
            <a:rPr lang="en-US" sz="1100" baseline="0"/>
            <a:t> feature from the drop down list for each line item.</a:t>
          </a:r>
          <a:endParaRPr lang="en-US" sz="1100"/>
        </a:p>
      </xdr:txBody>
    </xdr:sp>
    <xdr:clientData/>
  </xdr:twoCellAnchor>
  <xdr:twoCellAnchor>
    <xdr:from>
      <xdr:col>2</xdr:col>
      <xdr:colOff>449917</xdr:colOff>
      <xdr:row>3</xdr:row>
      <xdr:rowOff>71718</xdr:rowOff>
    </xdr:from>
    <xdr:to>
      <xdr:col>2</xdr:col>
      <xdr:colOff>449943</xdr:colOff>
      <xdr:row>4</xdr:row>
      <xdr:rowOff>192318</xdr:rowOff>
    </xdr:to>
    <xdr:cxnSp macro="">
      <xdr:nvCxnSpPr>
        <xdr:cNvPr id="7" name="Straight Arrow Connector 6">
          <a:extLst>
            <a:ext uri="{FF2B5EF4-FFF2-40B4-BE49-F238E27FC236}">
              <a16:creationId xmlns:a16="http://schemas.microsoft.com/office/drawing/2014/main" id="{BA2546F3-12FE-4AD7-93E7-5D2CE6E168A7}"/>
            </a:ext>
          </a:extLst>
        </xdr:cNvPr>
        <xdr:cNvCxnSpPr>
          <a:endCxn id="6" idx="2"/>
        </xdr:cNvCxnSpPr>
      </xdr:nvCxnSpPr>
      <xdr:spPr>
        <a:xfrm flipH="1" flipV="1">
          <a:off x="2888317" y="671793"/>
          <a:ext cx="26" cy="32062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2013</xdr:colOff>
      <xdr:row>7</xdr:row>
      <xdr:rowOff>182327</xdr:rowOff>
    </xdr:from>
    <xdr:to>
      <xdr:col>11</xdr:col>
      <xdr:colOff>705970</xdr:colOff>
      <xdr:row>10</xdr:row>
      <xdr:rowOff>0</xdr:rowOff>
    </xdr:to>
    <xdr:sp macro="" textlink="">
      <xdr:nvSpPr>
        <xdr:cNvPr id="8" name="Rounded Rectangle 13">
          <a:extLst>
            <a:ext uri="{FF2B5EF4-FFF2-40B4-BE49-F238E27FC236}">
              <a16:creationId xmlns:a16="http://schemas.microsoft.com/office/drawing/2014/main" id="{946477F2-7D89-4E27-90F5-73E57106C20B}"/>
            </a:ext>
          </a:extLst>
        </xdr:cNvPr>
        <xdr:cNvSpPr/>
      </xdr:nvSpPr>
      <xdr:spPr>
        <a:xfrm>
          <a:off x="12182807" y="2020092"/>
          <a:ext cx="2597751" cy="62449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Resistor Values to be used for the Straps</a:t>
          </a:r>
        </a:p>
        <a:p>
          <a:pPr algn="l"/>
          <a:r>
            <a:rPr lang="en-US" sz="1100"/>
            <a:t>1%</a:t>
          </a:r>
          <a:r>
            <a:rPr lang="en-US" sz="1100" baseline="0"/>
            <a:t> resistor tolerant recommended</a:t>
          </a:r>
          <a:endParaRPr lang="en-US" sz="1100"/>
        </a:p>
      </xdr:txBody>
    </xdr:sp>
    <xdr:clientData/>
  </xdr:twoCellAnchor>
  <xdr:twoCellAnchor>
    <xdr:from>
      <xdr:col>8</xdr:col>
      <xdr:colOff>9293</xdr:colOff>
      <xdr:row>8</xdr:row>
      <xdr:rowOff>226178</xdr:rowOff>
    </xdr:from>
    <xdr:to>
      <xdr:col>9</xdr:col>
      <xdr:colOff>3823</xdr:colOff>
      <xdr:row>8</xdr:row>
      <xdr:rowOff>257098</xdr:rowOff>
    </xdr:to>
    <xdr:cxnSp macro="">
      <xdr:nvCxnSpPr>
        <xdr:cNvPr id="9" name="Straight Arrow Connector 8">
          <a:extLst>
            <a:ext uri="{FF2B5EF4-FFF2-40B4-BE49-F238E27FC236}">
              <a16:creationId xmlns:a16="http://schemas.microsoft.com/office/drawing/2014/main" id="{4FB3BD36-CE7B-4674-8677-CC0B017BBBDD}"/>
            </a:ext>
          </a:extLst>
        </xdr:cNvPr>
        <xdr:cNvCxnSpPr/>
      </xdr:nvCxnSpPr>
      <xdr:spPr>
        <a:xfrm flipV="1">
          <a:off x="8438918" y="2235953"/>
          <a:ext cx="947030" cy="234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Q20"/>
  <sheetViews>
    <sheetView topLeftCell="A4" zoomScale="85" zoomScaleNormal="85" workbookViewId="0">
      <selection activeCell="C12" sqref="C12"/>
    </sheetView>
  </sheetViews>
  <sheetFormatPr defaultColWidth="11" defaultRowHeight="15.5" x14ac:dyDescent="0.35"/>
  <cols>
    <col min="3" max="3" width="24.5" bestFit="1" customWidth="1"/>
    <col min="4" max="4" width="96" customWidth="1"/>
  </cols>
  <sheetData>
    <row r="2" spans="3:17" ht="74" x14ac:dyDescent="0.35">
      <c r="C2" s="57" t="s">
        <v>0</v>
      </c>
      <c r="D2" s="56" t="s">
        <v>245</v>
      </c>
      <c r="E2" s="5"/>
      <c r="F2" s="5"/>
      <c r="G2" s="5"/>
      <c r="H2" s="5"/>
      <c r="I2" s="5"/>
      <c r="J2" s="5"/>
      <c r="K2" s="5"/>
      <c r="L2" s="5"/>
      <c r="M2" s="5"/>
      <c r="N2" s="5"/>
      <c r="O2" s="5"/>
      <c r="P2" s="5"/>
      <c r="Q2" s="5"/>
    </row>
    <row r="3" spans="3:17" ht="18.5" x14ac:dyDescent="0.45">
      <c r="C3" s="58"/>
      <c r="D3" s="59"/>
      <c r="E3" s="3"/>
      <c r="F3" s="3"/>
      <c r="G3" s="3"/>
      <c r="H3" s="3"/>
      <c r="I3" s="3"/>
      <c r="J3" s="3"/>
      <c r="K3" s="3"/>
      <c r="L3" s="3"/>
      <c r="M3" s="3"/>
      <c r="N3" s="3"/>
      <c r="O3" s="3"/>
      <c r="P3" s="3"/>
      <c r="Q3" s="3"/>
    </row>
    <row r="4" spans="3:17" ht="18.5" x14ac:dyDescent="0.45">
      <c r="C4" s="57" t="s">
        <v>231</v>
      </c>
      <c r="D4" s="60"/>
      <c r="E4" s="3"/>
      <c r="F4" s="3"/>
      <c r="G4" s="3"/>
      <c r="H4" s="3"/>
      <c r="I4" s="3"/>
      <c r="J4" s="3"/>
      <c r="K4" s="3"/>
      <c r="L4" s="3"/>
      <c r="M4" s="3"/>
      <c r="N4" s="3"/>
      <c r="O4" s="3"/>
      <c r="P4" s="3"/>
      <c r="Q4" s="3"/>
    </row>
    <row r="5" spans="3:17" ht="18.5" x14ac:dyDescent="0.45">
      <c r="C5" s="61">
        <v>1</v>
      </c>
      <c r="D5" s="60" t="s">
        <v>230</v>
      </c>
      <c r="E5" s="3"/>
      <c r="F5" s="3"/>
      <c r="G5" s="3"/>
      <c r="H5" s="3"/>
      <c r="I5" s="3"/>
      <c r="J5" s="3"/>
      <c r="K5" s="3"/>
      <c r="L5" s="3"/>
      <c r="M5" s="3"/>
      <c r="N5" s="3"/>
      <c r="O5" s="3"/>
      <c r="P5" s="3"/>
      <c r="Q5" s="3"/>
    </row>
    <row r="6" spans="3:17" ht="18.5" x14ac:dyDescent="0.45">
      <c r="C6" s="61">
        <v>2</v>
      </c>
      <c r="D6" s="60" t="s">
        <v>1</v>
      </c>
      <c r="E6" s="3"/>
      <c r="F6" s="3"/>
      <c r="G6" s="3"/>
      <c r="H6" s="3"/>
      <c r="I6" s="3"/>
      <c r="J6" s="3"/>
      <c r="K6" s="3"/>
      <c r="L6" s="3"/>
      <c r="M6" s="3"/>
      <c r="N6" s="3"/>
      <c r="O6" s="3"/>
      <c r="P6" s="3"/>
      <c r="Q6" s="3"/>
    </row>
    <row r="7" spans="3:17" ht="18.5" x14ac:dyDescent="0.45">
      <c r="C7" s="61">
        <v>3</v>
      </c>
      <c r="D7" s="60" t="s">
        <v>232</v>
      </c>
      <c r="E7" s="3"/>
      <c r="F7" s="3"/>
      <c r="G7" s="3"/>
      <c r="H7" s="3"/>
      <c r="I7" s="3"/>
      <c r="J7" s="3"/>
      <c r="K7" s="3"/>
      <c r="L7" s="3"/>
      <c r="M7" s="3"/>
      <c r="N7" s="3"/>
      <c r="O7" s="3"/>
      <c r="P7" s="3"/>
      <c r="Q7" s="3"/>
    </row>
    <row r="8" spans="3:17" ht="18.5" x14ac:dyDescent="0.45">
      <c r="C8" s="61">
        <v>4</v>
      </c>
      <c r="D8" s="60" t="s">
        <v>2</v>
      </c>
      <c r="E8" s="3"/>
      <c r="F8" s="3"/>
      <c r="G8" s="3"/>
      <c r="H8" s="3"/>
      <c r="I8" s="3"/>
      <c r="J8" s="3"/>
      <c r="K8" s="3"/>
      <c r="L8" s="3"/>
      <c r="M8" s="3"/>
      <c r="N8" s="3"/>
      <c r="O8" s="3"/>
      <c r="P8" s="3"/>
      <c r="Q8" s="3"/>
    </row>
    <row r="9" spans="3:17" ht="18.5" x14ac:dyDescent="0.45">
      <c r="C9" s="61">
        <v>5</v>
      </c>
      <c r="D9" s="60" t="s">
        <v>3</v>
      </c>
      <c r="E9" s="3"/>
      <c r="F9" s="3"/>
      <c r="G9" s="3"/>
      <c r="H9" s="3"/>
      <c r="I9" s="3"/>
      <c r="J9" s="3"/>
      <c r="K9" s="3"/>
      <c r="L9" s="3"/>
      <c r="M9" s="3"/>
      <c r="N9" s="3"/>
      <c r="O9" s="3"/>
      <c r="P9" s="3"/>
      <c r="Q9" s="3"/>
    </row>
    <row r="10" spans="3:17" ht="18.5" x14ac:dyDescent="0.45">
      <c r="C10" s="61">
        <v>6</v>
      </c>
      <c r="D10" s="60" t="s">
        <v>247</v>
      </c>
      <c r="E10" s="3"/>
      <c r="F10" s="3"/>
      <c r="G10" s="3"/>
      <c r="H10" s="3"/>
      <c r="I10" s="3"/>
      <c r="J10" s="3"/>
      <c r="K10" s="3"/>
      <c r="L10" s="3"/>
      <c r="M10" s="3"/>
      <c r="N10" s="3"/>
      <c r="O10" s="3"/>
      <c r="P10" s="3"/>
      <c r="Q10" s="3"/>
    </row>
    <row r="11" spans="3:17" ht="18.5" x14ac:dyDescent="0.45">
      <c r="C11" s="62"/>
      <c r="D11" s="59"/>
      <c r="E11" s="3"/>
      <c r="F11" s="3"/>
      <c r="G11" s="3"/>
      <c r="H11" s="3"/>
      <c r="I11" s="3"/>
      <c r="J11" s="3"/>
      <c r="K11" s="3"/>
      <c r="L11" s="3"/>
      <c r="M11" s="3"/>
      <c r="N11" s="3"/>
      <c r="O11" s="3"/>
      <c r="P11" s="3"/>
      <c r="Q11" s="3"/>
    </row>
    <row r="12" spans="3:17" ht="18.5" x14ac:dyDescent="0.45">
      <c r="C12" s="57" t="s">
        <v>233</v>
      </c>
      <c r="D12" s="60"/>
      <c r="E12" s="3"/>
      <c r="F12" s="3"/>
      <c r="G12" s="3"/>
      <c r="H12" s="3"/>
      <c r="I12" s="3"/>
      <c r="J12" s="3"/>
      <c r="K12" s="3"/>
      <c r="L12" s="3"/>
      <c r="M12" s="3"/>
      <c r="N12" s="3"/>
      <c r="O12" s="3"/>
      <c r="P12" s="3"/>
      <c r="Q12" s="3"/>
    </row>
    <row r="13" spans="3:17" ht="150" customHeight="1" x14ac:dyDescent="0.45">
      <c r="C13" s="70" t="s">
        <v>234</v>
      </c>
      <c r="D13" s="63" t="s">
        <v>237</v>
      </c>
      <c r="E13" s="6"/>
      <c r="F13" s="6"/>
      <c r="G13" s="6"/>
      <c r="H13" s="6"/>
      <c r="I13" s="6"/>
      <c r="J13" s="6"/>
      <c r="K13" s="6"/>
      <c r="L13" s="6"/>
      <c r="M13" s="6"/>
      <c r="N13" s="6"/>
      <c r="O13" s="6"/>
      <c r="P13" s="6"/>
      <c r="Q13" s="3"/>
    </row>
    <row r="14" spans="3:17" ht="37" x14ac:dyDescent="0.45">
      <c r="C14" s="70"/>
      <c r="D14" s="64" t="s">
        <v>235</v>
      </c>
      <c r="E14" s="3"/>
      <c r="F14" s="3"/>
      <c r="G14" s="3"/>
      <c r="H14" s="3"/>
      <c r="I14" s="3"/>
      <c r="J14" s="3"/>
      <c r="K14" s="3"/>
      <c r="L14" s="3"/>
      <c r="M14" s="3"/>
      <c r="N14" s="3"/>
      <c r="O14" s="3"/>
      <c r="P14" s="3"/>
      <c r="Q14" s="3"/>
    </row>
    <row r="15" spans="3:17" ht="37" customHeight="1" x14ac:dyDescent="0.45">
      <c r="C15" s="71" t="s">
        <v>242</v>
      </c>
      <c r="D15" s="56" t="s">
        <v>238</v>
      </c>
      <c r="E15" s="6"/>
      <c r="F15" s="6"/>
      <c r="G15" s="6"/>
      <c r="H15" s="6"/>
      <c r="I15" s="6"/>
      <c r="J15" s="6"/>
      <c r="K15" s="6"/>
      <c r="L15" s="6"/>
      <c r="M15" s="6"/>
      <c r="N15" s="6"/>
      <c r="O15" s="6"/>
      <c r="P15" s="3"/>
      <c r="Q15" s="3"/>
    </row>
    <row r="16" spans="3:17" ht="37" customHeight="1" x14ac:dyDescent="0.45">
      <c r="C16" s="72"/>
      <c r="D16" s="64" t="s">
        <v>240</v>
      </c>
      <c r="E16" s="6"/>
      <c r="F16" s="6"/>
      <c r="G16" s="6"/>
      <c r="H16" s="6"/>
      <c r="I16" s="6"/>
      <c r="J16" s="6"/>
      <c r="K16" s="6"/>
      <c r="L16" s="6"/>
      <c r="M16" s="6"/>
      <c r="N16" s="6"/>
      <c r="O16" s="6"/>
      <c r="P16" s="3"/>
      <c r="Q16" s="3"/>
    </row>
    <row r="17" spans="3:17" ht="37" customHeight="1" x14ac:dyDescent="0.45">
      <c r="C17" s="72"/>
      <c r="D17" s="65" t="s">
        <v>241</v>
      </c>
      <c r="E17" s="6"/>
      <c r="F17" s="6"/>
      <c r="G17" s="6"/>
      <c r="H17" s="6"/>
      <c r="I17" s="6"/>
      <c r="J17" s="6"/>
      <c r="K17" s="6"/>
      <c r="L17" s="6"/>
      <c r="M17" s="6"/>
      <c r="N17" s="6"/>
      <c r="O17" s="6"/>
      <c r="P17" s="3"/>
      <c r="Q17" s="3"/>
    </row>
    <row r="18" spans="3:17" ht="37" customHeight="1" x14ac:dyDescent="0.45">
      <c r="C18" s="72"/>
      <c r="D18" s="69" t="s">
        <v>244</v>
      </c>
      <c r="E18" s="6"/>
      <c r="F18" s="6"/>
      <c r="G18" s="6"/>
      <c r="H18" s="6"/>
      <c r="I18" s="6"/>
      <c r="J18" s="6"/>
      <c r="K18" s="6"/>
      <c r="L18" s="6"/>
      <c r="M18" s="6"/>
      <c r="N18" s="6"/>
      <c r="O18" s="6"/>
      <c r="P18" s="3"/>
      <c r="Q18" s="3"/>
    </row>
    <row r="19" spans="3:17" ht="37" customHeight="1" x14ac:dyDescent="0.45">
      <c r="C19" s="73"/>
      <c r="D19" s="65" t="s">
        <v>241</v>
      </c>
      <c r="E19" s="6"/>
      <c r="F19" s="6"/>
      <c r="G19" s="6"/>
      <c r="H19" s="6"/>
      <c r="I19" s="6"/>
      <c r="J19" s="6"/>
      <c r="K19" s="6"/>
      <c r="L19" s="6"/>
      <c r="M19" s="6"/>
      <c r="N19" s="6"/>
      <c r="O19" s="6"/>
      <c r="P19" s="3"/>
      <c r="Q19" s="3"/>
    </row>
    <row r="20" spans="3:17" ht="37" x14ac:dyDescent="0.45">
      <c r="C20" s="54" t="s">
        <v>243</v>
      </c>
      <c r="D20" s="55" t="s">
        <v>246</v>
      </c>
    </row>
  </sheetData>
  <mergeCells count="2">
    <mergeCell ref="C13:C14"/>
    <mergeCell ref="C15:C1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84"/>
  <sheetViews>
    <sheetView tabSelected="1" zoomScale="62" zoomScaleNormal="80" workbookViewId="0">
      <pane ySplit="1" topLeftCell="A27" activePane="bottomLeft" state="frozen"/>
      <selection pane="bottomLeft" activeCell="H28" sqref="H28"/>
    </sheetView>
  </sheetViews>
  <sheetFormatPr defaultColWidth="10.83203125" defaultRowHeight="15.5" outlineLevelRow="1" x14ac:dyDescent="0.35"/>
  <cols>
    <col min="1" max="1" width="17.83203125" style="22" bestFit="1" customWidth="1"/>
    <col min="2" max="2" width="17" style="22" bestFit="1" customWidth="1"/>
    <col min="3" max="3" width="12.08203125" style="22" customWidth="1"/>
    <col min="4" max="4" width="78.08203125" style="23" bestFit="1" customWidth="1"/>
    <col min="5" max="5" width="66.83203125" style="22" customWidth="1"/>
    <col min="6" max="6" width="14.58203125" style="23" bestFit="1" customWidth="1"/>
    <col min="7" max="7" width="18.83203125" style="32" bestFit="1" customWidth="1"/>
    <col min="8" max="8" width="10.83203125" style="66" bestFit="1" customWidth="1"/>
    <col min="9" max="16384" width="10.83203125" style="21"/>
  </cols>
  <sheetData>
    <row r="1" spans="1:8" ht="43.5" x14ac:dyDescent="0.35">
      <c r="A1" s="1" t="s">
        <v>66</v>
      </c>
      <c r="B1" s="2" t="s">
        <v>67</v>
      </c>
      <c r="C1" s="2" t="s">
        <v>126</v>
      </c>
      <c r="D1" s="2" t="s">
        <v>68</v>
      </c>
      <c r="E1" s="1" t="s">
        <v>69</v>
      </c>
      <c r="F1" s="67" t="s">
        <v>177</v>
      </c>
      <c r="G1" s="67" t="s">
        <v>229</v>
      </c>
      <c r="H1" s="68" t="s">
        <v>236</v>
      </c>
    </row>
    <row r="2" spans="1:8" ht="199.5" customHeight="1" outlineLevel="1" x14ac:dyDescent="0.35">
      <c r="A2" s="74" t="s">
        <v>70</v>
      </c>
      <c r="B2" s="8" t="s">
        <v>71</v>
      </c>
      <c r="C2" s="8" t="s">
        <v>72</v>
      </c>
      <c r="D2" s="9" t="s">
        <v>113</v>
      </c>
      <c r="E2" s="10"/>
      <c r="F2" s="29" t="s">
        <v>123</v>
      </c>
      <c r="G2" s="50"/>
      <c r="H2" s="11"/>
    </row>
    <row r="3" spans="1:8" ht="198.75" customHeight="1" outlineLevel="1" x14ac:dyDescent="0.35">
      <c r="A3" s="74"/>
      <c r="B3" s="8" t="s">
        <v>73</v>
      </c>
      <c r="C3" s="8" t="s">
        <v>74</v>
      </c>
      <c r="D3" s="9" t="s">
        <v>114</v>
      </c>
      <c r="E3" s="10"/>
      <c r="F3" s="24" t="s">
        <v>123</v>
      </c>
      <c r="G3" s="50"/>
      <c r="H3" s="11"/>
    </row>
    <row r="4" spans="1:8" ht="310.5" customHeight="1" outlineLevel="1" x14ac:dyDescent="0.35">
      <c r="A4" s="74"/>
      <c r="B4" s="8" t="s">
        <v>75</v>
      </c>
      <c r="C4" s="8" t="s">
        <v>76</v>
      </c>
      <c r="D4" s="9" t="s">
        <v>115</v>
      </c>
      <c r="E4" s="10"/>
      <c r="F4" s="24" t="s">
        <v>123</v>
      </c>
      <c r="G4" s="50"/>
      <c r="H4" s="11"/>
    </row>
    <row r="5" spans="1:8" ht="198.75" customHeight="1" outlineLevel="1" x14ac:dyDescent="0.35">
      <c r="A5" s="74"/>
      <c r="B5" s="8" t="s">
        <v>77</v>
      </c>
      <c r="C5" s="8" t="s">
        <v>78</v>
      </c>
      <c r="D5" s="9" t="s">
        <v>139</v>
      </c>
      <c r="E5" s="10"/>
      <c r="F5" s="26" t="s">
        <v>123</v>
      </c>
      <c r="G5" s="50"/>
      <c r="H5" s="11"/>
    </row>
    <row r="6" spans="1:8" s="75" customFormat="1" ht="34.5" customHeight="1" outlineLevel="1" x14ac:dyDescent="0.35"/>
    <row r="7" spans="1:8" ht="165" customHeight="1" x14ac:dyDescent="0.35">
      <c r="A7" s="20" t="s">
        <v>79</v>
      </c>
      <c r="B7" s="8" t="s">
        <v>79</v>
      </c>
      <c r="C7" s="8" t="s">
        <v>80</v>
      </c>
      <c r="D7" s="9" t="s">
        <v>135</v>
      </c>
      <c r="E7" s="8"/>
      <c r="F7" s="26" t="s">
        <v>123</v>
      </c>
      <c r="G7" s="50"/>
      <c r="H7" s="11" t="s">
        <v>248</v>
      </c>
    </row>
    <row r="8" spans="1:8" s="75" customFormat="1" ht="34.5" customHeight="1" outlineLevel="1" x14ac:dyDescent="0.35"/>
    <row r="9" spans="1:8" ht="165" customHeight="1" x14ac:dyDescent="0.35">
      <c r="A9" s="20" t="s">
        <v>81</v>
      </c>
      <c r="B9" s="8" t="s">
        <v>81</v>
      </c>
      <c r="C9" s="8">
        <v>12</v>
      </c>
      <c r="D9" s="9" t="s">
        <v>82</v>
      </c>
      <c r="E9" s="27"/>
      <c r="F9" s="24" t="s">
        <v>123</v>
      </c>
      <c r="G9" s="50"/>
      <c r="H9" s="11"/>
    </row>
    <row r="10" spans="1:8" s="75" customFormat="1" ht="34.5" customHeight="1" outlineLevel="1" x14ac:dyDescent="0.35"/>
    <row r="11" spans="1:8" ht="245.25" customHeight="1" x14ac:dyDescent="0.35">
      <c r="A11" s="74" t="s">
        <v>83</v>
      </c>
      <c r="B11" s="8" t="s">
        <v>29</v>
      </c>
      <c r="C11" s="30" t="s">
        <v>132</v>
      </c>
      <c r="D11" s="9" t="s">
        <v>136</v>
      </c>
      <c r="E11" s="84" t="s">
        <v>116</v>
      </c>
      <c r="F11" s="24" t="s">
        <v>123</v>
      </c>
      <c r="G11" s="50"/>
      <c r="H11" s="11"/>
    </row>
    <row r="12" spans="1:8" ht="245.25" customHeight="1" x14ac:dyDescent="0.35">
      <c r="A12" s="74"/>
      <c r="B12" s="8" t="s">
        <v>30</v>
      </c>
      <c r="C12" s="30" t="s">
        <v>133</v>
      </c>
      <c r="D12" s="9" t="s">
        <v>137</v>
      </c>
      <c r="E12" s="84"/>
      <c r="F12" s="24" t="s">
        <v>123</v>
      </c>
      <c r="G12" s="50"/>
      <c r="H12" s="11"/>
    </row>
    <row r="13" spans="1:8" ht="245.25" customHeight="1" x14ac:dyDescent="0.35">
      <c r="A13" s="74"/>
      <c r="B13" s="8" t="s">
        <v>31</v>
      </c>
      <c r="C13" s="30" t="s">
        <v>134</v>
      </c>
      <c r="D13" s="9" t="s">
        <v>138</v>
      </c>
      <c r="E13" s="84"/>
      <c r="F13" s="30" t="s">
        <v>123</v>
      </c>
      <c r="G13" s="50"/>
      <c r="H13" s="11"/>
    </row>
    <row r="14" spans="1:8" s="75" customFormat="1" ht="34.5" customHeight="1" outlineLevel="1" x14ac:dyDescent="0.35"/>
    <row r="15" spans="1:8" ht="89.25" customHeight="1" x14ac:dyDescent="0.35">
      <c r="A15" s="74" t="s">
        <v>84</v>
      </c>
      <c r="B15" s="8" t="s">
        <v>27</v>
      </c>
      <c r="C15" s="30" t="s">
        <v>130</v>
      </c>
      <c r="D15" s="9" t="s">
        <v>125</v>
      </c>
      <c r="E15" s="85"/>
      <c r="F15" s="30" t="s">
        <v>123</v>
      </c>
      <c r="G15" s="50"/>
      <c r="H15" s="11"/>
    </row>
    <row r="16" spans="1:8" ht="89.25" customHeight="1" x14ac:dyDescent="0.35">
      <c r="A16" s="74"/>
      <c r="B16" s="8" t="s">
        <v>28</v>
      </c>
      <c r="C16" s="30" t="s">
        <v>131</v>
      </c>
      <c r="D16" s="9" t="s">
        <v>117</v>
      </c>
      <c r="E16" s="85"/>
      <c r="F16" s="30" t="s">
        <v>123</v>
      </c>
      <c r="G16" s="50"/>
      <c r="H16" s="11"/>
    </row>
    <row r="17" spans="1:8" s="75" customFormat="1" ht="34.5" customHeight="1" outlineLevel="1" x14ac:dyDescent="0.35"/>
    <row r="18" spans="1:8" ht="165" customHeight="1" outlineLevel="1" x14ac:dyDescent="0.35">
      <c r="A18" s="86" t="s">
        <v>118</v>
      </c>
      <c r="B18" s="8" t="s">
        <v>85</v>
      </c>
      <c r="C18" s="8">
        <v>15</v>
      </c>
      <c r="D18" s="82" t="str">
        <f>IF(A18="Clock
(Crystal)", "Reference clock 25-MHz crystal.
Ensure it meets the ppm and ESR spec as defined in datasheet and load capacitance as defined by crystal manufacturer.", "Ensure Oscillator signal meets spec as defined in datasheet and is in 1.8V domain. If VDDIO is 2.5V or 3.3V, then capacitor divider needs to be used. 
Starting Capacitor Recommendation: For 3.3V, CD1=CD2=27pF. For 2.5V, CD1=27pF and CD2=16pF.")</f>
        <v>Reference clock 25-MHz crystal.
Ensure it meets the ppm and ESR spec as defined in datasheet and load capacitance as defined by crystal manufacturer.</v>
      </c>
      <c r="E18" s="85"/>
      <c r="F18" s="82" t="s">
        <v>123</v>
      </c>
      <c r="G18" s="82"/>
      <c r="H18" s="11"/>
    </row>
    <row r="19" spans="1:8" ht="165" customHeight="1" outlineLevel="1" x14ac:dyDescent="0.35">
      <c r="A19" s="87"/>
      <c r="B19" s="8" t="str">
        <f>IF(A18="Clock
(Crystal)", "XO", "XO 
(Unused, DNC)")</f>
        <v>XO</v>
      </c>
      <c r="C19" s="8">
        <v>14</v>
      </c>
      <c r="D19" s="82"/>
      <c r="E19" s="85"/>
      <c r="F19" s="82"/>
      <c r="G19" s="82"/>
      <c r="H19" s="11"/>
    </row>
    <row r="20" spans="1:8" s="75" customFormat="1" ht="34.5" customHeight="1" outlineLevel="1" x14ac:dyDescent="0.35"/>
    <row r="21" spans="1:8" ht="165" customHeight="1" x14ac:dyDescent="0.35">
      <c r="A21" s="83" t="s">
        <v>178</v>
      </c>
      <c r="B21" s="8" t="s">
        <v>87</v>
      </c>
      <c r="C21" s="8">
        <v>16</v>
      </c>
      <c r="D21" s="9" t="s">
        <v>179</v>
      </c>
      <c r="E21" s="8"/>
      <c r="F21" s="30" t="s">
        <v>123</v>
      </c>
      <c r="G21" s="50"/>
      <c r="H21" s="11"/>
    </row>
    <row r="22" spans="1:8" ht="165" customHeight="1" x14ac:dyDescent="0.35">
      <c r="A22" s="83"/>
      <c r="B22" s="8" t="s">
        <v>88</v>
      </c>
      <c r="C22" s="8">
        <v>17</v>
      </c>
      <c r="D22" s="9" t="s">
        <v>119</v>
      </c>
      <c r="E22" s="8"/>
      <c r="F22" s="30" t="s">
        <v>123</v>
      </c>
      <c r="G22" s="50"/>
      <c r="H22" s="11"/>
    </row>
    <row r="23" spans="1:8" s="75" customFormat="1" ht="34.5" customHeight="1" outlineLevel="1" x14ac:dyDescent="0.35"/>
    <row r="24" spans="1:8" ht="165" customHeight="1" x14ac:dyDescent="0.35">
      <c r="A24" s="31" t="s">
        <v>89</v>
      </c>
      <c r="B24" s="8" t="s">
        <v>90</v>
      </c>
      <c r="C24" s="8">
        <v>43</v>
      </c>
      <c r="D24" s="9" t="s">
        <v>91</v>
      </c>
      <c r="E24" s="8"/>
      <c r="F24" s="30" t="s">
        <v>123</v>
      </c>
      <c r="G24" s="50"/>
      <c r="H24" s="11"/>
    </row>
    <row r="25" spans="1:8" ht="165" customHeight="1" x14ac:dyDescent="0.35">
      <c r="A25" s="39" t="s">
        <v>161</v>
      </c>
      <c r="B25" s="8" t="s">
        <v>160</v>
      </c>
      <c r="C25" s="8">
        <v>44</v>
      </c>
      <c r="D25" s="50" t="str">
        <f>IF($A$21="Power Down", "(Default) Active Low input to enable power down mode. Register access available to reconfigure.", "Active Low output, asserted when an interrupt condition occurs. Pin has a weak internal pullup. Register access necessary to enable various interrupt triggers. Deasserted once register reads interrupt register")</f>
        <v>Active Low output, asserted when an interrupt condition occurs. Pin has a weak internal pullup. Register access necessary to enable various interrupt triggers. Deasserted once register reads interrupt register</v>
      </c>
      <c r="E25" s="19"/>
      <c r="F25" s="30" t="s">
        <v>123</v>
      </c>
      <c r="G25" s="50"/>
      <c r="H25" s="11"/>
    </row>
    <row r="26" spans="1:8" ht="165" customHeight="1" x14ac:dyDescent="0.35">
      <c r="A26" s="31" t="s">
        <v>93</v>
      </c>
      <c r="B26" s="8" t="s">
        <v>93</v>
      </c>
      <c r="C26" s="8">
        <v>18</v>
      </c>
      <c r="D26" s="9" t="s">
        <v>124</v>
      </c>
      <c r="E26" s="19"/>
      <c r="F26" s="30" t="s">
        <v>123</v>
      </c>
      <c r="G26" s="50"/>
      <c r="H26" s="11"/>
    </row>
    <row r="27" spans="1:8" s="75" customFormat="1" ht="34.5" customHeight="1" outlineLevel="1" x14ac:dyDescent="0.35"/>
    <row r="28" spans="1:8" ht="397.9" customHeight="1" outlineLevel="1" x14ac:dyDescent="0.35">
      <c r="A28" s="28" t="s">
        <v>94</v>
      </c>
      <c r="B28" s="9" t="s">
        <v>95</v>
      </c>
      <c r="C28" s="9" t="s">
        <v>122</v>
      </c>
      <c r="D28" s="9" t="s">
        <v>140</v>
      </c>
      <c r="E28" s="19"/>
      <c r="F28" s="30" t="s">
        <v>123</v>
      </c>
      <c r="G28" s="50"/>
      <c r="H28" s="11" t="s">
        <v>249</v>
      </c>
    </row>
    <row r="29" spans="1:8" s="75" customFormat="1" ht="34.5" customHeight="1" outlineLevel="1" x14ac:dyDescent="0.35"/>
    <row r="30" spans="1:8" ht="31" x14ac:dyDescent="0.35">
      <c r="A30" s="76" t="s">
        <v>120</v>
      </c>
      <c r="B30" s="9" t="str">
        <f>IF($A$30="RGMII","GTX_CLK","No function")</f>
        <v>GTX_CLK</v>
      </c>
      <c r="C30" s="8">
        <v>29</v>
      </c>
      <c r="D30" s="9" t="str">
        <f>IF($A$30="RGMII","Transmit Clock
2.5MHz for 10Mbps, 25MHz for 100Mbps, 125MHz for 1000Mbps","No function")</f>
        <v>Transmit Clock
2.5MHz for 10Mbps, 25MHz for 100Mbps, 125MHz for 1000Mbps</v>
      </c>
      <c r="E30" s="79"/>
      <c r="F30" s="30" t="s">
        <v>123</v>
      </c>
      <c r="G30" s="50"/>
      <c r="H30" s="11"/>
    </row>
    <row r="31" spans="1:8" ht="93" x14ac:dyDescent="0.35">
      <c r="A31" s="77"/>
      <c r="B31" s="9" t="str">
        <f>IF($A$30="RGMII","TX_CTRL","No function")</f>
        <v>TX_CTRL</v>
      </c>
      <c r="C31" s="8">
        <v>37</v>
      </c>
      <c r="D31" s="9" t="str">
        <f>IF($A$30="RGMII","Transmit Control
Rising: TX_EN, Falling: (TX_EN XOR TX_ER)
High on both edges of GTK_CLK if error-free packet present
Low on both edges of GTK_CLK if no packet present
High on rising edge and low on falling edge of GTK_CLK if error packet present","No function")</f>
        <v>Transmit Control
Rising: TX_EN, Falling: (TX_EN XOR TX_ER)
High on both edges of GTK_CLK if error-free packet present
Low on both edges of GTK_CLK if no packet present
High on rising edge and low on falling edge of GTK_CLK if error packet present</v>
      </c>
      <c r="E31" s="80"/>
      <c r="F31" s="30" t="s">
        <v>123</v>
      </c>
      <c r="G31" s="50"/>
      <c r="H31" s="11"/>
    </row>
    <row r="32" spans="1:8" x14ac:dyDescent="0.35">
      <c r="A32" s="77"/>
      <c r="B32" s="9" t="str">
        <f>IF($A$30="RGMII","TX_D3","No function")</f>
        <v>TX_D3</v>
      </c>
      <c r="C32" s="8">
        <v>25</v>
      </c>
      <c r="D32" s="9" t="str">
        <f>IF($A$30="RGMII","Transmit Data","No function")</f>
        <v>Transmit Data</v>
      </c>
      <c r="E32" s="80"/>
      <c r="F32" s="30" t="s">
        <v>123</v>
      </c>
      <c r="G32" s="50"/>
      <c r="H32" s="11"/>
    </row>
    <row r="33" spans="1:8" x14ac:dyDescent="0.35">
      <c r="A33" s="77"/>
      <c r="B33" s="9" t="str">
        <f>IF($A$30="RGMII","TX_D2","No function")</f>
        <v>TX_D2</v>
      </c>
      <c r="C33" s="8">
        <v>26</v>
      </c>
      <c r="D33" s="9" t="str">
        <f t="shared" ref="D33" si="0">IF($A$30="RGMII","Transmit Data","No function")</f>
        <v>Transmit Data</v>
      </c>
      <c r="E33" s="80"/>
      <c r="F33" s="30" t="s">
        <v>123</v>
      </c>
      <c r="G33" s="50"/>
      <c r="H33" s="11"/>
    </row>
    <row r="34" spans="1:8" x14ac:dyDescent="0.35">
      <c r="A34" s="77"/>
      <c r="B34" s="9" t="str">
        <f>IF($A$30="RGMII","TX_D1","SI_P")</f>
        <v>TX_D1</v>
      </c>
      <c r="C34" s="8">
        <v>27</v>
      </c>
      <c r="D34" s="9" t="str">
        <f>IF($A$30="RGMII","Transmit Data","SGMII Data Input, positive end")</f>
        <v>Transmit Data</v>
      </c>
      <c r="E34" s="80"/>
      <c r="F34" s="30" t="s">
        <v>123</v>
      </c>
      <c r="G34" s="50"/>
      <c r="H34" s="11"/>
    </row>
    <row r="35" spans="1:8" x14ac:dyDescent="0.35">
      <c r="A35" s="77"/>
      <c r="B35" s="9" t="str">
        <f>IF($A$30="RGMII","TX_D0","SI_N")</f>
        <v>TX_D0</v>
      </c>
      <c r="C35" s="8">
        <v>28</v>
      </c>
      <c r="D35" s="9" t="str">
        <f>IF($A$30="RGMII","Transmit Data","SGMII Data Input, negative end")</f>
        <v>Transmit Data</v>
      </c>
      <c r="E35" s="80"/>
      <c r="F35" s="30" t="s">
        <v>123</v>
      </c>
      <c r="G35" s="50"/>
      <c r="H35" s="11"/>
    </row>
    <row r="36" spans="1:8" ht="31" x14ac:dyDescent="0.35">
      <c r="A36" s="77"/>
      <c r="B36" s="9" t="str">
        <f>IF($A$30="RGMII","RX_CLK","No function")</f>
        <v>RX_CLK</v>
      </c>
      <c r="C36" s="8">
        <v>32</v>
      </c>
      <c r="D36" s="9" t="str">
        <f>IF($A$30="RGMII","Receive Clock
2.5MHz for 10Mbps, 25MHz for 100Mbps, 125MHz for 1000Mbps","No function")</f>
        <v>Receive Clock
2.5MHz for 10Mbps, 25MHz for 100Mbps, 125MHz for 1000Mbps</v>
      </c>
      <c r="E36" s="80"/>
      <c r="F36" s="30" t="s">
        <v>123</v>
      </c>
      <c r="G36" s="50"/>
      <c r="H36" s="11"/>
    </row>
    <row r="37" spans="1:8" ht="31" x14ac:dyDescent="0.35">
      <c r="A37" s="77"/>
      <c r="B37" s="9" t="str">
        <f>IF($A$30="RGMII","RX_D0","CO_P")</f>
        <v>RX_D0</v>
      </c>
      <c r="C37" s="30" t="s">
        <v>127</v>
      </c>
      <c r="D37" s="9" t="str">
        <f>IF($A$30="RGMII","Receive Data","SGMII Clock Output (optional; see 0xD3[14]), positive end")</f>
        <v>Receive Data</v>
      </c>
      <c r="E37" s="80"/>
      <c r="F37" s="30" t="s">
        <v>123</v>
      </c>
      <c r="G37" s="50"/>
      <c r="H37" s="11"/>
    </row>
    <row r="38" spans="1:8" x14ac:dyDescent="0.35">
      <c r="A38" s="77"/>
      <c r="B38" s="9" t="str">
        <f>IF($A$30="RGMII","RX_D1","CO_N")</f>
        <v>RX_D1</v>
      </c>
      <c r="C38" s="8">
        <v>34</v>
      </c>
      <c r="D38" s="9" t="str">
        <f>IF($A$30="RGMII","Receive Data","SGMII Clock Output (optional; see 0xD3[14]), negative end")</f>
        <v>Receive Data</v>
      </c>
      <c r="E38" s="80"/>
      <c r="F38" s="30" t="s">
        <v>123</v>
      </c>
      <c r="G38" s="50"/>
      <c r="H38" s="11"/>
    </row>
    <row r="39" spans="1:8" ht="31" x14ac:dyDescent="0.35">
      <c r="A39" s="77"/>
      <c r="B39" s="9" t="str">
        <f>IF($A$30="RGMII","RX_D2","SO_P")</f>
        <v>RX_D2</v>
      </c>
      <c r="C39" s="30" t="s">
        <v>128</v>
      </c>
      <c r="D39" s="9" t="str">
        <f>IF($A$30="RGMII","Receive Data","SGMII Data Output, positive end")</f>
        <v>Receive Data</v>
      </c>
      <c r="E39" s="80"/>
      <c r="F39" s="30" t="s">
        <v>123</v>
      </c>
      <c r="G39" s="50"/>
      <c r="H39" s="11"/>
    </row>
    <row r="40" spans="1:8" x14ac:dyDescent="0.35">
      <c r="A40" s="77"/>
      <c r="B40" s="9" t="str">
        <f>IF($A$30="RGMII","RX_D3","SO_N")</f>
        <v>RX_D3</v>
      </c>
      <c r="C40" s="8">
        <v>36</v>
      </c>
      <c r="D40" s="9" t="str">
        <f>IF($A$30="RGMII","Receive Data","SGMII Data Output, negative end")</f>
        <v>Receive Data</v>
      </c>
      <c r="E40" s="80"/>
      <c r="F40" s="30" t="s">
        <v>123</v>
      </c>
      <c r="G40" s="50"/>
      <c r="H40" s="11"/>
    </row>
    <row r="41" spans="1:8" ht="124" x14ac:dyDescent="0.35">
      <c r="A41" s="78"/>
      <c r="B41" s="9" t="str">
        <f>IF($A$30="RGMII","RX_CTRL","No function")</f>
        <v>RX_CTRL</v>
      </c>
      <c r="C41" s="30" t="s">
        <v>129</v>
      </c>
      <c r="D41" s="9" t="str">
        <f>IF($A$30="RGMII","Receive Control
Rising: RX_DV, Falling: (RX_DV XOR RX_ER)
High on both edges of RX_CLK if error-free packet
Low on both edges of RX_CLK if no packet
High on rising edge and low on falling edge of RX_CLK if error packet
Strap for Mode 3 or 4 only","No function
Strap for Mode 3 or 4 only")</f>
        <v>Receive Control
Rising: RX_DV, Falling: (RX_DV XOR RX_ER)
High on both edges of RX_CLK if error-free packet
Low on both edges of RX_CLK if no packet
High on rising edge and low on falling edge of RX_CLK if error packet
Strap for Mode 3 or 4 only</v>
      </c>
      <c r="E41" s="81"/>
      <c r="F41" s="30" t="s">
        <v>123</v>
      </c>
      <c r="G41" s="50"/>
      <c r="H41" s="11"/>
    </row>
    <row r="42" spans="1:8" s="75" customFormat="1" ht="34.5" customHeight="1" outlineLevel="1" x14ac:dyDescent="0.35"/>
    <row r="43" spans="1:8" x14ac:dyDescent="0.35">
      <c r="A43" s="74" t="s">
        <v>96</v>
      </c>
      <c r="B43" s="8" t="s">
        <v>97</v>
      </c>
      <c r="C43" s="8">
        <v>20</v>
      </c>
      <c r="D43" s="9" t="s">
        <v>98</v>
      </c>
      <c r="E43" s="19"/>
      <c r="F43" s="30" t="s">
        <v>123</v>
      </c>
      <c r="G43" s="50"/>
      <c r="H43" s="11"/>
    </row>
    <row r="44" spans="1:8" x14ac:dyDescent="0.35">
      <c r="A44" s="74"/>
      <c r="B44" s="8" t="s">
        <v>99</v>
      </c>
      <c r="C44" s="8">
        <v>21</v>
      </c>
      <c r="D44" s="9" t="s">
        <v>100</v>
      </c>
      <c r="E44" s="19"/>
      <c r="F44" s="30" t="s">
        <v>123</v>
      </c>
      <c r="G44" s="50"/>
      <c r="H44" s="11"/>
    </row>
    <row r="45" spans="1:8" x14ac:dyDescent="0.35">
      <c r="A45" s="74"/>
      <c r="B45" s="8" t="s">
        <v>101</v>
      </c>
      <c r="C45" s="8">
        <v>22</v>
      </c>
      <c r="D45" s="9" t="s">
        <v>102</v>
      </c>
      <c r="E45" s="19"/>
      <c r="F45" s="30" t="s">
        <v>123</v>
      </c>
      <c r="G45" s="50"/>
      <c r="H45" s="11"/>
    </row>
    <row r="46" spans="1:8" x14ac:dyDescent="0.35">
      <c r="A46" s="74"/>
      <c r="B46" s="8" t="s">
        <v>103</v>
      </c>
      <c r="C46" s="8">
        <v>23</v>
      </c>
      <c r="D46" s="9" t="s">
        <v>104</v>
      </c>
      <c r="E46" s="19"/>
      <c r="F46" s="30" t="s">
        <v>123</v>
      </c>
      <c r="G46" s="50"/>
      <c r="H46" s="11"/>
    </row>
    <row r="47" spans="1:8" x14ac:dyDescent="0.35">
      <c r="E47" s="25"/>
    </row>
    <row r="48" spans="1:8" x14ac:dyDescent="0.35">
      <c r="E48" s="25"/>
    </row>
    <row r="49" spans="5:5" x14ac:dyDescent="0.35">
      <c r="E49" s="25"/>
    </row>
    <row r="50" spans="5:5" x14ac:dyDescent="0.35">
      <c r="E50" s="25"/>
    </row>
    <row r="51" spans="5:5" x14ac:dyDescent="0.35">
      <c r="E51" s="25"/>
    </row>
    <row r="52" spans="5:5" x14ac:dyDescent="0.35">
      <c r="E52" s="25"/>
    </row>
    <row r="53" spans="5:5" x14ac:dyDescent="0.35">
      <c r="E53" s="25"/>
    </row>
    <row r="54" spans="5:5" x14ac:dyDescent="0.35">
      <c r="E54" s="25"/>
    </row>
    <row r="55" spans="5:5" x14ac:dyDescent="0.35">
      <c r="E55" s="25"/>
    </row>
    <row r="56" spans="5:5" x14ac:dyDescent="0.35">
      <c r="E56" s="25"/>
    </row>
    <row r="57" spans="5:5" x14ac:dyDescent="0.35">
      <c r="E57" s="25"/>
    </row>
    <row r="58" spans="5:5" x14ac:dyDescent="0.35">
      <c r="E58" s="25"/>
    </row>
    <row r="59" spans="5:5" x14ac:dyDescent="0.35">
      <c r="E59" s="25"/>
    </row>
    <row r="60" spans="5:5" x14ac:dyDescent="0.35">
      <c r="E60" s="25"/>
    </row>
    <row r="61" spans="5:5" x14ac:dyDescent="0.35">
      <c r="E61" s="25"/>
    </row>
    <row r="62" spans="5:5" x14ac:dyDescent="0.35">
      <c r="E62" s="25"/>
    </row>
    <row r="63" spans="5:5" x14ac:dyDescent="0.35">
      <c r="E63" s="25"/>
    </row>
    <row r="64" spans="5:5" x14ac:dyDescent="0.35">
      <c r="E64" s="25"/>
    </row>
    <row r="65" spans="1:5" x14ac:dyDescent="0.35">
      <c r="E65" s="25"/>
    </row>
    <row r="66" spans="1:5" x14ac:dyDescent="0.35">
      <c r="E66" s="25"/>
    </row>
    <row r="67" spans="1:5" x14ac:dyDescent="0.35">
      <c r="E67" s="25"/>
    </row>
    <row r="68" spans="1:5" x14ac:dyDescent="0.35">
      <c r="E68" s="25"/>
    </row>
    <row r="69" spans="1:5" x14ac:dyDescent="0.35">
      <c r="E69" s="25"/>
    </row>
    <row r="70" spans="1:5" x14ac:dyDescent="0.35">
      <c r="E70" s="25"/>
    </row>
    <row r="71" spans="1:5" x14ac:dyDescent="0.35">
      <c r="E71" s="25"/>
    </row>
    <row r="72" spans="1:5" x14ac:dyDescent="0.35">
      <c r="E72" s="25"/>
    </row>
    <row r="73" spans="1:5" x14ac:dyDescent="0.35">
      <c r="E73" s="25"/>
    </row>
    <row r="74" spans="1:5" x14ac:dyDescent="0.35">
      <c r="E74" s="25"/>
    </row>
    <row r="75" spans="1:5" x14ac:dyDescent="0.35">
      <c r="E75" s="25"/>
    </row>
    <row r="76" spans="1:5" x14ac:dyDescent="0.35">
      <c r="E76" s="25"/>
    </row>
    <row r="77" spans="1:5" x14ac:dyDescent="0.35">
      <c r="A77" s="22" t="s">
        <v>92</v>
      </c>
    </row>
    <row r="78" spans="1:5" x14ac:dyDescent="0.35">
      <c r="A78" s="22" t="s">
        <v>161</v>
      </c>
    </row>
    <row r="79" spans="1:5" ht="186" customHeight="1" x14ac:dyDescent="0.35">
      <c r="A79" s="22" t="s">
        <v>120</v>
      </c>
      <c r="B79" s="22" t="str">
        <f>IF(A30="RGMII","RGMII","SGMII")</f>
        <v>RGMII</v>
      </c>
    </row>
    <row r="80" spans="1:5" ht="180.75" customHeight="1" x14ac:dyDescent="0.35">
      <c r="A80" s="22" t="s">
        <v>121</v>
      </c>
    </row>
    <row r="81" spans="1:6" ht="130.5" customHeight="1" x14ac:dyDescent="0.35">
      <c r="A81" s="32" t="s">
        <v>118</v>
      </c>
      <c r="B81" s="22" t="str">
        <f>IF(A18="Clock
(Crystal)", "Crystal", "Oscillator")</f>
        <v>Crystal</v>
      </c>
    </row>
    <row r="82" spans="1:6" ht="164.25" customHeight="1" x14ac:dyDescent="0.35">
      <c r="A82" s="32" t="s">
        <v>142</v>
      </c>
      <c r="B82" s="22" t="str">
        <f>IF(A18="Clock
(Crystal)", "CrystalPic", "OscillatorPic")</f>
        <v>CrystalPic</v>
      </c>
      <c r="D82" s="32"/>
      <c r="F82" s="32"/>
    </row>
    <row r="83" spans="1:6" ht="141" customHeight="1" x14ac:dyDescent="0.35"/>
    <row r="84" spans="1:6" ht="204" customHeight="1" x14ac:dyDescent="0.35"/>
  </sheetData>
  <dataConsolidate/>
  <mergeCells count="24">
    <mergeCell ref="A2:A5"/>
    <mergeCell ref="A15:A16"/>
    <mergeCell ref="D18:D19"/>
    <mergeCell ref="A21:A22"/>
    <mergeCell ref="A6:XFD6"/>
    <mergeCell ref="A8:XFD8"/>
    <mergeCell ref="A10:XFD10"/>
    <mergeCell ref="A11:A13"/>
    <mergeCell ref="E11:E13"/>
    <mergeCell ref="E15:E16"/>
    <mergeCell ref="A14:XFD14"/>
    <mergeCell ref="A17:XFD17"/>
    <mergeCell ref="G18:G19"/>
    <mergeCell ref="A18:A19"/>
    <mergeCell ref="E18:E19"/>
    <mergeCell ref="F18:F19"/>
    <mergeCell ref="A43:A46"/>
    <mergeCell ref="A20:XFD20"/>
    <mergeCell ref="A23:XFD23"/>
    <mergeCell ref="A27:XFD27"/>
    <mergeCell ref="A29:XFD29"/>
    <mergeCell ref="A42:XFD42"/>
    <mergeCell ref="A30:A41"/>
    <mergeCell ref="E30:E41"/>
  </mergeCells>
  <conditionalFormatting sqref="F2:F46">
    <cfRule type="cellIs" dxfId="4" priority="1" operator="equal">
      <formula>"Required"</formula>
    </cfRule>
  </conditionalFormatting>
  <dataValidations count="4">
    <dataValidation type="list" allowBlank="1" showInputMessage="1" showErrorMessage="1" sqref="A30" xr:uid="{07785BC3-A0A4-469B-8B68-DC27BDC6F5A0}">
      <formula1>$A$79:$A$80</formula1>
    </dataValidation>
    <dataValidation type="list" allowBlank="1" showInputMessage="1" showErrorMessage="1" sqref="F2:F5 F7 F9 F11:F13 F15:F16 F21:F22 F24:F26 F28 F30:F41 F43:F46" xr:uid="{5F859567-80F8-4DD0-B959-F5A8D912A64B}">
      <formula1>"Required, Yes,No"</formula1>
    </dataValidation>
    <dataValidation type="list" allowBlank="1" showInputMessage="1" showErrorMessage="1" sqref="A18:A19" xr:uid="{CD3B9B0A-50AF-4371-80C5-934072012DD0}">
      <formula1>$A$81:$A$82</formula1>
    </dataValidation>
    <dataValidation type="list" allowBlank="1" showInputMessage="1" showErrorMessage="1" sqref="A25" xr:uid="{13773F15-7867-4422-A7CA-8EA8BB84BFC8}">
      <formula1>$A$77:$A$78</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C4960-A411-4568-A771-701E84F5ABE9}">
  <dimension ref="A3:Q142"/>
  <sheetViews>
    <sheetView topLeftCell="C4" zoomScale="85" zoomScaleNormal="85" workbookViewId="0">
      <selection activeCell="G14" sqref="G14"/>
    </sheetView>
  </sheetViews>
  <sheetFormatPr defaultColWidth="8.83203125" defaultRowHeight="15.5" x14ac:dyDescent="0.35"/>
  <cols>
    <col min="1" max="1" width="12.5" customWidth="1"/>
    <col min="2" max="2" width="30.5" bestFit="1" customWidth="1"/>
    <col min="3" max="3" width="13.25" bestFit="1" customWidth="1"/>
    <col min="4" max="4" width="25.5" bestFit="1" customWidth="1"/>
    <col min="5" max="9" width="12.5" customWidth="1"/>
    <col min="10" max="10" width="12.33203125" customWidth="1"/>
    <col min="11" max="13" width="12.5" customWidth="1"/>
    <col min="14" max="14" width="12.33203125" customWidth="1"/>
    <col min="15" max="15" width="12.5" customWidth="1"/>
  </cols>
  <sheetData>
    <row r="3" spans="1:8" x14ac:dyDescent="0.35">
      <c r="A3" s="42" t="s">
        <v>4</v>
      </c>
    </row>
    <row r="5" spans="1:8" x14ac:dyDescent="0.35">
      <c r="G5" s="95" t="s">
        <v>19</v>
      </c>
      <c r="H5" s="96"/>
    </row>
    <row r="6" spans="1:8" ht="48.5" x14ac:dyDescent="0.45">
      <c r="B6" s="36" t="s">
        <v>33</v>
      </c>
      <c r="C6" s="36" t="s">
        <v>34</v>
      </c>
      <c r="D6" s="36" t="s">
        <v>35</v>
      </c>
      <c r="E6" s="36" t="s">
        <v>20</v>
      </c>
      <c r="F6" s="36" t="s">
        <v>21</v>
      </c>
      <c r="G6" s="43" t="s">
        <v>22</v>
      </c>
      <c r="H6" s="43" t="s">
        <v>23</v>
      </c>
    </row>
    <row r="7" spans="1:8" x14ac:dyDescent="0.35">
      <c r="B7" s="88" t="s">
        <v>36</v>
      </c>
      <c r="C7" s="91">
        <v>0</v>
      </c>
      <c r="D7" s="97">
        <v>0</v>
      </c>
      <c r="E7" s="38" t="s">
        <v>24</v>
      </c>
      <c r="F7" s="38" t="str">
        <f>VLOOKUP(C7,C89:F104,3,FALSE)</f>
        <v>Mode 1</v>
      </c>
      <c r="G7" s="47" t="str">
        <f>VLOOKUP(F7,G89:I92,2,FALSE)</f>
        <v>Open</v>
      </c>
      <c r="H7" s="47" t="str">
        <f>VLOOKUP(F7,G89:I92,3,FALSE)</f>
        <v>Open</v>
      </c>
    </row>
    <row r="8" spans="1:8" x14ac:dyDescent="0.35">
      <c r="B8" s="90"/>
      <c r="C8" s="92"/>
      <c r="D8" s="98"/>
      <c r="E8" s="38" t="s">
        <v>25</v>
      </c>
      <c r="F8" s="38" t="str">
        <f>VLOOKUP(C7,C89:F104,2,FALSE)</f>
        <v>Mode 1</v>
      </c>
      <c r="G8" s="47" t="str">
        <f>VLOOKUP(F8,G89:I92,2,FALSE)</f>
        <v>Open</v>
      </c>
      <c r="H8" s="47" t="str">
        <f>VLOOKUP(F8,G89:I92,3,FALSE)</f>
        <v>Open</v>
      </c>
    </row>
    <row r="9" spans="1:8" x14ac:dyDescent="0.35">
      <c r="B9" s="90"/>
      <c r="C9" s="92"/>
      <c r="D9" s="98"/>
      <c r="E9" s="50" t="s">
        <v>153</v>
      </c>
      <c r="F9" s="50" t="str">
        <f>IF(OR($F$16="Mode 1",$F$16="Mode 3"), "Mode 1", F7)</f>
        <v>Mode 1</v>
      </c>
      <c r="G9" s="47" t="str">
        <f>IF($F$9="Mode 1", "Open",G7)</f>
        <v>Open</v>
      </c>
      <c r="H9" s="47" t="str">
        <f>IF($F$9="Mode 1", "Open",H7)</f>
        <v>Open</v>
      </c>
    </row>
    <row r="10" spans="1:8" x14ac:dyDescent="0.35">
      <c r="B10" s="89"/>
      <c r="C10" s="93"/>
      <c r="D10" s="99"/>
      <c r="E10" s="50" t="s">
        <v>154</v>
      </c>
      <c r="F10" s="50" t="str">
        <f>IF(OR($F$16="Mode 1",$F$16="Mode 3"), "Mode 1", F8)</f>
        <v>Mode 1</v>
      </c>
      <c r="G10" s="47" t="str">
        <f>IF($F$10="Mode 1", "Open",G8)</f>
        <v>Open</v>
      </c>
      <c r="H10" s="47" t="str">
        <f>IF($F$10="Mode 1", "Open",H8)</f>
        <v>Open</v>
      </c>
    </row>
    <row r="11" spans="1:8" ht="31" x14ac:dyDescent="0.35">
      <c r="B11" s="45" t="s">
        <v>192</v>
      </c>
      <c r="C11" s="48" t="s">
        <v>37</v>
      </c>
      <c r="D11" s="38" t="s">
        <v>220</v>
      </c>
      <c r="E11" s="38" t="s">
        <v>26</v>
      </c>
      <c r="F11" s="38" t="str">
        <f>IF(C11="Enable","Mode 3", "Mode 4")</f>
        <v>Mode 3</v>
      </c>
      <c r="G11" s="47" t="str">
        <f>VLOOKUP(F11,G89:I92,2,FALSE)</f>
        <v>5.76kΩ</v>
      </c>
      <c r="H11" s="47" t="str">
        <f>VLOOKUP(F11,G89:I92,3,FALSE)</f>
        <v>2.49kΩ</v>
      </c>
    </row>
    <row r="12" spans="1:8" x14ac:dyDescent="0.35">
      <c r="B12" s="88" t="s">
        <v>222</v>
      </c>
      <c r="C12" s="86" t="s">
        <v>39</v>
      </c>
      <c r="D12" s="82" t="s">
        <v>39</v>
      </c>
      <c r="E12" s="38" t="s">
        <v>27</v>
      </c>
      <c r="F12" s="38" t="str">
        <f>VLOOKUP(C12,C111:E118,3,FALSE)</f>
        <v>Mode 1</v>
      </c>
      <c r="G12" s="47" t="str">
        <f>VLOOKUP(F12,G89:I92,2,FALSE)</f>
        <v>Open</v>
      </c>
      <c r="H12" s="47" t="str">
        <f>VLOOKUP(F12,G89:I92,3,FALSE)</f>
        <v>Open</v>
      </c>
    </row>
    <row r="13" spans="1:8" x14ac:dyDescent="0.35">
      <c r="B13" s="89"/>
      <c r="C13" s="86"/>
      <c r="D13" s="82"/>
      <c r="E13" s="38" t="s">
        <v>28</v>
      </c>
      <c r="F13" s="38" t="str">
        <f>VLOOKUP(C12,C111:E118,2,FALSE)</f>
        <v>Mode 1</v>
      </c>
      <c r="G13" s="47" t="str">
        <f>VLOOKUP(F13,G89:I92,2,FALSE)</f>
        <v>Open</v>
      </c>
      <c r="H13" s="47" t="str">
        <f>VLOOKUP(F13,G89:I92,3,FALSE)</f>
        <v>Open</v>
      </c>
    </row>
    <row r="14" spans="1:8" ht="31" x14ac:dyDescent="0.35">
      <c r="B14" s="45" t="s">
        <v>223</v>
      </c>
      <c r="C14" s="48" t="s">
        <v>39</v>
      </c>
      <c r="D14" s="38" t="s">
        <v>39</v>
      </c>
      <c r="E14" s="38" t="s">
        <v>29</v>
      </c>
      <c r="F14" s="38" t="str">
        <f>IF(C15="10/100/1000", VLOOKUP(C14,C124:G131,3,FALSE), VLOOKUP(C14,C124:G131,5,FALSE))</f>
        <v>Mode 1</v>
      </c>
      <c r="G14" s="47" t="str">
        <f>VLOOKUP(F14,G89:I92,2,FALSE)</f>
        <v>Open</v>
      </c>
      <c r="H14" s="47" t="str">
        <f>VLOOKUP(F14,G89:I92,3,FALSE)</f>
        <v>Open</v>
      </c>
    </row>
    <row r="15" spans="1:8" x14ac:dyDescent="0.35">
      <c r="B15" s="45" t="s">
        <v>221</v>
      </c>
      <c r="C15" s="48" t="s">
        <v>40</v>
      </c>
      <c r="D15" s="38" t="s">
        <v>40</v>
      </c>
      <c r="E15" s="38" t="s">
        <v>30</v>
      </c>
      <c r="F15" s="38" t="str">
        <f>IF(C15="10/100/1000", VLOOKUP(C14,C124:G131,2,FALSE), VLOOKUP(C14,C124:G131,4,FALSE))</f>
        <v>Mode 1</v>
      </c>
      <c r="G15" s="47" t="str">
        <f>VLOOKUP(F15,G89:I92,2,FALSE)</f>
        <v>Open</v>
      </c>
      <c r="H15" s="47" t="str">
        <f>VLOOKUP(F15,G89:I92,3,FALSE)</f>
        <v>Open</v>
      </c>
    </row>
    <row r="16" spans="1:8" ht="31" x14ac:dyDescent="0.35">
      <c r="B16" s="45" t="s">
        <v>224</v>
      </c>
      <c r="C16" s="48" t="s">
        <v>225</v>
      </c>
      <c r="D16" s="38" t="s">
        <v>225</v>
      </c>
      <c r="E16" s="38" t="s">
        <v>31</v>
      </c>
      <c r="F16" s="38" t="str">
        <f>VLOOKUP(C16,C139:D142, 2, FALSE)</f>
        <v>Mode 1</v>
      </c>
      <c r="G16" s="47" t="str">
        <f>VLOOKUP(F16,G89:I92,2,FALSE)</f>
        <v>Open</v>
      </c>
      <c r="H16" s="47" t="str">
        <f>VLOOKUP(F16,G89:I92,3,FALSE)</f>
        <v>Open</v>
      </c>
    </row>
    <row r="17" spans="1:17" x14ac:dyDescent="0.35">
      <c r="B17" s="40"/>
      <c r="D17" s="41"/>
      <c r="E17" s="41"/>
      <c r="F17" s="41"/>
      <c r="G17" s="41"/>
      <c r="H17" s="41"/>
    </row>
    <row r="18" spans="1:17" hidden="1" x14ac:dyDescent="0.35">
      <c r="A18" s="42" t="s">
        <v>32</v>
      </c>
      <c r="B18" s="40"/>
      <c r="C18" s="37">
        <v>3</v>
      </c>
      <c r="D18" s="41">
        <v>2</v>
      </c>
      <c r="E18" s="41">
        <v>1</v>
      </c>
      <c r="F18" s="41">
        <v>0</v>
      </c>
      <c r="G18" s="41"/>
      <c r="H18" s="41"/>
    </row>
    <row r="19" spans="1:17" hidden="1" x14ac:dyDescent="0.35">
      <c r="B19" s="40" t="s">
        <v>180</v>
      </c>
      <c r="C19" s="44"/>
      <c r="D19" s="37"/>
      <c r="E19" s="37"/>
      <c r="F19" s="37"/>
      <c r="G19" s="41"/>
      <c r="H19" s="41"/>
    </row>
    <row r="20" spans="1:17" hidden="1" x14ac:dyDescent="0.35">
      <c r="B20" s="40" t="s">
        <v>181</v>
      </c>
      <c r="C20" s="37"/>
      <c r="D20" s="37"/>
      <c r="E20" s="37"/>
      <c r="F20" s="37"/>
      <c r="G20" s="41"/>
      <c r="H20" s="41"/>
    </row>
    <row r="21" spans="1:17" hidden="1" x14ac:dyDescent="0.35">
      <c r="B21" s="40" t="s">
        <v>188</v>
      </c>
      <c r="C21" s="37">
        <f>HEX2DEC(C19)</f>
        <v>0</v>
      </c>
      <c r="D21" s="37">
        <f t="shared" ref="D21:F22" si="0">HEX2DEC(D19)</f>
        <v>0</v>
      </c>
      <c r="E21" s="37">
        <f t="shared" si="0"/>
        <v>0</v>
      </c>
      <c r="F21" s="37">
        <f t="shared" si="0"/>
        <v>0</v>
      </c>
      <c r="G21" s="41"/>
      <c r="H21" s="41"/>
    </row>
    <row r="22" spans="1:17" hidden="1" x14ac:dyDescent="0.35">
      <c r="B22" s="40" t="s">
        <v>189</v>
      </c>
      <c r="C22" s="37">
        <f>HEX2DEC(C20)</f>
        <v>0</v>
      </c>
      <c r="D22" s="37">
        <f t="shared" si="0"/>
        <v>0</v>
      </c>
      <c r="E22" s="37">
        <f t="shared" si="0"/>
        <v>0</v>
      </c>
      <c r="F22" s="37">
        <f t="shared" si="0"/>
        <v>0</v>
      </c>
      <c r="G22" s="41"/>
      <c r="H22" s="41"/>
    </row>
    <row r="23" spans="1:17" ht="31" hidden="1" x14ac:dyDescent="0.35">
      <c r="B23" s="36" t="s">
        <v>5</v>
      </c>
      <c r="C23" s="36" t="s">
        <v>6</v>
      </c>
      <c r="D23" s="36" t="s">
        <v>7</v>
      </c>
      <c r="E23" s="36" t="s">
        <v>8</v>
      </c>
      <c r="F23" s="36" t="s">
        <v>9</v>
      </c>
      <c r="G23" s="36" t="s">
        <v>10</v>
      </c>
      <c r="H23" s="36" t="s">
        <v>11</v>
      </c>
      <c r="I23" s="36" t="s">
        <v>12</v>
      </c>
      <c r="J23" s="36" t="s">
        <v>13</v>
      </c>
      <c r="K23" s="36" t="s">
        <v>14</v>
      </c>
      <c r="L23" s="36" t="s">
        <v>15</v>
      </c>
      <c r="M23" s="36" t="s">
        <v>16</v>
      </c>
      <c r="N23" s="36" t="s">
        <v>17</v>
      </c>
      <c r="O23" s="36" t="s">
        <v>18</v>
      </c>
    </row>
    <row r="24" spans="1:17" hidden="1" x14ac:dyDescent="0.35">
      <c r="B24" s="14" t="str">
        <f>IF(F21&gt;9, "1", "0")</f>
        <v>0</v>
      </c>
      <c r="C24" s="14" t="str">
        <f>IF(OR(AND(F21&gt;3,F21&lt;8),F21&gt;11),"1","0")</f>
        <v>0</v>
      </c>
      <c r="D24" s="14">
        <v>0</v>
      </c>
      <c r="E24" s="14">
        <v>0</v>
      </c>
      <c r="F24" s="14">
        <v>0</v>
      </c>
      <c r="G24" s="14">
        <v>0</v>
      </c>
      <c r="H24" s="14">
        <v>0</v>
      </c>
      <c r="I24" s="14">
        <v>0</v>
      </c>
      <c r="J24" s="14">
        <v>0</v>
      </c>
      <c r="K24" s="14">
        <v>0</v>
      </c>
      <c r="L24" s="14">
        <v>0</v>
      </c>
      <c r="M24" s="14">
        <v>0</v>
      </c>
      <c r="N24" s="14">
        <v>0</v>
      </c>
      <c r="O24" s="14">
        <v>0</v>
      </c>
    </row>
    <row r="25" spans="1:17" ht="21" customHeight="1" x14ac:dyDescent="0.35">
      <c r="B25" s="40"/>
      <c r="D25" s="41"/>
      <c r="E25" s="41"/>
      <c r="F25" s="41"/>
      <c r="G25" s="41"/>
      <c r="H25" s="41"/>
    </row>
    <row r="26" spans="1:17" hidden="1" x14ac:dyDescent="0.35">
      <c r="B26" s="40"/>
      <c r="D26" s="41"/>
      <c r="E26" s="41"/>
      <c r="F26" s="41"/>
      <c r="G26" s="41"/>
      <c r="H26" s="41"/>
    </row>
    <row r="27" spans="1:17" hidden="1" x14ac:dyDescent="0.35">
      <c r="B27" s="40">
        <v>0</v>
      </c>
      <c r="C27">
        <v>1</v>
      </c>
      <c r="D27" s="41">
        <v>2</v>
      </c>
      <c r="E27" s="40">
        <v>3</v>
      </c>
      <c r="F27">
        <v>4</v>
      </c>
      <c r="G27" s="41">
        <v>5</v>
      </c>
      <c r="H27" s="40">
        <v>6</v>
      </c>
      <c r="I27">
        <v>7</v>
      </c>
      <c r="J27" s="41">
        <v>8</v>
      </c>
      <c r="K27" s="40">
        <v>9</v>
      </c>
      <c r="L27" t="s">
        <v>182</v>
      </c>
      <c r="M27" s="41" t="s">
        <v>183</v>
      </c>
      <c r="N27" s="40" t="s">
        <v>184</v>
      </c>
      <c r="O27" t="s">
        <v>185</v>
      </c>
      <c r="P27" s="41" t="s">
        <v>186</v>
      </c>
      <c r="Q27" s="40" t="s">
        <v>187</v>
      </c>
    </row>
    <row r="28" spans="1:17" x14ac:dyDescent="0.35">
      <c r="B28" s="40"/>
      <c r="D28" s="41"/>
      <c r="E28" s="41"/>
      <c r="F28" s="41"/>
      <c r="G28" s="41"/>
      <c r="H28" s="41"/>
    </row>
    <row r="29" spans="1:17" x14ac:dyDescent="0.35">
      <c r="B29" s="40"/>
      <c r="D29" s="41"/>
      <c r="E29" s="41"/>
      <c r="F29" s="41"/>
      <c r="G29" s="41"/>
      <c r="H29" s="41"/>
    </row>
    <row r="30" spans="1:17" x14ac:dyDescent="0.35">
      <c r="A30" s="42" t="s">
        <v>32</v>
      </c>
    </row>
    <row r="32" spans="1:17" ht="31" x14ac:dyDescent="0.35">
      <c r="B32" s="36" t="s">
        <v>5</v>
      </c>
      <c r="C32" s="36" t="s">
        <v>6</v>
      </c>
      <c r="D32" s="36" t="s">
        <v>7</v>
      </c>
      <c r="E32" s="36" t="s">
        <v>8</v>
      </c>
      <c r="F32" s="36" t="s">
        <v>9</v>
      </c>
      <c r="G32" s="36" t="s">
        <v>10</v>
      </c>
      <c r="H32" s="36" t="s">
        <v>11</v>
      </c>
      <c r="I32" s="36" t="s">
        <v>12</v>
      </c>
      <c r="J32" s="36" t="s">
        <v>13</v>
      </c>
      <c r="K32" s="36" t="s">
        <v>14</v>
      </c>
      <c r="L32" s="36" t="s">
        <v>15</v>
      </c>
      <c r="M32" s="36" t="s">
        <v>16</v>
      </c>
      <c r="N32" s="36" t="s">
        <v>17</v>
      </c>
      <c r="O32" s="36" t="s">
        <v>18</v>
      </c>
    </row>
    <row r="33" spans="2:15" x14ac:dyDescent="0.35">
      <c r="B33" s="14">
        <v>0</v>
      </c>
      <c r="C33" s="14">
        <v>0</v>
      </c>
      <c r="D33" s="14">
        <v>0</v>
      </c>
      <c r="E33" s="14">
        <v>0</v>
      </c>
      <c r="F33" s="14">
        <v>0</v>
      </c>
      <c r="G33" s="14">
        <v>0</v>
      </c>
      <c r="H33" s="14">
        <v>0</v>
      </c>
      <c r="I33" s="14">
        <v>0</v>
      </c>
      <c r="J33" s="14">
        <v>0</v>
      </c>
      <c r="K33" s="14">
        <v>0</v>
      </c>
      <c r="L33" s="14">
        <v>0</v>
      </c>
      <c r="M33" s="14">
        <v>0</v>
      </c>
      <c r="N33" s="14">
        <v>0</v>
      </c>
      <c r="O33" s="14">
        <v>0</v>
      </c>
    </row>
    <row r="35" spans="2:15" x14ac:dyDescent="0.35">
      <c r="D35" s="95" t="s">
        <v>19</v>
      </c>
      <c r="E35" s="96"/>
    </row>
    <row r="36" spans="2:15" ht="48.5" x14ac:dyDescent="0.45">
      <c r="B36" s="13" t="s">
        <v>20</v>
      </c>
      <c r="C36" s="13" t="s">
        <v>21</v>
      </c>
      <c r="D36" s="15" t="s">
        <v>22</v>
      </c>
      <c r="E36" s="15" t="s">
        <v>23</v>
      </c>
    </row>
    <row r="37" spans="2:15" x14ac:dyDescent="0.35">
      <c r="B37" s="11" t="s">
        <v>24</v>
      </c>
      <c r="C37" s="11" t="str">
        <f>IF(D33=0,(IF(E33=0,"Mode 1","Mode 2")),(IF(E33=0,"Mode 3","Mode 4")))</f>
        <v>Mode 1</v>
      </c>
      <c r="D37" s="16" t="str">
        <f>VLOOKUP(C37,G89:I92,2,FALSE)</f>
        <v>Open</v>
      </c>
      <c r="E37" s="16" t="str">
        <f>VLOOKUP(C37,G89:I92,3,FALSE)</f>
        <v>Open</v>
      </c>
    </row>
    <row r="38" spans="2:15" x14ac:dyDescent="0.35">
      <c r="B38" s="11" t="s">
        <v>25</v>
      </c>
      <c r="C38" s="11" t="str">
        <f>IF(B33=0,(IF(C33=0,"Mode 1","Mode 2")),(IF(C33=0,"Mode 3","Mode 4")))</f>
        <v>Mode 1</v>
      </c>
      <c r="D38" s="16" t="str">
        <f>VLOOKUP(C38,G89:I92,2,FALSE)</f>
        <v>Open</v>
      </c>
      <c r="E38" s="16" t="str">
        <f>VLOOKUP(C38,G89:I92,3,FALSE)</f>
        <v>Open</v>
      </c>
    </row>
    <row r="39" spans="2:15" x14ac:dyDescent="0.35">
      <c r="B39" s="11" t="s">
        <v>26</v>
      </c>
      <c r="C39" s="11" t="str">
        <f>IF(F33=0,"Mode 3", "Mode 4")</f>
        <v>Mode 3</v>
      </c>
      <c r="D39" s="16" t="str">
        <f>VLOOKUP(C39,G89:I92,2,FALSE)</f>
        <v>5.76kΩ</v>
      </c>
      <c r="E39" s="16" t="str">
        <f>VLOOKUP(C39,G89:I92,3,FALSE)</f>
        <v>2.49kΩ</v>
      </c>
    </row>
    <row r="40" spans="2:15" x14ac:dyDescent="0.35">
      <c r="B40" s="11" t="s">
        <v>27</v>
      </c>
      <c r="C40" s="11" t="str">
        <f>IF(I33=0, "Mode 1", "Mode 3")</f>
        <v>Mode 1</v>
      </c>
      <c r="D40" s="16" t="str">
        <f>VLOOKUP(C40,G89:I92,2,FALSE)</f>
        <v>Open</v>
      </c>
      <c r="E40" s="16" t="str">
        <f>VLOOKUP(C40,G89:I92,3,FALSE)</f>
        <v>Open</v>
      </c>
    </row>
    <row r="41" spans="2:15" x14ac:dyDescent="0.35">
      <c r="B41" s="11" t="s">
        <v>28</v>
      </c>
      <c r="C41" s="11" t="str">
        <f>IF(G33=0,(IF(H33=0,"Mode 1","Mode 2")),(IF(H33=0,"Mode 3","Mode 4")))</f>
        <v>Mode 1</v>
      </c>
      <c r="D41" s="16" t="str">
        <f>VLOOKUP(C41,G89:I92,2,FALSE)</f>
        <v>Open</v>
      </c>
      <c r="E41" s="16" t="str">
        <f>VLOOKUP(C41,G89:I92,3,FALSE)</f>
        <v>Open</v>
      </c>
    </row>
    <row r="42" spans="2:15" x14ac:dyDescent="0.35">
      <c r="B42" s="11" t="s">
        <v>29</v>
      </c>
      <c r="C42" s="11" t="str">
        <f>IF(K33=0,(IF(L33=0,"Mode 1","Mode 2")),(IF(L33=0,"Mode 3","Mode 4")))</f>
        <v>Mode 1</v>
      </c>
      <c r="D42" s="16" t="str">
        <f>VLOOKUP(C42,G89:I92,2,FALSE)</f>
        <v>Open</v>
      </c>
      <c r="E42" s="16" t="str">
        <f>VLOOKUP(C42,G89:I92,3,FALSE)</f>
        <v>Open</v>
      </c>
    </row>
    <row r="43" spans="2:15" x14ac:dyDescent="0.35">
      <c r="B43" s="11" t="s">
        <v>30</v>
      </c>
      <c r="C43" s="11" t="str">
        <f>IF(M33=0,(IF(J33=0,"Mode 1","Mode 2")),(IF(J33=0,"Mode 3","Mode 4")))</f>
        <v>Mode 1</v>
      </c>
      <c r="D43" s="16" t="str">
        <f>VLOOKUP(C43,G89:I92,2,FALSE)</f>
        <v>Open</v>
      </c>
      <c r="E43" s="16" t="str">
        <f>VLOOKUP(C43,G89:I92,3,FALSE)</f>
        <v>Open</v>
      </c>
    </row>
    <row r="44" spans="2:15" x14ac:dyDescent="0.35">
      <c r="B44" s="11" t="s">
        <v>31</v>
      </c>
      <c r="C44" s="11" t="str">
        <f>IF(N33=0,(IF(O33=0,"Mode 1","Mode 2")),(IF(O33=0,"Mode 3","Mode 4")))</f>
        <v>Mode 1</v>
      </c>
      <c r="D44" s="16" t="str">
        <f>VLOOKUP(C44,G89:I92,2,FALSE)</f>
        <v>Open</v>
      </c>
      <c r="E44" s="16" t="str">
        <f>VLOOKUP(C44,G89:I92,3,FALSE)</f>
        <v>Open</v>
      </c>
    </row>
    <row r="86" spans="2:9" ht="16.149999999999999" customHeight="1" x14ac:dyDescent="0.35"/>
    <row r="88" spans="2:9" hidden="1" x14ac:dyDescent="0.35">
      <c r="D88" t="s">
        <v>25</v>
      </c>
      <c r="E88" t="s">
        <v>24</v>
      </c>
      <c r="G88" t="s">
        <v>21</v>
      </c>
      <c r="H88" t="s">
        <v>41</v>
      </c>
      <c r="I88" t="s">
        <v>42</v>
      </c>
    </row>
    <row r="89" spans="2:9" hidden="1" x14ac:dyDescent="0.35">
      <c r="B89" t="s">
        <v>43</v>
      </c>
      <c r="C89">
        <v>0</v>
      </c>
      <c r="D89" t="s">
        <v>44</v>
      </c>
      <c r="E89" t="s">
        <v>44</v>
      </c>
      <c r="G89" t="s">
        <v>44</v>
      </c>
      <c r="H89" t="s">
        <v>45</v>
      </c>
      <c r="I89" t="s">
        <v>45</v>
      </c>
    </row>
    <row r="90" spans="2:9" hidden="1" x14ac:dyDescent="0.35">
      <c r="C90">
        <v>1</v>
      </c>
      <c r="D90" t="s">
        <v>44</v>
      </c>
      <c r="E90" t="s">
        <v>46</v>
      </c>
      <c r="G90" t="s">
        <v>46</v>
      </c>
      <c r="H90" t="s">
        <v>47</v>
      </c>
      <c r="I90" t="s">
        <v>48</v>
      </c>
    </row>
    <row r="91" spans="2:9" hidden="1" x14ac:dyDescent="0.35">
      <c r="C91">
        <v>2</v>
      </c>
      <c r="D91" t="s">
        <v>44</v>
      </c>
      <c r="E91" t="s">
        <v>49</v>
      </c>
      <c r="G91" t="s">
        <v>49</v>
      </c>
      <c r="H91" t="s">
        <v>50</v>
      </c>
      <c r="I91" t="s">
        <v>48</v>
      </c>
    </row>
    <row r="92" spans="2:9" hidden="1" x14ac:dyDescent="0.35">
      <c r="C92">
        <v>3</v>
      </c>
      <c r="D92" t="s">
        <v>44</v>
      </c>
      <c r="E92" t="s">
        <v>51</v>
      </c>
      <c r="G92" t="s">
        <v>51</v>
      </c>
      <c r="H92" t="s">
        <v>48</v>
      </c>
      <c r="I92" t="s">
        <v>45</v>
      </c>
    </row>
    <row r="93" spans="2:9" hidden="1" x14ac:dyDescent="0.35">
      <c r="C93">
        <v>4</v>
      </c>
      <c r="D93" t="s">
        <v>46</v>
      </c>
      <c r="E93" t="s">
        <v>44</v>
      </c>
    </row>
    <row r="94" spans="2:9" hidden="1" x14ac:dyDescent="0.35">
      <c r="C94">
        <v>5</v>
      </c>
      <c r="D94" t="s">
        <v>46</v>
      </c>
      <c r="E94" t="s">
        <v>46</v>
      </c>
    </row>
    <row r="95" spans="2:9" hidden="1" x14ac:dyDescent="0.35">
      <c r="C95">
        <v>6</v>
      </c>
      <c r="D95" t="s">
        <v>46</v>
      </c>
      <c r="E95" t="s">
        <v>49</v>
      </c>
    </row>
    <row r="96" spans="2:9" hidden="1" x14ac:dyDescent="0.35">
      <c r="C96">
        <v>7</v>
      </c>
      <c r="D96" t="s">
        <v>46</v>
      </c>
      <c r="E96" t="s">
        <v>51</v>
      </c>
    </row>
    <row r="97" spans="2:5" hidden="1" x14ac:dyDescent="0.35">
      <c r="C97">
        <v>8</v>
      </c>
      <c r="D97" t="s">
        <v>49</v>
      </c>
      <c r="E97" t="s">
        <v>44</v>
      </c>
    </row>
    <row r="98" spans="2:5" hidden="1" x14ac:dyDescent="0.35">
      <c r="C98">
        <v>9</v>
      </c>
      <c r="D98" t="s">
        <v>49</v>
      </c>
      <c r="E98" t="s">
        <v>46</v>
      </c>
    </row>
    <row r="99" spans="2:5" hidden="1" x14ac:dyDescent="0.35">
      <c r="C99">
        <v>10</v>
      </c>
      <c r="D99" t="s">
        <v>49</v>
      </c>
      <c r="E99" t="s">
        <v>49</v>
      </c>
    </row>
    <row r="100" spans="2:5" hidden="1" x14ac:dyDescent="0.35">
      <c r="C100">
        <v>11</v>
      </c>
      <c r="D100" t="s">
        <v>49</v>
      </c>
      <c r="E100" t="s">
        <v>51</v>
      </c>
    </row>
    <row r="101" spans="2:5" hidden="1" x14ac:dyDescent="0.35">
      <c r="C101">
        <v>12</v>
      </c>
      <c r="D101" t="s">
        <v>51</v>
      </c>
      <c r="E101" t="s">
        <v>44</v>
      </c>
    </row>
    <row r="102" spans="2:5" hidden="1" x14ac:dyDescent="0.35">
      <c r="C102">
        <v>13</v>
      </c>
      <c r="D102" t="s">
        <v>51</v>
      </c>
      <c r="E102" t="s">
        <v>46</v>
      </c>
    </row>
    <row r="103" spans="2:5" hidden="1" x14ac:dyDescent="0.35">
      <c r="C103">
        <v>14</v>
      </c>
      <c r="D103" t="s">
        <v>51</v>
      </c>
      <c r="E103" t="s">
        <v>49</v>
      </c>
    </row>
    <row r="104" spans="2:5" hidden="1" x14ac:dyDescent="0.35">
      <c r="C104">
        <v>15</v>
      </c>
      <c r="D104" t="s">
        <v>51</v>
      </c>
      <c r="E104" t="s">
        <v>51</v>
      </c>
    </row>
    <row r="105" spans="2:5" hidden="1" x14ac:dyDescent="0.35"/>
    <row r="106" spans="2:5" hidden="1" x14ac:dyDescent="0.35">
      <c r="D106" t="s">
        <v>26</v>
      </c>
    </row>
    <row r="107" spans="2:5" hidden="1" x14ac:dyDescent="0.35">
      <c r="B107" t="s">
        <v>52</v>
      </c>
      <c r="C107" t="s">
        <v>53</v>
      </c>
      <c r="D107" t="s">
        <v>51</v>
      </c>
    </row>
    <row r="108" spans="2:5" hidden="1" x14ac:dyDescent="0.35">
      <c r="C108" t="s">
        <v>37</v>
      </c>
      <c r="D108" t="s">
        <v>49</v>
      </c>
    </row>
    <row r="109" spans="2:5" hidden="1" x14ac:dyDescent="0.35"/>
    <row r="110" spans="2:5" hidden="1" x14ac:dyDescent="0.35">
      <c r="D110" t="s">
        <v>28</v>
      </c>
      <c r="E110" t="s">
        <v>27</v>
      </c>
    </row>
    <row r="111" spans="2:5" hidden="1" x14ac:dyDescent="0.35">
      <c r="B111" t="s">
        <v>54</v>
      </c>
      <c r="C111" t="s">
        <v>39</v>
      </c>
      <c r="D111" t="s">
        <v>44</v>
      </c>
      <c r="E111" t="s">
        <v>44</v>
      </c>
    </row>
    <row r="112" spans="2:5" hidden="1" x14ac:dyDescent="0.35">
      <c r="C112" t="s">
        <v>55</v>
      </c>
      <c r="D112" t="s">
        <v>44</v>
      </c>
      <c r="E112" t="s">
        <v>49</v>
      </c>
    </row>
    <row r="113" spans="2:11" hidden="1" x14ac:dyDescent="0.35">
      <c r="C113" t="s">
        <v>56</v>
      </c>
      <c r="D113" t="s">
        <v>46</v>
      </c>
      <c r="E113" t="s">
        <v>44</v>
      </c>
    </row>
    <row r="114" spans="2:11" hidden="1" x14ac:dyDescent="0.35">
      <c r="C114" t="s">
        <v>57</v>
      </c>
      <c r="D114" t="s">
        <v>46</v>
      </c>
      <c r="E114" t="s">
        <v>49</v>
      </c>
    </row>
    <row r="115" spans="2:11" hidden="1" x14ac:dyDescent="0.35">
      <c r="C115" t="s">
        <v>38</v>
      </c>
      <c r="D115" t="s">
        <v>49</v>
      </c>
      <c r="E115" t="s">
        <v>44</v>
      </c>
    </row>
    <row r="116" spans="2:11" hidden="1" x14ac:dyDescent="0.35">
      <c r="C116" t="s">
        <v>58</v>
      </c>
      <c r="D116" t="s">
        <v>49</v>
      </c>
      <c r="E116" t="s">
        <v>49</v>
      </c>
    </row>
    <row r="117" spans="2:11" hidden="1" x14ac:dyDescent="0.35">
      <c r="C117" t="s">
        <v>59</v>
      </c>
      <c r="D117" t="s">
        <v>51</v>
      </c>
      <c r="E117" t="s">
        <v>44</v>
      </c>
    </row>
    <row r="118" spans="2:11" hidden="1" x14ac:dyDescent="0.35">
      <c r="C118" t="s">
        <v>60</v>
      </c>
      <c r="D118" t="s">
        <v>51</v>
      </c>
      <c r="E118" t="s">
        <v>49</v>
      </c>
    </row>
    <row r="119" spans="2:11" hidden="1" x14ac:dyDescent="0.35"/>
    <row r="120" spans="2:11" hidden="1" x14ac:dyDescent="0.35">
      <c r="B120" t="s">
        <v>61</v>
      </c>
    </row>
    <row r="121" spans="2:11" hidden="1" x14ac:dyDescent="0.35">
      <c r="C121" s="37"/>
      <c r="D121" s="94" t="s">
        <v>62</v>
      </c>
      <c r="E121" s="94"/>
      <c r="F121" s="94"/>
      <c r="G121" s="94"/>
      <c r="H121" s="52" t="s">
        <v>40</v>
      </c>
      <c r="I121" s="52" t="s">
        <v>63</v>
      </c>
      <c r="K121" s="52"/>
    </row>
    <row r="122" spans="2:11" hidden="1" x14ac:dyDescent="0.35">
      <c r="C122" s="37"/>
      <c r="D122" s="94" t="s">
        <v>40</v>
      </c>
      <c r="E122" s="94"/>
      <c r="F122" s="94" t="s">
        <v>63</v>
      </c>
      <c r="G122" s="94"/>
    </row>
    <row r="123" spans="2:11" hidden="1" x14ac:dyDescent="0.35">
      <c r="C123" t="s">
        <v>64</v>
      </c>
      <c r="D123" t="s">
        <v>30</v>
      </c>
      <c r="E123" t="s">
        <v>29</v>
      </c>
      <c r="F123" t="s">
        <v>30</v>
      </c>
      <c r="G123" t="s">
        <v>29</v>
      </c>
    </row>
    <row r="124" spans="2:11" hidden="1" x14ac:dyDescent="0.35">
      <c r="C124" t="s">
        <v>39</v>
      </c>
      <c r="D124" t="s">
        <v>44</v>
      </c>
      <c r="E124" t="s">
        <v>44</v>
      </c>
      <c r="F124" t="s">
        <v>49</v>
      </c>
      <c r="G124" t="s">
        <v>44</v>
      </c>
    </row>
    <row r="125" spans="2:11" hidden="1" x14ac:dyDescent="0.35">
      <c r="C125" t="s">
        <v>55</v>
      </c>
      <c r="D125" t="s">
        <v>44</v>
      </c>
      <c r="E125" t="s">
        <v>46</v>
      </c>
      <c r="F125" t="s">
        <v>49</v>
      </c>
      <c r="G125" t="s">
        <v>46</v>
      </c>
    </row>
    <row r="126" spans="2:11" hidden="1" x14ac:dyDescent="0.35">
      <c r="C126" t="s">
        <v>56</v>
      </c>
      <c r="D126" t="s">
        <v>44</v>
      </c>
      <c r="E126" t="s">
        <v>49</v>
      </c>
      <c r="F126" t="s">
        <v>49</v>
      </c>
      <c r="G126" t="s">
        <v>49</v>
      </c>
    </row>
    <row r="127" spans="2:11" hidden="1" x14ac:dyDescent="0.35">
      <c r="C127" t="s">
        <v>57</v>
      </c>
      <c r="D127" t="s">
        <v>44</v>
      </c>
      <c r="E127" t="s">
        <v>51</v>
      </c>
      <c r="F127" t="s">
        <v>49</v>
      </c>
      <c r="G127" t="s">
        <v>51</v>
      </c>
    </row>
    <row r="128" spans="2:11" hidden="1" x14ac:dyDescent="0.35">
      <c r="C128" t="s">
        <v>38</v>
      </c>
      <c r="D128" t="s">
        <v>46</v>
      </c>
      <c r="E128" t="s">
        <v>44</v>
      </c>
      <c r="F128" t="s">
        <v>51</v>
      </c>
      <c r="G128" t="s">
        <v>44</v>
      </c>
    </row>
    <row r="129" spans="2:7" hidden="1" x14ac:dyDescent="0.35">
      <c r="C129" t="s">
        <v>58</v>
      </c>
      <c r="D129" t="s">
        <v>46</v>
      </c>
      <c r="E129" t="s">
        <v>46</v>
      </c>
      <c r="F129" t="s">
        <v>51</v>
      </c>
      <c r="G129" t="s">
        <v>46</v>
      </c>
    </row>
    <row r="130" spans="2:7" hidden="1" x14ac:dyDescent="0.35">
      <c r="C130" t="s">
        <v>59</v>
      </c>
      <c r="D130" t="s">
        <v>46</v>
      </c>
      <c r="E130" t="s">
        <v>49</v>
      </c>
      <c r="F130" t="s">
        <v>51</v>
      </c>
      <c r="G130" t="s">
        <v>49</v>
      </c>
    </row>
    <row r="131" spans="2:7" hidden="1" x14ac:dyDescent="0.35">
      <c r="C131" t="s">
        <v>60</v>
      </c>
      <c r="D131" t="s">
        <v>46</v>
      </c>
      <c r="E131" t="s">
        <v>51</v>
      </c>
      <c r="F131" t="s">
        <v>51</v>
      </c>
      <c r="G131" t="s">
        <v>51</v>
      </c>
    </row>
    <row r="132" spans="2:7" hidden="1" x14ac:dyDescent="0.35">
      <c r="C132" s="37"/>
    </row>
    <row r="133" spans="2:7" hidden="1" x14ac:dyDescent="0.35">
      <c r="C133" s="37"/>
    </row>
    <row r="134" spans="2:7" hidden="1" x14ac:dyDescent="0.35">
      <c r="C134" s="37"/>
    </row>
    <row r="135" spans="2:7" hidden="1" x14ac:dyDescent="0.35">
      <c r="C135" s="37"/>
    </row>
    <row r="136" spans="2:7" hidden="1" x14ac:dyDescent="0.35">
      <c r="C136" s="37"/>
    </row>
    <row r="137" spans="2:7" hidden="1" x14ac:dyDescent="0.35"/>
    <row r="138" spans="2:7" hidden="1" x14ac:dyDescent="0.35">
      <c r="B138" t="s">
        <v>65</v>
      </c>
      <c r="D138" t="s">
        <v>31</v>
      </c>
    </row>
    <row r="139" spans="2:7" ht="31" hidden="1" x14ac:dyDescent="0.35">
      <c r="C139" s="12" t="s">
        <v>225</v>
      </c>
      <c r="D139" t="s">
        <v>44</v>
      </c>
    </row>
    <row r="140" spans="2:7" ht="31" hidden="1" x14ac:dyDescent="0.35">
      <c r="C140" s="12" t="s">
        <v>226</v>
      </c>
      <c r="D140" t="s">
        <v>46</v>
      </c>
    </row>
    <row r="141" spans="2:7" ht="31" hidden="1" x14ac:dyDescent="0.35">
      <c r="C141" s="12" t="s">
        <v>227</v>
      </c>
      <c r="D141" t="s">
        <v>49</v>
      </c>
    </row>
    <row r="142" spans="2:7" ht="31" hidden="1" x14ac:dyDescent="0.35">
      <c r="C142" s="12" t="s">
        <v>228</v>
      </c>
      <c r="D142" t="s">
        <v>51</v>
      </c>
    </row>
  </sheetData>
  <mergeCells count="11">
    <mergeCell ref="D121:G121"/>
    <mergeCell ref="D122:E122"/>
    <mergeCell ref="F122:G122"/>
    <mergeCell ref="D35:E35"/>
    <mergeCell ref="G5:H5"/>
    <mergeCell ref="D7:D10"/>
    <mergeCell ref="B12:B13"/>
    <mergeCell ref="C12:C13"/>
    <mergeCell ref="D12:D13"/>
    <mergeCell ref="B7:B10"/>
    <mergeCell ref="C7:C10"/>
  </mergeCells>
  <dataValidations count="8">
    <dataValidation type="decimal" allowBlank="1" showInputMessage="1" showErrorMessage="1" sqref="B33:O33" xr:uid="{0DD44FBC-7B2D-4345-B149-483C9740A1FD}">
      <formula1>0</formula1>
      <formula2>1</formula2>
    </dataValidation>
    <dataValidation type="list" allowBlank="1" showInputMessage="1" showErrorMessage="1" sqref="C16" xr:uid="{F803AA3F-90D6-4380-B27D-CC98D4B9BAF5}">
      <formula1>$C$139:$C$142</formula1>
    </dataValidation>
    <dataValidation type="list" allowBlank="1" showInputMessage="1" showErrorMessage="1" sqref="C15" xr:uid="{AC50FBEF-ACB4-420D-93BF-95822C9F8B82}">
      <formula1>$H$121:$I$121</formula1>
    </dataValidation>
    <dataValidation type="list" allowBlank="1" showInputMessage="1" showErrorMessage="1" sqref="C14" xr:uid="{8BC03CFB-81D2-4C22-A1FC-39449E759C63}">
      <formula1>$C$124:$C$131</formula1>
    </dataValidation>
    <dataValidation type="list" allowBlank="1" showInputMessage="1" showErrorMessage="1" sqref="C12:C13" xr:uid="{F8C36739-1619-4163-BDDA-651BF315303C}">
      <formula1>$C$111:$C$118</formula1>
    </dataValidation>
    <dataValidation type="list" allowBlank="1" showInputMessage="1" showErrorMessage="1" sqref="C11" xr:uid="{7863350C-BF6F-4E3B-BF2E-9A2BCFE2536F}">
      <formula1>$C$107:$C$108</formula1>
    </dataValidation>
    <dataValidation type="list" allowBlank="1" showInputMessage="1" showErrorMessage="1" sqref="C7" xr:uid="{DFDC1AD3-2117-489C-AA6B-C404E53A0974}">
      <formula1>$C$89:$C$104</formula1>
    </dataValidation>
    <dataValidation type="list" allowBlank="1" showInputMessage="1" showErrorMessage="1" sqref="C19:F20" xr:uid="{5CE7F563-1DF5-419E-910B-F1804E80E7FC}">
      <formula1>$B$27:$Q$27</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B7C02-B9EC-42E3-9370-C390DADEC1D9}">
  <dimension ref="A1:H94"/>
  <sheetViews>
    <sheetView zoomScale="85" zoomScaleNormal="85" workbookViewId="0">
      <pane ySplit="1" topLeftCell="A2" activePane="bottomLeft" state="frozen"/>
      <selection pane="bottomLeft" activeCell="A2" sqref="A2:A5"/>
    </sheetView>
  </sheetViews>
  <sheetFormatPr defaultColWidth="10.83203125" defaultRowHeight="15.5" outlineLevelRow="1" x14ac:dyDescent="0.35"/>
  <cols>
    <col min="1" max="1" width="17.83203125" style="22" bestFit="1" customWidth="1"/>
    <col min="2" max="2" width="17.33203125" style="22" bestFit="1" customWidth="1"/>
    <col min="3" max="3" width="12.08203125" style="22" bestFit="1" customWidth="1"/>
    <col min="4" max="4" width="81.5" style="32" bestFit="1" customWidth="1"/>
    <col min="5" max="5" width="66.83203125" style="22" customWidth="1"/>
    <col min="6" max="6" width="14.83203125" style="32" bestFit="1" customWidth="1"/>
    <col min="7" max="7" width="19.08203125" style="32" bestFit="1" customWidth="1"/>
    <col min="8" max="8" width="11.25" style="66" bestFit="1" customWidth="1"/>
    <col min="9" max="16384" width="10.83203125" style="21"/>
  </cols>
  <sheetData>
    <row r="1" spans="1:8" ht="70.900000000000006" customHeight="1" x14ac:dyDescent="0.35">
      <c r="A1" s="1" t="s">
        <v>66</v>
      </c>
      <c r="B1" s="2" t="s">
        <v>67</v>
      </c>
      <c r="C1" s="2" t="s">
        <v>126</v>
      </c>
      <c r="D1" s="2" t="s">
        <v>68</v>
      </c>
      <c r="E1" s="1" t="s">
        <v>69</v>
      </c>
      <c r="F1" s="67" t="s">
        <v>177</v>
      </c>
      <c r="G1" s="67" t="s">
        <v>141</v>
      </c>
      <c r="H1" s="68" t="s">
        <v>236</v>
      </c>
    </row>
    <row r="2" spans="1:8" ht="199.5" customHeight="1" outlineLevel="1" x14ac:dyDescent="0.35">
      <c r="A2" s="74" t="s">
        <v>70</v>
      </c>
      <c r="B2" s="35" t="s">
        <v>71</v>
      </c>
      <c r="C2" s="35" t="s">
        <v>143</v>
      </c>
      <c r="D2" s="33" t="s">
        <v>113</v>
      </c>
      <c r="E2" s="10"/>
      <c r="F2" s="29" t="s">
        <v>123</v>
      </c>
      <c r="G2" s="50"/>
      <c r="H2" s="11"/>
    </row>
    <row r="3" spans="1:8" ht="198.75" customHeight="1" outlineLevel="1" x14ac:dyDescent="0.35">
      <c r="A3" s="74"/>
      <c r="B3" s="35" t="s">
        <v>73</v>
      </c>
      <c r="C3" s="35" t="s">
        <v>163</v>
      </c>
      <c r="D3" s="33" t="s">
        <v>114</v>
      </c>
      <c r="E3" s="10"/>
      <c r="F3" s="33" t="s">
        <v>123</v>
      </c>
      <c r="G3" s="50"/>
      <c r="H3" s="11"/>
    </row>
    <row r="4" spans="1:8" ht="310.5" customHeight="1" outlineLevel="1" x14ac:dyDescent="0.35">
      <c r="A4" s="74"/>
      <c r="B4" s="35" t="s">
        <v>164</v>
      </c>
      <c r="C4" s="35" t="s">
        <v>166</v>
      </c>
      <c r="D4" s="33" t="s">
        <v>165</v>
      </c>
      <c r="E4" s="10"/>
      <c r="F4" s="33" t="s">
        <v>123</v>
      </c>
      <c r="G4" s="50"/>
      <c r="H4" s="11"/>
    </row>
    <row r="5" spans="1:8" ht="198.75" customHeight="1" outlineLevel="1" x14ac:dyDescent="0.35">
      <c r="A5" s="74"/>
      <c r="B5" s="35" t="s">
        <v>77</v>
      </c>
      <c r="C5" s="35" t="s">
        <v>167</v>
      </c>
      <c r="D5" s="33" t="s">
        <v>139</v>
      </c>
      <c r="E5" s="10"/>
      <c r="F5" s="26" t="s">
        <v>123</v>
      </c>
      <c r="G5" s="50"/>
      <c r="H5" s="11"/>
    </row>
    <row r="6" spans="1:8" s="75" customFormat="1" ht="34.5" customHeight="1" outlineLevel="1" x14ac:dyDescent="0.35"/>
    <row r="7" spans="1:8" ht="165" customHeight="1" x14ac:dyDescent="0.35">
      <c r="A7" s="34" t="s">
        <v>79</v>
      </c>
      <c r="B7" s="35" t="s">
        <v>79</v>
      </c>
      <c r="C7" s="35" t="s">
        <v>80</v>
      </c>
      <c r="D7" s="33" t="s">
        <v>135</v>
      </c>
      <c r="E7" s="35"/>
      <c r="F7" s="26" t="s">
        <v>123</v>
      </c>
      <c r="G7" s="50"/>
      <c r="H7" s="11"/>
    </row>
    <row r="8" spans="1:8" s="75" customFormat="1" ht="34.5" customHeight="1" outlineLevel="1" x14ac:dyDescent="0.35"/>
    <row r="9" spans="1:8" ht="165" customHeight="1" x14ac:dyDescent="0.35">
      <c r="A9" s="34" t="s">
        <v>81</v>
      </c>
      <c r="B9" s="35" t="s">
        <v>81</v>
      </c>
      <c r="C9" s="35">
        <v>15</v>
      </c>
      <c r="D9" s="33" t="s">
        <v>82</v>
      </c>
      <c r="E9" s="27"/>
      <c r="F9" s="33" t="s">
        <v>123</v>
      </c>
      <c r="G9" s="50"/>
      <c r="H9" s="11"/>
    </row>
    <row r="10" spans="1:8" s="75" customFormat="1" ht="34.5" customHeight="1" outlineLevel="1" x14ac:dyDescent="0.35"/>
    <row r="11" spans="1:8" ht="390.75" customHeight="1" x14ac:dyDescent="0.35">
      <c r="A11" s="100" t="s">
        <v>83</v>
      </c>
      <c r="B11" s="35" t="s">
        <v>30</v>
      </c>
      <c r="C11" s="33" t="s">
        <v>175</v>
      </c>
      <c r="D11" s="33" t="s">
        <v>137</v>
      </c>
      <c r="E11" s="84" t="s">
        <v>116</v>
      </c>
      <c r="F11" s="33" t="s">
        <v>123</v>
      </c>
      <c r="G11" s="50"/>
      <c r="H11" s="11"/>
    </row>
    <row r="12" spans="1:8" ht="382.5" customHeight="1" x14ac:dyDescent="0.35">
      <c r="A12" s="101"/>
      <c r="B12" s="35" t="s">
        <v>31</v>
      </c>
      <c r="C12" s="33" t="s">
        <v>176</v>
      </c>
      <c r="D12" s="33" t="s">
        <v>138</v>
      </c>
      <c r="E12" s="84"/>
      <c r="F12" s="33" t="s">
        <v>123</v>
      </c>
      <c r="G12" s="50"/>
      <c r="H12" s="11"/>
    </row>
    <row r="13" spans="1:8" s="75" customFormat="1" ht="34.5" customHeight="1" outlineLevel="1" x14ac:dyDescent="0.35"/>
    <row r="14" spans="1:8" ht="165" customHeight="1" outlineLevel="1" x14ac:dyDescent="0.35">
      <c r="A14" s="86" t="s">
        <v>118</v>
      </c>
      <c r="B14" s="35" t="s">
        <v>85</v>
      </c>
      <c r="C14" s="35">
        <v>19</v>
      </c>
      <c r="D14" s="82" t="str">
        <f>IF(A14="Clock
(Crystal)", "Reference clock 25-MHz crystal.
Ensure it meets the ppm and ESR spec as defined in datasheet and load capacitance as defined by crystal manufacturer.", "Ensure Oscillator signal meets spec as defined in datasheet and is in 1.8V domain. If VDDIO is 2.5V or 3.3V, then capacitor divider needs to be used. 
Starting Capacitor Recommendation: For 3.3V, CD1=CD2=27pF. For 2.5V, CD1=27pF and CD2=16pF.")</f>
        <v>Reference clock 25-MHz crystal.
Ensure it meets the ppm and ESR spec as defined in datasheet and load capacitance as defined by crystal manufacturer.</v>
      </c>
      <c r="E14" s="85"/>
      <c r="F14" s="82" t="s">
        <v>123</v>
      </c>
      <c r="G14" s="82"/>
      <c r="H14" s="11"/>
    </row>
    <row r="15" spans="1:8" ht="165" customHeight="1" outlineLevel="1" x14ac:dyDescent="0.35">
      <c r="A15" s="87"/>
      <c r="B15" s="35" t="str">
        <f>IF(A14="Clock
(Crystal)", "XO", "XO 
(Unused, DNC)")</f>
        <v>XO</v>
      </c>
      <c r="C15" s="35">
        <v>18</v>
      </c>
      <c r="D15" s="82"/>
      <c r="E15" s="85"/>
      <c r="F15" s="82"/>
      <c r="G15" s="82"/>
      <c r="H15" s="11"/>
    </row>
    <row r="16" spans="1:8" s="75" customFormat="1" ht="34.5" customHeight="1" outlineLevel="1" x14ac:dyDescent="0.35"/>
    <row r="17" spans="1:8" ht="165" customHeight="1" x14ac:dyDescent="0.35">
      <c r="A17" s="83" t="s">
        <v>86</v>
      </c>
      <c r="B17" s="35" t="s">
        <v>87</v>
      </c>
      <c r="C17" s="35">
        <v>20</v>
      </c>
      <c r="D17" s="33" t="s">
        <v>179</v>
      </c>
      <c r="E17" s="35"/>
      <c r="F17" s="33" t="s">
        <v>123</v>
      </c>
      <c r="G17" s="50"/>
      <c r="H17" s="11"/>
    </row>
    <row r="18" spans="1:8" ht="165" customHeight="1" x14ac:dyDescent="0.35">
      <c r="A18" s="83"/>
      <c r="B18" s="35" t="s">
        <v>88</v>
      </c>
      <c r="C18" s="35">
        <v>21</v>
      </c>
      <c r="D18" s="33" t="s">
        <v>119</v>
      </c>
      <c r="E18" s="35"/>
      <c r="F18" s="33" t="s">
        <v>123</v>
      </c>
      <c r="G18" s="50"/>
      <c r="H18" s="11"/>
    </row>
    <row r="19" spans="1:8" s="75" customFormat="1" ht="34.5" customHeight="1" outlineLevel="1" x14ac:dyDescent="0.35"/>
    <row r="20" spans="1:8" ht="165" customHeight="1" x14ac:dyDescent="0.35">
      <c r="A20" s="34" t="s">
        <v>89</v>
      </c>
      <c r="B20" s="35" t="s">
        <v>90</v>
      </c>
      <c r="C20" s="35">
        <v>59</v>
      </c>
      <c r="D20" s="33" t="s">
        <v>91</v>
      </c>
      <c r="E20" s="35"/>
      <c r="F20" s="33" t="s">
        <v>123</v>
      </c>
      <c r="G20" s="50"/>
      <c r="H20" s="11"/>
    </row>
    <row r="21" spans="1:8" ht="165" customHeight="1" x14ac:dyDescent="0.35">
      <c r="A21" s="39" t="s">
        <v>161</v>
      </c>
      <c r="B21" s="35" t="s">
        <v>160</v>
      </c>
      <c r="C21" s="35">
        <v>60</v>
      </c>
      <c r="D21" s="33" t="str">
        <f>IF($A$21="Power Down", "(Default) Active Low input to enable power down mode. Register access available to reconfigure.", "Active Low output, asserted when an interrupt condition occurs. Pin has a weak internal pullup. Register access necessary to enable various interrupt triggers. Deasserted once register reads interrupt register")</f>
        <v>(Default) Active Low input to enable power down mode. Register access available to reconfigure.</v>
      </c>
      <c r="E21" s="19"/>
      <c r="F21" s="33" t="s">
        <v>123</v>
      </c>
      <c r="G21" s="50"/>
      <c r="H21" s="11"/>
    </row>
    <row r="22" spans="1:8" ht="165" customHeight="1" x14ac:dyDescent="0.35">
      <c r="A22" s="34" t="s">
        <v>93</v>
      </c>
      <c r="B22" s="35" t="s">
        <v>93</v>
      </c>
      <c r="C22" s="35">
        <v>22</v>
      </c>
      <c r="D22" s="33" t="s">
        <v>124</v>
      </c>
      <c r="E22" s="19"/>
      <c r="F22" s="33" t="s">
        <v>123</v>
      </c>
      <c r="G22" s="50"/>
      <c r="H22" s="11"/>
    </row>
    <row r="23" spans="1:8" s="75" customFormat="1" ht="34.5" customHeight="1" outlineLevel="1" x14ac:dyDescent="0.35"/>
    <row r="24" spans="1:8" ht="409.6" customHeight="1" outlineLevel="1" x14ac:dyDescent="0.35">
      <c r="A24" s="28" t="s">
        <v>94</v>
      </c>
      <c r="B24" s="33" t="s">
        <v>95</v>
      </c>
      <c r="C24" s="33" t="s">
        <v>162</v>
      </c>
      <c r="D24" s="33" t="s">
        <v>140</v>
      </c>
      <c r="E24" s="19"/>
      <c r="F24" s="33" t="s">
        <v>123</v>
      </c>
      <c r="G24" s="50"/>
      <c r="H24" s="11"/>
    </row>
    <row r="25" spans="1:8" s="75" customFormat="1" ht="34.5" customHeight="1" outlineLevel="1" x14ac:dyDescent="0.35"/>
    <row r="26" spans="1:8" ht="31" x14ac:dyDescent="0.35">
      <c r="A26" s="76" t="s">
        <v>120</v>
      </c>
      <c r="B26" s="33" t="str">
        <f>IF($A$26="RGMII","GTX_CLK",IF($A$26="GMII","GTX_CLK", "No function"))</f>
        <v>GTX_CLK</v>
      </c>
      <c r="C26" s="35">
        <v>40</v>
      </c>
      <c r="D26" s="33" t="str">
        <f>IF($A$26="RGMII","Transmit Clock
2.5MHz for 10Mbps, 25MHz for 100Mbps, 125MHz for 1000Mbps",IF($A$26="GMII", "Transmit Clock
2.5MHz for 10Mbps, 25MHz for 100Mbps, 125MHz for 1000Mbps","No function"))</f>
        <v>Transmit Clock
2.5MHz for 10Mbps, 25MHz for 100Mbps, 125MHz for 1000Mbps</v>
      </c>
      <c r="E26" s="79"/>
      <c r="F26" s="33" t="s">
        <v>123</v>
      </c>
      <c r="G26" s="50"/>
      <c r="H26" s="11"/>
    </row>
    <row r="27" spans="1:8" x14ac:dyDescent="0.35">
      <c r="A27" s="77"/>
      <c r="B27" s="33" t="str">
        <f>IF($A$26="RGMII","No function", IF($A$26="GMII","No function", "TX_CLK"))</f>
        <v>No function</v>
      </c>
      <c r="C27" s="35">
        <v>30</v>
      </c>
      <c r="D27" s="33" t="str">
        <f>IF($A$26="RGMII","No function",IF($A$26="GMII","No function", "MII Transmit Clock (Output)
2.5MHz for 10BASE-Te, 25MHz for 100BASE-Tx"))</f>
        <v>No function</v>
      </c>
      <c r="E27" s="80"/>
      <c r="F27" s="33" t="s">
        <v>123</v>
      </c>
      <c r="G27" s="50"/>
      <c r="H27" s="11"/>
    </row>
    <row r="28" spans="1:8" x14ac:dyDescent="0.35">
      <c r="A28" s="77"/>
      <c r="B28" s="33" t="str">
        <f>IF($A$26="RGMII","No function",IF($A$26="GMII","TX_ER", "TX_ER"))</f>
        <v>No function</v>
      </c>
      <c r="C28" s="35">
        <v>39</v>
      </c>
      <c r="D28" s="33" t="str">
        <f>IF($A$26="RGMII","No function",IF($A$26="GMII","Transmit Error", "No function"))</f>
        <v>No function</v>
      </c>
      <c r="E28" s="80"/>
      <c r="F28" s="33" t="s">
        <v>123</v>
      </c>
      <c r="G28" s="50"/>
      <c r="H28" s="11"/>
    </row>
    <row r="29" spans="1:8" ht="93" x14ac:dyDescent="0.35">
      <c r="A29" s="77"/>
      <c r="B29" s="33" t="str">
        <f>IF($A$26="RGMII","TX_CTRL",IF($A$26="GMII","TX_EN", "TX_EN"))</f>
        <v>TX_CTRL</v>
      </c>
      <c r="C29" s="35">
        <v>52</v>
      </c>
      <c r="D29" s="33" t="str">
        <f>IF($A$26="RGMII","Transmit Control
Rising: TX_EN, Falling: (TX_EN XOR TX_ER)
High on both edges of GTK_CLK if error-free packet present
Low on both edges of GTK_CLK if no packet present
High on rising edge and low on falling edge of GTK_CLK if error packet present","Transmit Enable
High when data present")</f>
        <v>Transmit Control
Rising: TX_EN, Falling: (TX_EN XOR TX_ER)
High on both edges of GTK_CLK if error-free packet present
Low on both edges of GTK_CLK if no packet present
High on rising edge and low on falling edge of GTK_CLK if error packet present</v>
      </c>
      <c r="E29" s="80"/>
      <c r="F29" s="33" t="s">
        <v>123</v>
      </c>
      <c r="G29" s="50"/>
      <c r="H29" s="11"/>
    </row>
    <row r="30" spans="1:8" x14ac:dyDescent="0.35">
      <c r="A30" s="77"/>
      <c r="B30" s="33" t="str">
        <f>IF($A$26="RGMII","No function",IF($A$26="GMII","TX_D7", "No function"))</f>
        <v>No function</v>
      </c>
      <c r="C30" s="35">
        <v>31</v>
      </c>
      <c r="D30" s="33" t="str">
        <f>IF($A$26="RGMII","No function",IF($A$26="GMII","Transmit Data", "No function"))</f>
        <v>No function</v>
      </c>
      <c r="E30" s="80"/>
      <c r="F30" s="33" t="s">
        <v>123</v>
      </c>
      <c r="G30" s="50"/>
      <c r="H30" s="11"/>
    </row>
    <row r="31" spans="1:8" x14ac:dyDescent="0.35">
      <c r="A31" s="77"/>
      <c r="B31" s="33" t="str">
        <f>IF($A$26="RGMII","No function",IF($A$26="GMII","TX_D6", "No function"))</f>
        <v>No function</v>
      </c>
      <c r="C31" s="35">
        <v>32</v>
      </c>
      <c r="D31" s="33" t="str">
        <f t="shared" ref="D31:D33" si="0">IF($A$26="RGMII","No function",IF($A$26="GMII","Transmit Data", "No function"))</f>
        <v>No function</v>
      </c>
      <c r="E31" s="80"/>
      <c r="F31" s="33" t="s">
        <v>123</v>
      </c>
      <c r="G31" s="50"/>
      <c r="H31" s="11"/>
    </row>
    <row r="32" spans="1:8" x14ac:dyDescent="0.35">
      <c r="A32" s="77"/>
      <c r="B32" s="33" t="str">
        <f>IF($A$26="RGMII","No function", IF($A$26="GMII","TX_D5", "No function"))</f>
        <v>No function</v>
      </c>
      <c r="C32" s="35">
        <v>33</v>
      </c>
      <c r="D32" s="33" t="str">
        <f t="shared" si="0"/>
        <v>No function</v>
      </c>
      <c r="E32" s="80"/>
      <c r="F32" s="33" t="s">
        <v>123</v>
      </c>
      <c r="G32" s="50"/>
      <c r="H32" s="11"/>
    </row>
    <row r="33" spans="1:8" x14ac:dyDescent="0.35">
      <c r="A33" s="77"/>
      <c r="B33" s="33" t="str">
        <f>IF($A$26="RGMII","No function",IF($A$26="GMII","TX_D4", "No function"))</f>
        <v>No function</v>
      </c>
      <c r="C33" s="35">
        <v>34</v>
      </c>
      <c r="D33" s="33" t="str">
        <f t="shared" si="0"/>
        <v>No function</v>
      </c>
      <c r="E33" s="80"/>
      <c r="F33" s="33" t="s">
        <v>123</v>
      </c>
      <c r="G33" s="50"/>
      <c r="H33" s="11"/>
    </row>
    <row r="34" spans="1:8" x14ac:dyDescent="0.35">
      <c r="A34" s="77"/>
      <c r="B34" s="33" t="s">
        <v>146</v>
      </c>
      <c r="C34" s="35">
        <v>35</v>
      </c>
      <c r="D34" s="33" t="s">
        <v>150</v>
      </c>
      <c r="E34" s="80"/>
      <c r="F34" s="33" t="s">
        <v>123</v>
      </c>
      <c r="G34" s="50"/>
      <c r="H34" s="11"/>
    </row>
    <row r="35" spans="1:8" x14ac:dyDescent="0.35">
      <c r="A35" s="77"/>
      <c r="B35" s="33" t="s">
        <v>147</v>
      </c>
      <c r="C35" s="35">
        <v>36</v>
      </c>
      <c r="D35" s="33" t="s">
        <v>150</v>
      </c>
      <c r="E35" s="80"/>
      <c r="F35" s="33" t="s">
        <v>123</v>
      </c>
      <c r="G35" s="50"/>
      <c r="H35" s="11"/>
    </row>
    <row r="36" spans="1:8" x14ac:dyDescent="0.35">
      <c r="A36" s="77"/>
      <c r="B36" s="33" t="s">
        <v>148</v>
      </c>
      <c r="C36" s="35">
        <v>37</v>
      </c>
      <c r="D36" s="33" t="s">
        <v>150</v>
      </c>
      <c r="E36" s="80"/>
      <c r="F36" s="33" t="s">
        <v>123</v>
      </c>
      <c r="G36" s="50"/>
      <c r="H36" s="11"/>
    </row>
    <row r="37" spans="1:8" x14ac:dyDescent="0.35">
      <c r="A37" s="77"/>
      <c r="B37" s="33" t="s">
        <v>149</v>
      </c>
      <c r="C37" s="35">
        <v>38</v>
      </c>
      <c r="D37" s="33" t="s">
        <v>150</v>
      </c>
      <c r="E37" s="80"/>
      <c r="F37" s="33" t="s">
        <v>123</v>
      </c>
      <c r="G37" s="50"/>
      <c r="H37" s="11"/>
    </row>
    <row r="38" spans="1:8" ht="31" x14ac:dyDescent="0.35">
      <c r="A38" s="77"/>
      <c r="B38" s="33" t="s">
        <v>151</v>
      </c>
      <c r="C38" s="35">
        <v>43</v>
      </c>
      <c r="D38" s="33" t="s">
        <v>152</v>
      </c>
      <c r="E38" s="80"/>
      <c r="F38" s="33" t="s">
        <v>123</v>
      </c>
      <c r="G38" s="50"/>
      <c r="H38" s="11"/>
    </row>
    <row r="39" spans="1:8" ht="31" x14ac:dyDescent="0.35">
      <c r="A39" s="77"/>
      <c r="B39" s="33" t="s">
        <v>24</v>
      </c>
      <c r="C39" s="33" t="s">
        <v>168</v>
      </c>
      <c r="D39" s="33" t="s">
        <v>155</v>
      </c>
      <c r="E39" s="80"/>
      <c r="F39" s="33" t="s">
        <v>123</v>
      </c>
      <c r="G39" s="50"/>
      <c r="H39" s="11"/>
    </row>
    <row r="40" spans="1:8" x14ac:dyDescent="0.35">
      <c r="A40" s="77"/>
      <c r="B40" s="33" t="s">
        <v>153</v>
      </c>
      <c r="C40" s="35">
        <v>45</v>
      </c>
      <c r="D40" s="33" t="s">
        <v>155</v>
      </c>
      <c r="E40" s="80"/>
      <c r="F40" s="33" t="s">
        <v>123</v>
      </c>
      <c r="G40" s="50"/>
      <c r="H40" s="11"/>
    </row>
    <row r="41" spans="1:8" ht="31" x14ac:dyDescent="0.35">
      <c r="A41" s="77"/>
      <c r="B41" s="33" t="s">
        <v>25</v>
      </c>
      <c r="C41" s="33" t="s">
        <v>133</v>
      </c>
      <c r="D41" s="33" t="s">
        <v>155</v>
      </c>
      <c r="E41" s="80"/>
      <c r="F41" s="33" t="s">
        <v>123</v>
      </c>
      <c r="G41" s="50"/>
      <c r="H41" s="11"/>
    </row>
    <row r="42" spans="1:8" x14ac:dyDescent="0.35">
      <c r="A42" s="77"/>
      <c r="B42" s="33" t="s">
        <v>154</v>
      </c>
      <c r="C42" s="35">
        <v>47</v>
      </c>
      <c r="D42" s="33" t="s">
        <v>155</v>
      </c>
      <c r="E42" s="80"/>
      <c r="F42" s="33" t="s">
        <v>123</v>
      </c>
      <c r="G42" s="50"/>
      <c r="H42" s="11"/>
    </row>
    <row r="43" spans="1:8" ht="31" x14ac:dyDescent="0.35">
      <c r="A43" s="77"/>
      <c r="B43" s="33" t="str">
        <f>IF($A$26="RGMII","No function", IF($A$26="GMII","RX_D4", "No function"))</f>
        <v>No function</v>
      </c>
      <c r="C43" s="33" t="s">
        <v>169</v>
      </c>
      <c r="D43" s="33" t="str">
        <f>IF($A$26="RGMII","No function",IF($A$26="GMII","Receive Data", "No function"))</f>
        <v>No function</v>
      </c>
      <c r="E43" s="80"/>
      <c r="F43" s="33" t="s">
        <v>123</v>
      </c>
      <c r="G43" s="50"/>
      <c r="H43" s="11"/>
    </row>
    <row r="44" spans="1:8" ht="31" x14ac:dyDescent="0.35">
      <c r="A44" s="77"/>
      <c r="B44" s="33" t="str">
        <f>IF($A$26="RGMII","No function", IF($A$26="GMII","RX_D5", "No function"))</f>
        <v>No function</v>
      </c>
      <c r="C44" s="33" t="s">
        <v>170</v>
      </c>
      <c r="D44" s="33" t="str">
        <f t="shared" ref="D44:D46" si="1">IF($A$26="RGMII","No function",IF($A$26="GMII","Receive Data", "No function"))</f>
        <v>No function</v>
      </c>
      <c r="E44" s="80"/>
      <c r="F44" s="33" t="s">
        <v>123</v>
      </c>
      <c r="G44" s="50"/>
      <c r="H44" s="11"/>
    </row>
    <row r="45" spans="1:8" ht="31" x14ac:dyDescent="0.35">
      <c r="A45" s="77"/>
      <c r="B45" s="33" t="str">
        <f>IF($A$26="RGMII","No function", IF($A$26="GMII","RX_D6", "No function"))</f>
        <v>No function</v>
      </c>
      <c r="C45" s="33" t="s">
        <v>171</v>
      </c>
      <c r="D45" s="33" t="str">
        <f t="shared" si="1"/>
        <v>No function</v>
      </c>
      <c r="E45" s="80"/>
      <c r="F45" s="33" t="s">
        <v>123</v>
      </c>
      <c r="G45" s="50"/>
      <c r="H45" s="11"/>
    </row>
    <row r="46" spans="1:8" ht="31" x14ac:dyDescent="0.35">
      <c r="A46" s="77"/>
      <c r="B46" s="33" t="str">
        <f>IF($A$26="RGMII","No function", IF($A$26="GMII","RX_D7", "No function"))</f>
        <v>No function</v>
      </c>
      <c r="C46" s="33" t="s">
        <v>172</v>
      </c>
      <c r="D46" s="33" t="str">
        <f t="shared" si="1"/>
        <v>No function</v>
      </c>
      <c r="E46" s="80"/>
      <c r="F46" s="33" t="s">
        <v>123</v>
      </c>
      <c r="G46" s="50"/>
      <c r="H46" s="11"/>
    </row>
    <row r="47" spans="1:8" ht="124" x14ac:dyDescent="0.35">
      <c r="A47" s="77"/>
      <c r="B47" s="33" t="str">
        <f>IF($A$26="RGMII","RX_CTRL", "RX_DV")</f>
        <v>RX_CTRL</v>
      </c>
      <c r="C47" s="33" t="s">
        <v>173</v>
      </c>
      <c r="D47" s="33" t="str">
        <f>IF($A$26="RGMII","Receive Control
Rising: RX_DV, Falling: (RX_DV XOR RX_ER)
High on both edges of RX_CLK if error-free packet
Low on both edges of RX_CLK if no packet
High on rising edge and low on falling edge of RX_CLK if error packet
Strap for Mode 3 or 4 only","Receive Data Valid
High when data present
Strap for Mode 3 or 4 only")</f>
        <v>Receive Control
Rising: RX_DV, Falling: (RX_DV XOR RX_ER)
High on both edges of RX_CLK if error-free packet
Low on both edges of RX_CLK if no packet
High on rising edge and low on falling edge of RX_CLK if error packet
Strap for Mode 3 or 4 only</v>
      </c>
      <c r="E47" s="80"/>
      <c r="F47" s="33" t="s">
        <v>123</v>
      </c>
      <c r="G47" s="50"/>
      <c r="H47" s="11"/>
    </row>
    <row r="48" spans="1:8" x14ac:dyDescent="0.35">
      <c r="A48" s="77"/>
      <c r="B48" s="33" t="str">
        <f>IF($A$26="RGMII","No function", "RX_ER")</f>
        <v>No function</v>
      </c>
      <c r="C48" s="33">
        <v>54</v>
      </c>
      <c r="D48" s="33" t="str">
        <f>IF($A$26="RGMII","No function","Receive Error
High when error present")</f>
        <v>No function</v>
      </c>
      <c r="E48" s="80"/>
      <c r="F48" s="33" t="s">
        <v>123</v>
      </c>
      <c r="G48" s="50"/>
      <c r="H48" s="11"/>
    </row>
    <row r="49" spans="1:8" x14ac:dyDescent="0.35">
      <c r="A49" s="77"/>
      <c r="B49" s="33" t="str">
        <f>IF($A$26="RGMII","No function", "COL")</f>
        <v>No function</v>
      </c>
      <c r="C49" s="33">
        <v>55</v>
      </c>
      <c r="D49" s="33" t="str">
        <f>IF($A$26="RGMII","No function","Collision Detect
High when collision. Not asserted when in full duplex")</f>
        <v>No function</v>
      </c>
      <c r="E49" s="80"/>
      <c r="F49" s="33" t="s">
        <v>123</v>
      </c>
      <c r="G49" s="50"/>
      <c r="H49" s="11"/>
    </row>
    <row r="50" spans="1:8" ht="31" x14ac:dyDescent="0.35">
      <c r="A50" s="78"/>
      <c r="B50" s="33" t="str">
        <f>IF($A$26="RGMII","No function", "CRS")</f>
        <v>No function</v>
      </c>
      <c r="C50" s="33" t="s">
        <v>174</v>
      </c>
      <c r="D50" s="33" t="str">
        <f>IF($A$26="RGMII","No function
Strap for Mode 1 or 2 only","Carrier Sense
High when carrier present in half duplex. High when packet detected in full duplex
Strap for Mode 1 or 2 only")</f>
        <v>No function
Strap for Mode 1 or 2 only</v>
      </c>
      <c r="E50" s="81"/>
      <c r="F50" s="33" t="s">
        <v>123</v>
      </c>
      <c r="G50" s="50"/>
      <c r="H50" s="11"/>
    </row>
    <row r="51" spans="1:8" s="75" customFormat="1" ht="34.5" customHeight="1" outlineLevel="1" x14ac:dyDescent="0.35"/>
    <row r="52" spans="1:8" x14ac:dyDescent="0.35">
      <c r="A52" s="74" t="s">
        <v>96</v>
      </c>
      <c r="B52" s="35" t="s">
        <v>97</v>
      </c>
      <c r="C52" s="35">
        <v>25</v>
      </c>
      <c r="D52" s="33" t="s">
        <v>98</v>
      </c>
      <c r="E52" s="19"/>
      <c r="F52" s="33" t="s">
        <v>123</v>
      </c>
      <c r="G52" s="50"/>
      <c r="H52" s="11"/>
    </row>
    <row r="53" spans="1:8" x14ac:dyDescent="0.35">
      <c r="A53" s="74"/>
      <c r="B53" s="35" t="s">
        <v>99</v>
      </c>
      <c r="C53" s="35">
        <v>26</v>
      </c>
      <c r="D53" s="33" t="s">
        <v>100</v>
      </c>
      <c r="E53" s="19"/>
      <c r="F53" s="33" t="s">
        <v>123</v>
      </c>
      <c r="G53" s="50"/>
      <c r="H53" s="11"/>
    </row>
    <row r="54" spans="1:8" x14ac:dyDescent="0.35">
      <c r="A54" s="74"/>
      <c r="B54" s="35" t="s">
        <v>101</v>
      </c>
      <c r="C54" s="35">
        <v>27</v>
      </c>
      <c r="D54" s="33" t="s">
        <v>102</v>
      </c>
      <c r="E54" s="19"/>
      <c r="F54" s="33" t="s">
        <v>123</v>
      </c>
      <c r="G54" s="50"/>
      <c r="H54" s="11"/>
    </row>
    <row r="55" spans="1:8" x14ac:dyDescent="0.35">
      <c r="A55" s="74"/>
      <c r="B55" s="35" t="s">
        <v>103</v>
      </c>
      <c r="C55" s="35">
        <v>28</v>
      </c>
      <c r="D55" s="33" t="s">
        <v>104</v>
      </c>
      <c r="E55" s="19"/>
      <c r="F55" s="33" t="s">
        <v>123</v>
      </c>
      <c r="G55" s="50"/>
      <c r="H55" s="11"/>
    </row>
    <row r="56" spans="1:8" x14ac:dyDescent="0.35">
      <c r="E56" s="25"/>
    </row>
    <row r="57" spans="1:8" x14ac:dyDescent="0.35">
      <c r="E57" s="25"/>
    </row>
    <row r="58" spans="1:8" s="32" customFormat="1" x14ac:dyDescent="0.35">
      <c r="A58" s="22"/>
      <c r="B58" s="22"/>
      <c r="C58" s="22"/>
      <c r="E58" s="25"/>
      <c r="H58" s="66"/>
    </row>
    <row r="59" spans="1:8" s="32" customFormat="1" x14ac:dyDescent="0.35">
      <c r="A59" s="22"/>
      <c r="B59" s="22"/>
      <c r="C59" s="22"/>
      <c r="E59" s="25"/>
      <c r="H59" s="66"/>
    </row>
    <row r="60" spans="1:8" s="32" customFormat="1" x14ac:dyDescent="0.35">
      <c r="A60" s="22"/>
      <c r="B60" s="22"/>
      <c r="C60" s="22"/>
      <c r="E60" s="25"/>
      <c r="H60" s="66"/>
    </row>
    <row r="61" spans="1:8" s="32" customFormat="1" x14ac:dyDescent="0.35">
      <c r="A61" s="22"/>
      <c r="B61" s="22"/>
      <c r="C61" s="22"/>
      <c r="E61" s="25"/>
      <c r="H61" s="66"/>
    </row>
    <row r="62" spans="1:8" s="32" customFormat="1" x14ac:dyDescent="0.35">
      <c r="A62" s="22"/>
      <c r="B62" s="22"/>
      <c r="C62" s="22"/>
      <c r="E62" s="25"/>
      <c r="H62" s="66"/>
    </row>
    <row r="63" spans="1:8" s="32" customFormat="1" x14ac:dyDescent="0.35">
      <c r="A63" s="22"/>
      <c r="B63" s="22"/>
      <c r="C63" s="22"/>
      <c r="E63" s="25"/>
      <c r="H63" s="66"/>
    </row>
    <row r="64" spans="1:8" s="32" customFormat="1" x14ac:dyDescent="0.35">
      <c r="A64" s="22"/>
      <c r="B64" s="22"/>
      <c r="C64" s="22"/>
      <c r="E64" s="25"/>
      <c r="H64" s="66"/>
    </row>
    <row r="65" spans="1:8" s="32" customFormat="1" x14ac:dyDescent="0.35">
      <c r="A65" s="22"/>
      <c r="B65" s="22"/>
      <c r="C65" s="22"/>
      <c r="E65" s="25"/>
      <c r="H65" s="66"/>
    </row>
    <row r="66" spans="1:8" s="32" customFormat="1" x14ac:dyDescent="0.35">
      <c r="A66" s="22"/>
      <c r="B66" s="22"/>
      <c r="C66" s="22"/>
      <c r="E66" s="25"/>
      <c r="H66" s="66"/>
    </row>
    <row r="67" spans="1:8" s="32" customFormat="1" x14ac:dyDescent="0.35">
      <c r="A67" s="22"/>
      <c r="B67" s="22"/>
      <c r="C67" s="22"/>
      <c r="E67" s="25"/>
      <c r="H67" s="66"/>
    </row>
    <row r="68" spans="1:8" s="32" customFormat="1" x14ac:dyDescent="0.35">
      <c r="A68" s="22"/>
      <c r="B68" s="22"/>
      <c r="C68" s="22"/>
      <c r="E68" s="25"/>
      <c r="H68" s="66"/>
    </row>
    <row r="69" spans="1:8" s="32" customFormat="1" x14ac:dyDescent="0.35">
      <c r="A69" s="22"/>
      <c r="B69" s="22"/>
      <c r="C69" s="22"/>
      <c r="E69" s="25"/>
      <c r="H69" s="66"/>
    </row>
    <row r="70" spans="1:8" s="32" customFormat="1" x14ac:dyDescent="0.35">
      <c r="A70" s="22"/>
      <c r="B70" s="22"/>
      <c r="C70" s="22"/>
      <c r="E70" s="25"/>
      <c r="H70" s="66"/>
    </row>
    <row r="71" spans="1:8" s="32" customFormat="1" x14ac:dyDescent="0.35">
      <c r="A71" s="22"/>
      <c r="B71" s="22"/>
      <c r="C71" s="22"/>
      <c r="E71" s="25"/>
      <c r="H71" s="66"/>
    </row>
    <row r="72" spans="1:8" s="32" customFormat="1" x14ac:dyDescent="0.35">
      <c r="A72" s="22"/>
      <c r="B72" s="22"/>
      <c r="C72" s="22"/>
      <c r="E72" s="25"/>
      <c r="H72" s="66"/>
    </row>
    <row r="73" spans="1:8" s="32" customFormat="1" x14ac:dyDescent="0.35">
      <c r="A73" s="22"/>
      <c r="B73" s="22"/>
      <c r="C73" s="22"/>
      <c r="E73" s="25"/>
      <c r="H73" s="66"/>
    </row>
    <row r="74" spans="1:8" s="32" customFormat="1" x14ac:dyDescent="0.35">
      <c r="A74" s="22"/>
      <c r="B74" s="22"/>
      <c r="C74" s="22"/>
      <c r="E74" s="25"/>
      <c r="H74" s="66"/>
    </row>
    <row r="75" spans="1:8" s="32" customFormat="1" x14ac:dyDescent="0.35">
      <c r="A75" s="22"/>
      <c r="B75" s="22"/>
      <c r="C75" s="22"/>
      <c r="E75" s="25"/>
      <c r="H75" s="66"/>
    </row>
    <row r="76" spans="1:8" s="32" customFormat="1" x14ac:dyDescent="0.35">
      <c r="A76" s="22" t="s">
        <v>92</v>
      </c>
      <c r="B76" s="22"/>
      <c r="C76" s="22"/>
      <c r="E76" s="25"/>
      <c r="H76" s="66"/>
    </row>
    <row r="77" spans="1:8" s="32" customFormat="1" x14ac:dyDescent="0.35">
      <c r="A77" s="22" t="s">
        <v>161</v>
      </c>
      <c r="B77" s="22"/>
      <c r="C77" s="22"/>
      <c r="E77" s="25"/>
      <c r="H77" s="66"/>
    </row>
    <row r="78" spans="1:8" s="32" customFormat="1" x14ac:dyDescent="0.35">
      <c r="A78" s="22"/>
      <c r="B78" s="22"/>
      <c r="C78" s="22"/>
      <c r="E78" s="25"/>
      <c r="H78" s="66"/>
    </row>
    <row r="79" spans="1:8" s="32" customFormat="1" x14ac:dyDescent="0.35">
      <c r="A79" s="22"/>
      <c r="B79" s="22"/>
      <c r="C79" s="22"/>
      <c r="E79" s="25"/>
      <c r="H79" s="66"/>
    </row>
    <row r="80" spans="1:8" s="32" customFormat="1" x14ac:dyDescent="0.35">
      <c r="A80" s="22"/>
      <c r="B80" s="22"/>
      <c r="C80" s="22"/>
      <c r="E80" s="25"/>
      <c r="H80" s="66"/>
    </row>
    <row r="81" spans="1:8" s="32" customFormat="1" x14ac:dyDescent="0.35">
      <c r="A81" s="22"/>
      <c r="B81" s="22"/>
      <c r="C81" s="22"/>
      <c r="E81" s="25"/>
      <c r="H81" s="66"/>
    </row>
    <row r="82" spans="1:8" s="32" customFormat="1" x14ac:dyDescent="0.35">
      <c r="A82" s="22"/>
      <c r="B82" s="22"/>
      <c r="C82" s="22"/>
      <c r="E82" s="25"/>
      <c r="H82" s="66"/>
    </row>
    <row r="83" spans="1:8" s="32" customFormat="1" x14ac:dyDescent="0.35">
      <c r="A83" s="22"/>
      <c r="B83" s="22"/>
      <c r="C83" s="22"/>
      <c r="E83" s="25"/>
      <c r="H83" s="66"/>
    </row>
    <row r="84" spans="1:8" s="32" customFormat="1" x14ac:dyDescent="0.35">
      <c r="A84" s="22"/>
      <c r="B84" s="22"/>
      <c r="C84" s="22"/>
      <c r="E84" s="25"/>
      <c r="H84" s="66"/>
    </row>
    <row r="85" spans="1:8" s="32" customFormat="1" x14ac:dyDescent="0.35">
      <c r="A85" s="22"/>
      <c r="B85" s="22"/>
      <c r="C85" s="22"/>
      <c r="E85" s="25"/>
      <c r="H85" s="66"/>
    </row>
    <row r="88" spans="1:8" s="32" customFormat="1" ht="186" customHeight="1" x14ac:dyDescent="0.35">
      <c r="A88" s="22" t="s">
        <v>120</v>
      </c>
      <c r="B88" s="22" t="str">
        <f>IF(A26="RGMII","RGMII",IF(A26="GMII","GMII", "MII"))</f>
        <v>RGMII</v>
      </c>
      <c r="C88" s="22"/>
      <c r="E88" s="22"/>
      <c r="H88" s="66"/>
    </row>
    <row r="89" spans="1:8" s="32" customFormat="1" ht="180.75" customHeight="1" x14ac:dyDescent="0.35">
      <c r="A89" s="22" t="s">
        <v>145</v>
      </c>
      <c r="B89" s="22"/>
      <c r="C89" s="22"/>
      <c r="E89" s="22"/>
      <c r="H89" s="66"/>
    </row>
    <row r="90" spans="1:8" s="32" customFormat="1" ht="180.75" customHeight="1" x14ac:dyDescent="0.35">
      <c r="A90" s="22" t="s">
        <v>144</v>
      </c>
      <c r="B90" s="22"/>
      <c r="C90" s="22"/>
      <c r="E90" s="22"/>
      <c r="H90" s="66"/>
    </row>
    <row r="91" spans="1:8" ht="130.5" customHeight="1" x14ac:dyDescent="0.35">
      <c r="A91" s="32" t="s">
        <v>118</v>
      </c>
      <c r="B91" s="22" t="str">
        <f>IF(A14="Clock
(Crystal)", "Crystal", "Oscillator")</f>
        <v>Crystal</v>
      </c>
    </row>
    <row r="92" spans="1:8" ht="164.25" customHeight="1" x14ac:dyDescent="0.35">
      <c r="A92" s="32" t="s">
        <v>142</v>
      </c>
      <c r="B92" s="22" t="str">
        <f>IF(A14="Clock
(Crystal)", "CrystalPic", "OscillatorPic")</f>
        <v>CrystalPic</v>
      </c>
    </row>
    <row r="93" spans="1:8" ht="141" customHeight="1" x14ac:dyDescent="0.35"/>
    <row r="94" spans="1:8" ht="204" customHeight="1" x14ac:dyDescent="0.35"/>
  </sheetData>
  <dataConsolidate/>
  <mergeCells count="21">
    <mergeCell ref="A51:XFD51"/>
    <mergeCell ref="A52:A55"/>
    <mergeCell ref="A11:A12"/>
    <mergeCell ref="A16:XFD16"/>
    <mergeCell ref="A17:A18"/>
    <mergeCell ref="A19:XFD19"/>
    <mergeCell ref="A23:XFD23"/>
    <mergeCell ref="A25:XFD25"/>
    <mergeCell ref="A26:A50"/>
    <mergeCell ref="E26:E50"/>
    <mergeCell ref="A13:XFD13"/>
    <mergeCell ref="A14:A15"/>
    <mergeCell ref="D14:D15"/>
    <mergeCell ref="E14:E15"/>
    <mergeCell ref="F14:F15"/>
    <mergeCell ref="G14:G15"/>
    <mergeCell ref="A2:A5"/>
    <mergeCell ref="A6:XFD6"/>
    <mergeCell ref="A8:XFD8"/>
    <mergeCell ref="A10:XFD10"/>
    <mergeCell ref="E11:E12"/>
  </mergeCells>
  <conditionalFormatting sqref="F34:F42 F50:F55 F2:F29">
    <cfRule type="cellIs" dxfId="3" priority="4" operator="equal">
      <formula>"Required"</formula>
    </cfRule>
  </conditionalFormatting>
  <conditionalFormatting sqref="F30:F33">
    <cfRule type="cellIs" dxfId="2" priority="3" operator="equal">
      <formula>"Required"</formula>
    </cfRule>
  </conditionalFormatting>
  <conditionalFormatting sqref="F43:F48">
    <cfRule type="cellIs" dxfId="1" priority="2" operator="equal">
      <formula>"Required"</formula>
    </cfRule>
  </conditionalFormatting>
  <conditionalFormatting sqref="F49">
    <cfRule type="cellIs" dxfId="0" priority="1" operator="equal">
      <formula>"Required"</formula>
    </cfRule>
  </conditionalFormatting>
  <dataValidations count="4">
    <dataValidation type="list" allowBlank="1" showInputMessage="1" showErrorMessage="1" sqref="A14:A15" xr:uid="{399E7E1B-2054-438A-A694-FD1D088AD6B5}">
      <formula1>$A$91:$A$92</formula1>
    </dataValidation>
    <dataValidation type="list" allowBlank="1" showInputMessage="1" showErrorMessage="1" sqref="F2:F5 F7 F9 F17:F18 F20:F22 F24 F52:F55 F11:F12 F26:F50" xr:uid="{3843695F-84FE-45C0-9820-E72F9D56CD92}">
      <formula1>"Required, Yes,No"</formula1>
    </dataValidation>
    <dataValidation type="list" allowBlank="1" showInputMessage="1" showErrorMessage="1" sqref="A26:A28" xr:uid="{60ECF0B0-4154-4AC3-9577-2411DB2B5684}">
      <formula1>$A$88:$A$90</formula1>
    </dataValidation>
    <dataValidation type="list" allowBlank="1" showInputMessage="1" showErrorMessage="1" sqref="A21" xr:uid="{169D0311-CE0F-4006-A343-1978AE760AAB}">
      <formula1>$A$76:$A$77</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ED5E-A6CF-45C1-9378-FEAC2AD5159D}">
  <dimension ref="B5:AG119"/>
  <sheetViews>
    <sheetView zoomScale="85" zoomScaleNormal="85" workbookViewId="0">
      <selection activeCell="H9" sqref="H9"/>
    </sheetView>
  </sheetViews>
  <sheetFormatPr defaultColWidth="8.83203125" defaultRowHeight="15.5" x14ac:dyDescent="0.35"/>
  <cols>
    <col min="1" max="1" width="12.5" customWidth="1"/>
    <col min="2" max="2" width="43.08203125" customWidth="1"/>
    <col min="3" max="3" width="13.25" bestFit="1" customWidth="1"/>
    <col min="4" max="4" width="24.08203125" bestFit="1" customWidth="1"/>
    <col min="5" max="5" width="15" bestFit="1" customWidth="1"/>
    <col min="6" max="6" width="11.25" bestFit="1" customWidth="1"/>
    <col min="7" max="7" width="12.5" customWidth="1"/>
    <col min="8" max="8" width="15.58203125" bestFit="1" customWidth="1"/>
    <col min="9" max="9" width="12.5" customWidth="1"/>
    <col min="10" max="10" width="12.33203125" customWidth="1"/>
    <col min="11" max="13" width="12.5" customWidth="1"/>
    <col min="14" max="14" width="12.33203125" customWidth="1"/>
    <col min="15" max="15" width="12.5" customWidth="1"/>
  </cols>
  <sheetData>
    <row r="5" spans="2:8" x14ac:dyDescent="0.35">
      <c r="G5" s="95" t="s">
        <v>19</v>
      </c>
      <c r="H5" s="96"/>
    </row>
    <row r="6" spans="2:8" ht="33" x14ac:dyDescent="0.35">
      <c r="B6" s="45" t="s">
        <v>33</v>
      </c>
      <c r="C6" s="45" t="s">
        <v>34</v>
      </c>
      <c r="D6" s="45" t="s">
        <v>35</v>
      </c>
      <c r="E6" s="45" t="s">
        <v>20</v>
      </c>
      <c r="F6" s="45" t="s">
        <v>21</v>
      </c>
      <c r="G6" s="46" t="s">
        <v>22</v>
      </c>
      <c r="H6" s="46" t="s">
        <v>23</v>
      </c>
    </row>
    <row r="7" spans="2:8" x14ac:dyDescent="0.35">
      <c r="B7" s="88" t="s">
        <v>36</v>
      </c>
      <c r="C7" s="91">
        <v>0</v>
      </c>
      <c r="D7" s="97">
        <v>0</v>
      </c>
      <c r="E7" s="33" t="s">
        <v>24</v>
      </c>
      <c r="F7" s="4">
        <f>F23+2*E23+1</f>
        <v>1</v>
      </c>
      <c r="G7" s="53" t="str">
        <f>IF(F7=1,"Open",IF(F7=2,"10kΩ",IF(F7=3,"5.76kΩ","2.49kΩ")))</f>
        <v>Open</v>
      </c>
      <c r="H7" s="53" t="str">
        <f>IF(F7=1,"Open",IF(F7=2,"2.49kΩ",IF(F7=3,"2.49kΩ","Open")))</f>
        <v>Open</v>
      </c>
    </row>
    <row r="8" spans="2:8" x14ac:dyDescent="0.35">
      <c r="B8" s="90"/>
      <c r="C8" s="92"/>
      <c r="D8" s="98"/>
      <c r="E8" s="33" t="s">
        <v>25</v>
      </c>
      <c r="F8" s="4">
        <f>D23+2*C23+1</f>
        <v>1</v>
      </c>
      <c r="G8" s="53" t="str">
        <f t="shared" ref="G8:G16" si="0">IF(F8=1,"Open",IF(F8=2,"10kΩ",IF(F8=3,"5.76kΩ","2.49kΩ")))</f>
        <v>Open</v>
      </c>
      <c r="H8" s="53" t="str">
        <f t="shared" ref="H8:H16" si="1">IF(F8=1,"Open",IF(F8=2,"2.49kΩ",IF(F8=3,"2.49kΩ","Open")))</f>
        <v>Open</v>
      </c>
    </row>
    <row r="9" spans="2:8" x14ac:dyDescent="0.35">
      <c r="B9" s="89"/>
      <c r="C9" s="93"/>
      <c r="D9" s="99"/>
      <c r="E9" s="33" t="s">
        <v>156</v>
      </c>
      <c r="F9" s="4">
        <f>IF(C7&gt;15,IF(OR(C15=B31,C15=C31),2,IF(OR(C15=D31,C15=E31),4)),IF(OR(C15=B31,C15=C31),1,IF(OR(C15=D31,C15=E31),3)))</f>
        <v>1</v>
      </c>
      <c r="G9" s="53" t="str">
        <f t="shared" si="0"/>
        <v>Open</v>
      </c>
      <c r="H9" s="53" t="str">
        <f t="shared" si="1"/>
        <v>Open</v>
      </c>
    </row>
    <row r="10" spans="2:8" ht="31" x14ac:dyDescent="0.35">
      <c r="B10" s="49" t="s">
        <v>191</v>
      </c>
      <c r="C10" s="48" t="s">
        <v>199</v>
      </c>
      <c r="D10" s="33" t="s">
        <v>199</v>
      </c>
      <c r="E10" s="33" t="s">
        <v>157</v>
      </c>
      <c r="F10" s="4">
        <f>IF(C10=B26,1,IF(C10=C26,2,IF(C10=D26,3,4)))</f>
        <v>1</v>
      </c>
      <c r="G10" s="53" t="str">
        <f t="shared" si="0"/>
        <v>Open</v>
      </c>
      <c r="H10" s="53" t="str">
        <f t="shared" si="1"/>
        <v>Open</v>
      </c>
    </row>
    <row r="11" spans="2:8" ht="31" x14ac:dyDescent="0.35">
      <c r="B11" s="45" t="s">
        <v>190</v>
      </c>
      <c r="C11" s="48" t="s">
        <v>203</v>
      </c>
      <c r="D11" s="33" t="s">
        <v>203</v>
      </c>
      <c r="E11" s="33" t="s">
        <v>158</v>
      </c>
      <c r="F11" s="4">
        <f>IF(C11=B27,1,IF(C11=C27,2,IF(C11=D27,3,4)))</f>
        <v>1</v>
      </c>
      <c r="G11" s="53" t="str">
        <f t="shared" si="0"/>
        <v>Open</v>
      </c>
      <c r="H11" s="53" t="str">
        <f t="shared" si="1"/>
        <v>Open</v>
      </c>
    </row>
    <row r="12" spans="2:8" ht="31" x14ac:dyDescent="0.35">
      <c r="B12" s="45" t="s">
        <v>207</v>
      </c>
      <c r="C12" s="48" t="s">
        <v>208</v>
      </c>
      <c r="D12" s="33" t="s">
        <v>208</v>
      </c>
      <c r="E12" s="33" t="s">
        <v>159</v>
      </c>
      <c r="F12" s="4">
        <f>IF(C12=B28,1,IF(C12=C28,2,IF(C12=D28,3,4)))</f>
        <v>1</v>
      </c>
      <c r="G12" s="53" t="str">
        <f t="shared" si="0"/>
        <v>Open</v>
      </c>
      <c r="H12" s="53" t="str">
        <f t="shared" si="1"/>
        <v>Open</v>
      </c>
    </row>
    <row r="13" spans="2:8" ht="31" x14ac:dyDescent="0.35">
      <c r="B13" s="45" t="s">
        <v>192</v>
      </c>
      <c r="C13" s="48" t="s">
        <v>198</v>
      </c>
      <c r="D13" s="33" t="s">
        <v>219</v>
      </c>
      <c r="E13" s="33" t="s">
        <v>193</v>
      </c>
      <c r="F13" s="4">
        <f>IF(C13=B29,3,4)</f>
        <v>3</v>
      </c>
      <c r="G13" s="53" t="str">
        <f t="shared" si="0"/>
        <v>5.76kΩ</v>
      </c>
      <c r="H13" s="53" t="str">
        <f t="shared" si="1"/>
        <v>2.49kΩ</v>
      </c>
    </row>
    <row r="14" spans="2:8" x14ac:dyDescent="0.35">
      <c r="B14" s="45" t="s">
        <v>194</v>
      </c>
      <c r="C14" s="48" t="s">
        <v>212</v>
      </c>
      <c r="D14" s="33" t="s">
        <v>212</v>
      </c>
      <c r="E14" s="33" t="s">
        <v>195</v>
      </c>
      <c r="F14" s="4">
        <f>IF(C14=B30,1,2)</f>
        <v>1</v>
      </c>
      <c r="G14" s="53" t="str">
        <f t="shared" si="0"/>
        <v>Open</v>
      </c>
      <c r="H14" s="53" t="str">
        <f t="shared" si="1"/>
        <v>Open</v>
      </c>
    </row>
    <row r="15" spans="2:8" ht="31" x14ac:dyDescent="0.35">
      <c r="B15" s="45" t="s">
        <v>196</v>
      </c>
      <c r="C15" s="48" t="s">
        <v>40</v>
      </c>
      <c r="D15" s="33" t="s">
        <v>40</v>
      </c>
      <c r="E15" s="33" t="s">
        <v>30</v>
      </c>
      <c r="F15" s="4">
        <f>IF(OR(C15=B31,C15=D31),1,4)</f>
        <v>1</v>
      </c>
      <c r="G15" s="53" t="str">
        <f t="shared" si="0"/>
        <v>Open</v>
      </c>
      <c r="H15" s="53" t="str">
        <f t="shared" si="1"/>
        <v>Open</v>
      </c>
    </row>
    <row r="16" spans="2:8" x14ac:dyDescent="0.35">
      <c r="B16" s="45" t="s">
        <v>197</v>
      </c>
      <c r="C16" s="48" t="s">
        <v>212</v>
      </c>
      <c r="D16" s="33" t="s">
        <v>212</v>
      </c>
      <c r="E16" s="33" t="s">
        <v>31</v>
      </c>
      <c r="F16" s="4">
        <f>IF(C16=B32,1,3)</f>
        <v>1</v>
      </c>
      <c r="G16" s="53" t="str">
        <f t="shared" si="0"/>
        <v>Open</v>
      </c>
      <c r="H16" s="53" t="str">
        <f t="shared" si="1"/>
        <v>Open</v>
      </c>
    </row>
    <row r="17" spans="2:33" x14ac:dyDescent="0.35">
      <c r="B17" s="40"/>
    </row>
    <row r="19" spans="2:33" hidden="1" x14ac:dyDescent="0.35"/>
    <row r="20" spans="2:33" hidden="1" x14ac:dyDescent="0.35"/>
    <row r="21" spans="2:33" hidden="1" x14ac:dyDescent="0.35"/>
    <row r="22" spans="2:33" hidden="1" x14ac:dyDescent="0.35">
      <c r="B22" t="s">
        <v>214</v>
      </c>
      <c r="C22" t="s">
        <v>215</v>
      </c>
      <c r="D22" t="s">
        <v>216</v>
      </c>
      <c r="E22" t="s">
        <v>217</v>
      </c>
      <c r="F22" t="s">
        <v>218</v>
      </c>
    </row>
    <row r="23" spans="2:33" hidden="1" x14ac:dyDescent="0.35">
      <c r="B23">
        <f>_xlfn.BITRSHIFT($C$7,4)</f>
        <v>0</v>
      </c>
      <c r="C23">
        <f>_xlfn.BITAND(1,_xlfn.BITRSHIFT($C$7,3))</f>
        <v>0</v>
      </c>
      <c r="D23">
        <f>_xlfn.BITAND(1,_xlfn.BITRSHIFT($C$7,2))</f>
        <v>0</v>
      </c>
      <c r="E23">
        <f>_xlfn.BITAND(1,_xlfn.BITRSHIFT($C$7,1))</f>
        <v>0</v>
      </c>
      <c r="F23">
        <f>_xlfn.BITAND(1,$C$7)</f>
        <v>0</v>
      </c>
    </row>
    <row r="24" spans="2:33" hidden="1" x14ac:dyDescent="0.35"/>
    <row r="25" spans="2:33" hidden="1" x14ac:dyDescent="0.35">
      <c r="B25">
        <v>0</v>
      </c>
      <c r="C25">
        <v>1</v>
      </c>
      <c r="D25">
        <v>2</v>
      </c>
      <c r="E25">
        <v>3</v>
      </c>
      <c r="F25">
        <v>4</v>
      </c>
      <c r="G25">
        <v>5</v>
      </c>
      <c r="H25">
        <v>6</v>
      </c>
      <c r="I25">
        <v>7</v>
      </c>
      <c r="J25">
        <v>8</v>
      </c>
      <c r="K25">
        <v>9</v>
      </c>
      <c r="L25">
        <v>10</v>
      </c>
      <c r="M25">
        <v>11</v>
      </c>
      <c r="N25">
        <v>12</v>
      </c>
      <c r="O25">
        <v>13</v>
      </c>
      <c r="P25">
        <v>14</v>
      </c>
      <c r="Q25">
        <v>15</v>
      </c>
      <c r="R25">
        <v>16</v>
      </c>
      <c r="S25">
        <v>17</v>
      </c>
      <c r="T25">
        <v>18</v>
      </c>
      <c r="U25">
        <v>19</v>
      </c>
      <c r="V25">
        <v>20</v>
      </c>
      <c r="W25">
        <v>21</v>
      </c>
      <c r="X25">
        <v>22</v>
      </c>
      <c r="Y25">
        <v>23</v>
      </c>
      <c r="Z25">
        <v>24</v>
      </c>
      <c r="AA25">
        <v>25</v>
      </c>
      <c r="AB25">
        <v>26</v>
      </c>
      <c r="AC25">
        <v>27</v>
      </c>
      <c r="AD25">
        <v>28</v>
      </c>
      <c r="AE25">
        <v>29</v>
      </c>
      <c r="AF25">
        <v>30</v>
      </c>
      <c r="AG25">
        <v>31</v>
      </c>
    </row>
    <row r="26" spans="2:33" ht="31" hidden="1" x14ac:dyDescent="0.35">
      <c r="B26" s="12" t="s">
        <v>199</v>
      </c>
      <c r="C26" s="12" t="s">
        <v>200</v>
      </c>
      <c r="D26" s="12" t="s">
        <v>201</v>
      </c>
      <c r="E26" s="12" t="s">
        <v>202</v>
      </c>
    </row>
    <row r="27" spans="2:33" ht="31" hidden="1" x14ac:dyDescent="0.35">
      <c r="B27" s="12" t="s">
        <v>203</v>
      </c>
      <c r="C27" s="12" t="s">
        <v>204</v>
      </c>
      <c r="D27" s="12" t="s">
        <v>205</v>
      </c>
      <c r="E27" s="12" t="s">
        <v>206</v>
      </c>
    </row>
    <row r="28" spans="2:33" ht="31" hidden="1" x14ac:dyDescent="0.35">
      <c r="B28" s="12" t="s">
        <v>208</v>
      </c>
      <c r="C28" s="12" t="s">
        <v>209</v>
      </c>
      <c r="D28" s="12" t="s">
        <v>211</v>
      </c>
      <c r="E28" s="12" t="s">
        <v>210</v>
      </c>
    </row>
    <row r="29" spans="2:33" hidden="1" x14ac:dyDescent="0.35">
      <c r="B29" s="12" t="s">
        <v>198</v>
      </c>
      <c r="C29" s="12" t="s">
        <v>212</v>
      </c>
    </row>
    <row r="30" spans="2:33" hidden="1" x14ac:dyDescent="0.35">
      <c r="B30" s="12" t="s">
        <v>212</v>
      </c>
      <c r="C30" s="12" t="s">
        <v>198</v>
      </c>
    </row>
    <row r="31" spans="2:33" hidden="1" x14ac:dyDescent="0.35">
      <c r="B31" s="12" t="s">
        <v>40</v>
      </c>
      <c r="C31" s="12" t="s">
        <v>63</v>
      </c>
      <c r="D31">
        <v>1000</v>
      </c>
      <c r="E31" s="12" t="s">
        <v>213</v>
      </c>
    </row>
    <row r="32" spans="2:33" hidden="1" x14ac:dyDescent="0.35">
      <c r="B32" s="12" t="s">
        <v>212</v>
      </c>
      <c r="C32" s="12" t="s">
        <v>198</v>
      </c>
    </row>
    <row r="33" spans="2:2" hidden="1" x14ac:dyDescent="0.35"/>
    <row r="34" spans="2:2" hidden="1" x14ac:dyDescent="0.35">
      <c r="B34" s="12"/>
    </row>
    <row r="98" spans="3:7" x14ac:dyDescent="0.35">
      <c r="C98" s="37"/>
      <c r="D98" s="94"/>
      <c r="E98" s="94"/>
      <c r="F98" s="94"/>
      <c r="G98" s="94"/>
    </row>
    <row r="99" spans="3:7" x14ac:dyDescent="0.35">
      <c r="C99" s="37"/>
      <c r="D99" s="94"/>
      <c r="E99" s="94"/>
      <c r="F99" s="94"/>
      <c r="G99" s="94"/>
    </row>
    <row r="109" spans="3:7" x14ac:dyDescent="0.35">
      <c r="C109" s="37"/>
    </row>
    <row r="110" spans="3:7" x14ac:dyDescent="0.35">
      <c r="C110" s="37"/>
    </row>
    <row r="111" spans="3:7" x14ac:dyDescent="0.35">
      <c r="C111" s="37"/>
    </row>
    <row r="112" spans="3:7" x14ac:dyDescent="0.35">
      <c r="C112" s="37"/>
    </row>
    <row r="113" spans="3:3" x14ac:dyDescent="0.35">
      <c r="C113" s="37"/>
    </row>
    <row r="116" spans="3:3" x14ac:dyDescent="0.35">
      <c r="C116" s="12"/>
    </row>
    <row r="117" spans="3:3" x14ac:dyDescent="0.35">
      <c r="C117" s="12"/>
    </row>
    <row r="118" spans="3:3" x14ac:dyDescent="0.35">
      <c r="C118" s="12"/>
    </row>
    <row r="119" spans="3:3" x14ac:dyDescent="0.35">
      <c r="C119" s="12"/>
    </row>
  </sheetData>
  <mergeCells count="7">
    <mergeCell ref="G5:H5"/>
    <mergeCell ref="D98:G98"/>
    <mergeCell ref="D99:E99"/>
    <mergeCell ref="F99:G99"/>
    <mergeCell ref="B7:B9"/>
    <mergeCell ref="C7:C9"/>
    <mergeCell ref="D7:D9"/>
  </mergeCells>
  <dataValidations count="3">
    <dataValidation type="list" allowBlank="1" showInputMessage="1" showErrorMessage="1" sqref="C7:C9" xr:uid="{48B85023-92F5-4E54-BFCD-E82CD25C6B96}">
      <formula1>$B$25:$AG$25</formula1>
    </dataValidation>
    <dataValidation type="list" allowBlank="1" showInputMessage="1" showErrorMessage="1" sqref="C10:C12 C15" xr:uid="{6B15A0C4-D4A0-40B9-BD50-EA6371948A93}">
      <formula1>$B26:$E26</formula1>
    </dataValidation>
    <dataValidation type="list" allowBlank="1" showInputMessage="1" showErrorMessage="1" sqref="C13:C14 C16" xr:uid="{4B30B430-88F2-4E98-B832-2BE276C31BA0}">
      <formula1>$B29:$C29</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D8:G32"/>
  <sheetViews>
    <sheetView workbookViewId="0">
      <selection activeCell="E11" sqref="E11"/>
    </sheetView>
  </sheetViews>
  <sheetFormatPr defaultColWidth="11" defaultRowHeight="15.5" x14ac:dyDescent="0.35"/>
  <cols>
    <col min="5" max="5" width="11.83203125" customWidth="1"/>
    <col min="6" max="6" width="50.33203125" customWidth="1"/>
    <col min="7" max="7" width="17" customWidth="1"/>
  </cols>
  <sheetData>
    <row r="8" spans="4:7" x14ac:dyDescent="0.35">
      <c r="D8" s="18" t="s">
        <v>105</v>
      </c>
      <c r="E8" s="18" t="s">
        <v>106</v>
      </c>
      <c r="F8" s="18" t="s">
        <v>107</v>
      </c>
      <c r="G8" s="18" t="s">
        <v>108</v>
      </c>
    </row>
    <row r="9" spans="4:7" x14ac:dyDescent="0.35">
      <c r="D9" s="4">
        <v>0.1</v>
      </c>
      <c r="E9" s="7">
        <v>43532</v>
      </c>
      <c r="F9" s="4" t="s">
        <v>109</v>
      </c>
      <c r="G9" s="4" t="s">
        <v>110</v>
      </c>
    </row>
    <row r="10" spans="4:7" x14ac:dyDescent="0.35">
      <c r="D10" s="4">
        <v>0.2</v>
      </c>
      <c r="E10" s="7">
        <v>43536</v>
      </c>
      <c r="F10" s="4" t="s">
        <v>111</v>
      </c>
      <c r="G10" s="4" t="s">
        <v>110</v>
      </c>
    </row>
    <row r="11" spans="4:7" ht="31" x14ac:dyDescent="0.35">
      <c r="D11" s="4">
        <v>0.3</v>
      </c>
      <c r="E11" s="17">
        <v>45364</v>
      </c>
      <c r="F11" s="51" t="s">
        <v>239</v>
      </c>
      <c r="G11" s="4" t="s">
        <v>112</v>
      </c>
    </row>
    <row r="12" spans="4:7" x14ac:dyDescent="0.35">
      <c r="D12" s="4"/>
      <c r="E12" s="4"/>
      <c r="F12" s="4"/>
      <c r="G12" s="4"/>
    </row>
    <row r="13" spans="4:7" x14ac:dyDescent="0.35">
      <c r="D13" s="4"/>
      <c r="E13" s="4"/>
      <c r="F13" s="4"/>
      <c r="G13" s="4"/>
    </row>
    <row r="14" spans="4:7" x14ac:dyDescent="0.35">
      <c r="D14" s="4"/>
      <c r="E14" s="4"/>
      <c r="F14" s="4"/>
      <c r="G14" s="4"/>
    </row>
    <row r="15" spans="4:7" x14ac:dyDescent="0.35">
      <c r="D15" s="4"/>
      <c r="E15" s="4"/>
      <c r="F15" s="4"/>
      <c r="G15" s="4"/>
    </row>
    <row r="16" spans="4:7" x14ac:dyDescent="0.35">
      <c r="D16" s="4"/>
      <c r="E16" s="4"/>
      <c r="F16" s="4"/>
      <c r="G16" s="4"/>
    </row>
    <row r="17" spans="4:7" x14ac:dyDescent="0.35">
      <c r="D17" s="4"/>
      <c r="E17" s="4"/>
      <c r="F17" s="4"/>
      <c r="G17" s="4"/>
    </row>
    <row r="18" spans="4:7" x14ac:dyDescent="0.35">
      <c r="D18" s="4"/>
      <c r="E18" s="4"/>
      <c r="F18" s="4"/>
      <c r="G18" s="4"/>
    </row>
    <row r="19" spans="4:7" x14ac:dyDescent="0.35">
      <c r="D19" s="4"/>
      <c r="E19" s="4"/>
      <c r="F19" s="4"/>
      <c r="G19" s="4"/>
    </row>
    <row r="20" spans="4:7" x14ac:dyDescent="0.35">
      <c r="D20" s="4"/>
      <c r="E20" s="4"/>
      <c r="F20" s="4"/>
      <c r="G20" s="4"/>
    </row>
    <row r="21" spans="4:7" x14ac:dyDescent="0.35">
      <c r="D21" s="4"/>
      <c r="E21" s="4"/>
      <c r="F21" s="4"/>
      <c r="G21" s="4"/>
    </row>
    <row r="22" spans="4:7" x14ac:dyDescent="0.35">
      <c r="D22" s="4"/>
      <c r="E22" s="4"/>
      <c r="F22" s="4"/>
      <c r="G22" s="4"/>
    </row>
    <row r="23" spans="4:7" x14ac:dyDescent="0.35">
      <c r="D23" s="4"/>
      <c r="E23" s="4"/>
      <c r="F23" s="4"/>
      <c r="G23" s="4"/>
    </row>
    <row r="24" spans="4:7" x14ac:dyDescent="0.35">
      <c r="D24" s="4"/>
      <c r="E24" s="4"/>
      <c r="F24" s="4"/>
      <c r="G24" s="4"/>
    </row>
    <row r="25" spans="4:7" x14ac:dyDescent="0.35">
      <c r="D25" s="4"/>
      <c r="E25" s="4"/>
      <c r="F25" s="4"/>
      <c r="G25" s="4"/>
    </row>
    <row r="26" spans="4:7" x14ac:dyDescent="0.35">
      <c r="D26" s="4"/>
      <c r="E26" s="4"/>
      <c r="F26" s="4"/>
      <c r="G26" s="4"/>
    </row>
    <row r="27" spans="4:7" x14ac:dyDescent="0.35">
      <c r="D27" s="4"/>
      <c r="E27" s="4"/>
      <c r="F27" s="4"/>
      <c r="G27" s="4"/>
    </row>
    <row r="28" spans="4:7" x14ac:dyDescent="0.35">
      <c r="D28" s="4"/>
      <c r="E28" s="4"/>
      <c r="F28" s="4"/>
      <c r="G28" s="4"/>
    </row>
    <row r="29" spans="4:7" x14ac:dyDescent="0.35">
      <c r="D29" s="4"/>
      <c r="E29" s="4"/>
      <c r="F29" s="4"/>
      <c r="G29" s="4"/>
    </row>
    <row r="30" spans="4:7" x14ac:dyDescent="0.35">
      <c r="D30" s="4"/>
      <c r="E30" s="4"/>
      <c r="F30" s="4"/>
      <c r="G30" s="4"/>
    </row>
    <row r="31" spans="4:7" x14ac:dyDescent="0.35">
      <c r="D31" s="4"/>
      <c r="E31" s="4"/>
      <c r="F31" s="4"/>
      <c r="G31" s="4"/>
    </row>
    <row r="32" spans="4:7" x14ac:dyDescent="0.35">
      <c r="D32" s="4"/>
      <c r="E32" s="4"/>
      <c r="F32" s="4"/>
      <c r="G32" s="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B781F8-0239-4318-BC25-C621FCF023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4F28C5-3E36-4968-B0CD-1986EB1CCD74}">
  <ds:schemaRefs>
    <ds:schemaRef ds:uri="http://www.w3.org/XML/1998/namespace"/>
    <ds:schemaRef ds:uri="http://purl.org/dc/dcmitype/"/>
    <ds:schemaRef ds:uri="bb91c991-12d0-4478-8207-ba123b6299cc"/>
    <ds:schemaRef ds:uri="http://purl.org/dc/elements/1.1/"/>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42B466F6-23E3-420A-B297-286397AB11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6</vt:i4>
      </vt:variant>
      <vt:variant>
        <vt:lpstr>Named Ranges</vt:lpstr>
      </vt:variant>
      <vt:variant>
        <vt:i4>14</vt:i4>
      </vt:variant>
    </vt:vector>
  </HeadingPairs>
  <TitlesOfParts>
    <vt:vector size="20" baseType="lpstr">
      <vt:lpstr>How to Use this sheet</vt:lpstr>
      <vt:lpstr>Pin Wise Checklist - RGZ</vt:lpstr>
      <vt:lpstr>RGZ Strap Tool</vt:lpstr>
      <vt:lpstr>Pin Wise Checklist - PAP</vt:lpstr>
      <vt:lpstr>PAP Strap Tool</vt:lpstr>
      <vt:lpstr>Revision History</vt:lpstr>
      <vt:lpstr>'Pin Wise Checklist - PAP'!Crystal</vt:lpstr>
      <vt:lpstr>Crystal</vt:lpstr>
      <vt:lpstr>'Pin Wise Checklist - PAP'!CrystalPic</vt:lpstr>
      <vt:lpstr>CrystalPic</vt:lpstr>
      <vt:lpstr>GMII</vt:lpstr>
      <vt:lpstr>MII</vt:lpstr>
      <vt:lpstr>'Pin Wise Checklist - PAP'!Oscillator</vt:lpstr>
      <vt:lpstr>Oscillator</vt:lpstr>
      <vt:lpstr>'Pin Wise Checklist - PAP'!OscillatorPic</vt:lpstr>
      <vt:lpstr>OscillatorPic</vt:lpstr>
      <vt:lpstr>'Pin Wise Checklist - PAP'!RGMII</vt:lpstr>
      <vt:lpstr>RGMII</vt:lpstr>
      <vt:lpstr>'Pin Wise Checklist - PAP'!SGMII</vt:lpstr>
      <vt:lpstr>SGMII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Yoon, Jae</cp:lastModifiedBy>
  <cp:revision/>
  <dcterms:created xsi:type="dcterms:W3CDTF">2017-11-24T07:37:11Z</dcterms:created>
  <dcterms:modified xsi:type="dcterms:W3CDTF">2025-06-10T20:33:43Z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