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codeName="ThisWorkbook"/>
  <mc:AlternateContent xmlns:mc="http://schemas.openxmlformats.org/markup-compatibility/2006">
    <mc:Choice Requires="x15">
      <x15ac:absPath xmlns:x15ac="http://schemas.microsoft.com/office/spreadsheetml/2010/11/ac" url="C:\Users\svc-mfg-user\Desktop\"/>
    </mc:Choice>
  </mc:AlternateContent>
  <xr:revisionPtr revIDLastSave="0" documentId="8_{188F43F6-30E6-4FD7-8492-C09FB50485F3}" xr6:coauthVersionLast="46" xr6:coauthVersionMax="46" xr10:uidLastSave="{00000000-0000-0000-0000-000000000000}"/>
  <bookViews>
    <workbookView xWindow="-120" yWindow="-120" windowWidth="29040" windowHeight="15840" xr2:uid="{00000000-000D-0000-FFFF-FFFF00000000}"/>
  </bookViews>
  <sheets>
    <sheet name="Result1" sheetId="4" r:id="rId1"/>
    <sheet name="Limits" sheetId="2" r:id="rId2"/>
    <sheet name="Notes" sheetId="3" r:id="rId3"/>
  </sheets>
  <definedNames>
    <definedName name="Droop_100_a">Limits!$D$62</definedName>
    <definedName name="Droop_100_b">Limits!$E$62</definedName>
    <definedName name="Droop_100_c">Limits!$F$62</definedName>
    <definedName name="Droop_100_Red_Min">Limits!$G$62</definedName>
    <definedName name="Droop_100_Yel_Min">Limits!$H$62</definedName>
    <definedName name="Droop_1000_a">Limits!$D$63</definedName>
    <definedName name="Droop_1000_b">Limits!$E$63</definedName>
    <definedName name="Droop_1000_c">Limits!$F$63</definedName>
    <definedName name="Droop_1000_Red_Min">Limits!$G$63</definedName>
    <definedName name="Droop_1000_Yel_Min">Limits!$H$63</definedName>
    <definedName name="Fast_Enet" localSheetId="0">Result1!$E$12</definedName>
    <definedName name="Gig_Mode" localSheetId="0">Result1!$L$12</definedName>
    <definedName name="LI_Red">Limits!$D$3</definedName>
    <definedName name="LI_Yellow">Limits!$E$3</definedName>
    <definedName name="Mask_100_a">Limits!$D$59</definedName>
    <definedName name="Mask_100_b">Limits!$E$59</definedName>
    <definedName name="Mask_100_c">Limits!$F$59</definedName>
    <definedName name="Mask_100_hi">Limits!$I$59</definedName>
    <definedName name="Mask_100_lo">Limits!$H$59</definedName>
    <definedName name="Mask_100_m">Limits!$E$60</definedName>
    <definedName name="Mask_100_max">Limits!$J$59</definedName>
    <definedName name="Mask_100_min">Limits!$G$59</definedName>
    <definedName name="Mask_100_n">Limits!$F$60</definedName>
    <definedName name="Mask_100_Thresh">Limits!$C$59</definedName>
    <definedName name="Mask_1000_b">Limits!$F$61</definedName>
    <definedName name="Mask_1000_hi">Limits!$I$61</definedName>
    <definedName name="Mask_1000_lo">Limits!$H$61</definedName>
    <definedName name="Mask_1000_m">Limits!$E$61</definedName>
    <definedName name="Mask_1000_max">Limits!$J$61</definedName>
    <definedName name="Mask_1000_min">Limits!$G$61</definedName>
    <definedName name="MaxHighPsd" localSheetId="0">Result1!$AB$70</definedName>
    <definedName name="MaxLowPsd" localSheetId="0">Result1!$AB$47</definedName>
    <definedName name="MinHighPSD" localSheetId="0">Result1!$AB$71</definedName>
    <definedName name="MinLowPsd" localSheetId="0">Result1!$AB$48</definedName>
    <definedName name="_xlnm.Print_Area" localSheetId="1">Limits!$A$1:$K$66</definedName>
    <definedName name="_xlnm.Print_Area" localSheetId="2">Notes!$A$1:$E$45</definedName>
    <definedName name="_xlnm.Print_Area" localSheetId="0">Result1!$A$1:$W$119</definedName>
    <definedName name="Report_Version">Limits!$G$65</definedName>
    <definedName name="RL_Red">Limits!$G$39</definedName>
    <definedName name="RL_Yellow">Limits!$F$39</definedName>
    <definedName name="Rx_Graph_Max" localSheetId="0">Result1!$Z$29</definedName>
    <definedName name="Rx_Graph_Min" localSheetId="0">Result1!$Z$28</definedName>
    <definedName name="Rx_Red_100_Hi">Limits!$G$6</definedName>
    <definedName name="Rx_Red_100_Lo">Limits!$D$6</definedName>
    <definedName name="Rx_Red_1000_Hi">Limits!$G$7</definedName>
    <definedName name="Rx_Red_1000_Lo">Limits!$D$7</definedName>
    <definedName name="Rx_Yellow_100_Hi">Limits!$F$6</definedName>
    <definedName name="Rx_Yellow_100_Lo">Limits!$E$6</definedName>
    <definedName name="Rx_Yellow_1000_Hi">Limits!$F$7</definedName>
    <definedName name="Rx_Yellow_1000_Lo">Limits!$E$7</definedName>
    <definedName name="Skew_Red">Limits!$G$37</definedName>
    <definedName name="Skew_Yellow">Limits!$F$37</definedName>
    <definedName name="SNR_Red">Limits!$D$9</definedName>
    <definedName name="SNR_Yellow">Limits!$E$9</definedName>
    <definedName name="Version" localSheetId="0">Result1!$T$3</definedName>
    <definedName name="Vpp_100_b">Limits!$F$57</definedName>
    <definedName name="Vpp_100_hi">Limits!$I$57</definedName>
    <definedName name="Vpp_100_lo">Limits!$H$57</definedName>
    <definedName name="Vpp_100_m">Limits!$E$57</definedName>
    <definedName name="Vpp_100_max">Limits!$J$57</definedName>
    <definedName name="Vpp_100_min">Limits!$G$57</definedName>
    <definedName name="Vpp_1000_b">Limits!$F$58</definedName>
    <definedName name="Vpp_1000_hi">Limits!$I$58</definedName>
    <definedName name="Vpp_1000_lo">Limits!$H$58</definedName>
    <definedName name="Vpp_1000_m">Limits!$E$58</definedName>
    <definedName name="Vpp_1000_max">Limits!$J$58</definedName>
    <definedName name="Vpp_1000_min">Limits!$G$58</definedName>
    <definedName name="Xtalk_Red">Limits!$G$41</definedName>
    <definedName name="Xtalk_Yellow">Limits!$F$41</definedName>
  </definedNames>
  <calcPr calcId="181029"/>
</workbook>
</file>

<file path=xl/calcChain.xml><?xml version="1.0" encoding="utf-8"?>
<calcChain xmlns="http://schemas.openxmlformats.org/spreadsheetml/2006/main">
  <c r="V119" i="4" l="1"/>
  <c r="AA118" i="4" l="1"/>
  <c r="AA117" i="4"/>
  <c r="AA116" i="4"/>
  <c r="AA115" i="4"/>
  <c r="AA114" i="4"/>
  <c r="AA113" i="4"/>
  <c r="AA112" i="4"/>
  <c r="AA111" i="4"/>
  <c r="AA110" i="4"/>
  <c r="AA109" i="4"/>
  <c r="AA108" i="4"/>
  <c r="AA105" i="4"/>
  <c r="AA104" i="4"/>
  <c r="AA103" i="4"/>
  <c r="AA102" i="4"/>
  <c r="AA101" i="4"/>
  <c r="AA100" i="4"/>
  <c r="AA99" i="4"/>
  <c r="AA98" i="4"/>
  <c r="AA97" i="4"/>
  <c r="AA96" i="4"/>
  <c r="AA95" i="4"/>
  <c r="AA106" i="4" s="1"/>
  <c r="Z118" i="4"/>
  <c r="Z117" i="4"/>
  <c r="Z116" i="4"/>
  <c r="Z115" i="4"/>
  <c r="Z114" i="4"/>
  <c r="Z113" i="4"/>
  <c r="Z112" i="4"/>
  <c r="Z111" i="4"/>
  <c r="Z110" i="4"/>
  <c r="Z109" i="4"/>
  <c r="Z108" i="4"/>
  <c r="Z105" i="4"/>
  <c r="Z104" i="4"/>
  <c r="Z103" i="4"/>
  <c r="Z102" i="4"/>
  <c r="Z101" i="4"/>
  <c r="Z100" i="4"/>
  <c r="Z99" i="4"/>
  <c r="Z98" i="4"/>
  <c r="Z97" i="4"/>
  <c r="Z96" i="4"/>
  <c r="Z95" i="4"/>
  <c r="Y118" i="4"/>
  <c r="Y117" i="4"/>
  <c r="Y116" i="4"/>
  <c r="Y115" i="4"/>
  <c r="Y114" i="4"/>
  <c r="Y113" i="4"/>
  <c r="Y112" i="4"/>
  <c r="Y111" i="4"/>
  <c r="Y110" i="4"/>
  <c r="Y109" i="4"/>
  <c r="Y108" i="4"/>
  <c r="Y105" i="4"/>
  <c r="Y104" i="4"/>
  <c r="Y103" i="4"/>
  <c r="Y102" i="4"/>
  <c r="Y101" i="4"/>
  <c r="Y100" i="4"/>
  <c r="Y99" i="4"/>
  <c r="Y98" i="4"/>
  <c r="Y97" i="4"/>
  <c r="Y96" i="4"/>
  <c r="Y95" i="4"/>
  <c r="G49" i="4"/>
  <c r="S103" i="4"/>
  <c r="S116" i="4"/>
  <c r="S115" i="4"/>
  <c r="S114" i="4"/>
  <c r="I146" i="4"/>
  <c r="H146" i="4"/>
  <c r="G146" i="4"/>
  <c r="F146" i="4"/>
  <c r="AB72" i="4"/>
  <c r="H73" i="4" s="1"/>
  <c r="AA72" i="4"/>
  <c r="Z72" i="4"/>
  <c r="F73" i="4" s="1"/>
  <c r="Y72" i="4"/>
  <c r="E73" i="4" s="1"/>
  <c r="M6" i="2"/>
  <c r="N6" i="2"/>
  <c r="Q6" i="2"/>
  <c r="R6" i="2"/>
  <c r="F6" i="2"/>
  <c r="M7" i="2"/>
  <c r="N7" i="2"/>
  <c r="R7" i="2"/>
  <c r="F7" i="2" s="1"/>
  <c r="T7" i="2"/>
  <c r="G7" i="2"/>
  <c r="R15" i="2"/>
  <c r="T15" i="2"/>
  <c r="R16" i="2"/>
  <c r="T16" i="2"/>
  <c r="G16" i="2"/>
  <c r="R17" i="2"/>
  <c r="T17" i="2"/>
  <c r="R18" i="2"/>
  <c r="T18" i="2"/>
  <c r="R19" i="2"/>
  <c r="T19" i="2"/>
  <c r="R20" i="2"/>
  <c r="T20" i="2"/>
  <c r="G20" i="2"/>
  <c r="R21" i="2"/>
  <c r="T21" i="2"/>
  <c r="G21" i="2"/>
  <c r="R24" i="2"/>
  <c r="T24" i="2"/>
  <c r="G24" i="2"/>
  <c r="M25" i="2"/>
  <c r="R25" i="2"/>
  <c r="F25" i="2" s="1"/>
  <c r="T25" i="2"/>
  <c r="G25" i="2"/>
  <c r="M26" i="2"/>
  <c r="R26" i="2"/>
  <c r="F26" i="2"/>
  <c r="M27" i="2"/>
  <c r="R27" i="2"/>
  <c r="F27" i="2" s="1"/>
  <c r="H184" i="4" s="1"/>
  <c r="T27" i="2"/>
  <c r="G27" i="2"/>
  <c r="M28" i="2"/>
  <c r="Q28" i="2"/>
  <c r="R28" i="2"/>
  <c r="M29" i="2"/>
  <c r="Q29" i="2"/>
  <c r="R29" i="2"/>
  <c r="R30" i="2"/>
  <c r="F30" i="2"/>
  <c r="T30" i="2"/>
  <c r="G30" i="2"/>
  <c r="M31" i="2"/>
  <c r="R31" i="2"/>
  <c r="F31" i="2"/>
  <c r="M32" i="2"/>
  <c r="R32" i="2"/>
  <c r="F32" i="2" s="1"/>
  <c r="H190" i="4" s="1"/>
  <c r="T32" i="2"/>
  <c r="G32" i="2"/>
  <c r="M33" i="2"/>
  <c r="R33" i="2"/>
  <c r="M34" i="2"/>
  <c r="Q34" i="2"/>
  <c r="R34" i="2"/>
  <c r="T34" i="2"/>
  <c r="G34" i="2"/>
  <c r="M35" i="2"/>
  <c r="Q35" i="2"/>
  <c r="R35" i="2"/>
  <c r="T35" i="2"/>
  <c r="G35" i="2"/>
  <c r="M57" i="2"/>
  <c r="Q57" i="2"/>
  <c r="S57" i="2"/>
  <c r="P58" i="2"/>
  <c r="Q58" i="2"/>
  <c r="R58" i="2"/>
  <c r="S58" i="2"/>
  <c r="P59" i="2"/>
  <c r="H59" i="2"/>
  <c r="Q59" i="2"/>
  <c r="I59" i="2" s="1"/>
  <c r="R59" i="2"/>
  <c r="G59" i="2"/>
  <c r="S59" i="2"/>
  <c r="J59" i="2"/>
  <c r="Y28" i="4"/>
  <c r="Z28" i="4" s="1"/>
  <c r="Y29" i="4"/>
  <c r="Z29" i="4" s="1"/>
  <c r="G30" i="4"/>
  <c r="H30" i="4"/>
  <c r="G31" i="4"/>
  <c r="H31" i="4"/>
  <c r="I36" i="4"/>
  <c r="J36" i="4" s="1"/>
  <c r="Y36" i="4"/>
  <c r="Z36" i="4"/>
  <c r="AA36" i="4"/>
  <c r="AB36" i="4"/>
  <c r="Y37" i="4"/>
  <c r="AA37" i="4"/>
  <c r="AB37" i="4"/>
  <c r="AC37" i="4"/>
  <c r="G50" i="4" s="1"/>
  <c r="I38" i="4"/>
  <c r="J38" i="4" s="1"/>
  <c r="Y38" i="4"/>
  <c r="Z38" i="4"/>
  <c r="AA38" i="4"/>
  <c r="AB38" i="4"/>
  <c r="AC38" i="4"/>
  <c r="I39" i="4"/>
  <c r="J39" i="4" s="1"/>
  <c r="Y39" i="4"/>
  <c r="Z39" i="4"/>
  <c r="AA39" i="4"/>
  <c r="AB39" i="4"/>
  <c r="AC39" i="4"/>
  <c r="F52" i="4" s="1"/>
  <c r="I40" i="4"/>
  <c r="J40" i="4" s="1"/>
  <c r="Y40" i="4"/>
  <c r="Z40" i="4"/>
  <c r="AA40" i="4"/>
  <c r="AB40" i="4"/>
  <c r="AC40" i="4"/>
  <c r="I41" i="4"/>
  <c r="J41" i="4" s="1"/>
  <c r="Y41" i="4"/>
  <c r="Z41" i="4"/>
  <c r="AA41" i="4"/>
  <c r="AB41" i="4"/>
  <c r="AC41" i="4"/>
  <c r="H52" i="4" s="1"/>
  <c r="I42" i="4"/>
  <c r="J42" i="4" s="1"/>
  <c r="Y42" i="4"/>
  <c r="Z42" i="4"/>
  <c r="AA42" i="4"/>
  <c r="AB42" i="4"/>
  <c r="I43" i="4"/>
  <c r="J43" i="4" s="1"/>
  <c r="Y43" i="4"/>
  <c r="Z43" i="4"/>
  <c r="AA43" i="4"/>
  <c r="AB43" i="4"/>
  <c r="I44" i="4"/>
  <c r="J44" i="4"/>
  <c r="Y44" i="4"/>
  <c r="Z44" i="4"/>
  <c r="AA44" i="4"/>
  <c r="AB44" i="4"/>
  <c r="I45" i="4"/>
  <c r="J45" i="4" s="1"/>
  <c r="Y45" i="4"/>
  <c r="Z45" i="4"/>
  <c r="AA45" i="4"/>
  <c r="AB45" i="4"/>
  <c r="F49" i="4"/>
  <c r="E51" i="4"/>
  <c r="F51" i="4"/>
  <c r="G51" i="4"/>
  <c r="H51" i="4"/>
  <c r="E52" i="4"/>
  <c r="G52" i="4"/>
  <c r="I57" i="4"/>
  <c r="J57" i="4" s="1"/>
  <c r="Y57" i="4"/>
  <c r="Z57" i="4"/>
  <c r="AA57" i="4"/>
  <c r="AB57" i="4"/>
  <c r="I58" i="4"/>
  <c r="J58" i="4" s="1"/>
  <c r="Y58" i="4"/>
  <c r="Z58" i="4"/>
  <c r="AA58" i="4"/>
  <c r="AB58" i="4"/>
  <c r="I59" i="4"/>
  <c r="J59" i="4" s="1"/>
  <c r="Y59" i="4"/>
  <c r="Z59" i="4"/>
  <c r="AA59" i="4"/>
  <c r="AB59" i="4"/>
  <c r="I60" i="4"/>
  <c r="J60" i="4" s="1"/>
  <c r="Y60" i="4"/>
  <c r="Z60" i="4"/>
  <c r="AA60" i="4"/>
  <c r="AB60" i="4"/>
  <c r="I61" i="4"/>
  <c r="J61" i="4" s="1"/>
  <c r="Y61" i="4"/>
  <c r="Z61" i="4"/>
  <c r="AA61" i="4"/>
  <c r="AB61" i="4"/>
  <c r="I62" i="4"/>
  <c r="J62" i="4" s="1"/>
  <c r="Y62" i="4"/>
  <c r="Z62" i="4"/>
  <c r="AA62" i="4"/>
  <c r="AB62" i="4"/>
  <c r="I63" i="4"/>
  <c r="J63" i="4" s="1"/>
  <c r="Y63" i="4"/>
  <c r="Z63" i="4"/>
  <c r="AA63" i="4"/>
  <c r="AB63" i="4"/>
  <c r="I64" i="4"/>
  <c r="J64" i="4" s="1"/>
  <c r="Y64" i="4"/>
  <c r="Z64" i="4"/>
  <c r="AA64" i="4"/>
  <c r="AB64" i="4"/>
  <c r="I65" i="4"/>
  <c r="J65" i="4" s="1"/>
  <c r="Y65" i="4"/>
  <c r="Z65" i="4"/>
  <c r="AA65" i="4"/>
  <c r="AB65" i="4"/>
  <c r="I66" i="4"/>
  <c r="J66" i="4" s="1"/>
  <c r="Y66" i="4"/>
  <c r="Z66" i="4"/>
  <c r="AA66" i="4"/>
  <c r="AB66" i="4"/>
  <c r="I67" i="4"/>
  <c r="J67" i="4" s="1"/>
  <c r="Y67" i="4"/>
  <c r="Z67" i="4"/>
  <c r="AA67" i="4"/>
  <c r="AB67" i="4"/>
  <c r="I68" i="4"/>
  <c r="J68" i="4" s="1"/>
  <c r="Y68" i="4"/>
  <c r="Z68" i="4"/>
  <c r="AA68" i="4"/>
  <c r="AB68" i="4"/>
  <c r="AB70" i="4"/>
  <c r="Y73" i="4"/>
  <c r="AA73" i="4" s="1"/>
  <c r="Z73" i="4"/>
  <c r="G79" i="4"/>
  <c r="H79" i="4" s="1"/>
  <c r="G80" i="4"/>
  <c r="H80" i="4" s="1"/>
  <c r="I82" i="4"/>
  <c r="J82" i="4" s="1"/>
  <c r="F95" i="4"/>
  <c r="K95" i="4"/>
  <c r="Q95" i="4"/>
  <c r="F96" i="4"/>
  <c r="K96" i="4"/>
  <c r="Q96" i="4"/>
  <c r="F97" i="4"/>
  <c r="K97" i="4"/>
  <c r="Q97" i="4"/>
  <c r="F98" i="4"/>
  <c r="K98" i="4"/>
  <c r="Q98" i="4"/>
  <c r="F99" i="4"/>
  <c r="K99" i="4"/>
  <c r="Q99" i="4"/>
  <c r="F100" i="4"/>
  <c r="K100" i="4"/>
  <c r="Q100" i="4"/>
  <c r="F101" i="4"/>
  <c r="K101" i="4"/>
  <c r="Q101" i="4"/>
  <c r="F102" i="4"/>
  <c r="K102" i="4"/>
  <c r="Q102" i="4"/>
  <c r="F103" i="4"/>
  <c r="K103" i="4"/>
  <c r="Q103" i="4"/>
  <c r="F104" i="4"/>
  <c r="K104" i="4"/>
  <c r="Q104" i="4"/>
  <c r="F105" i="4"/>
  <c r="K105" i="4"/>
  <c r="Q105" i="4"/>
  <c r="F108" i="4"/>
  <c r="K108" i="4"/>
  <c r="Q108" i="4"/>
  <c r="F109" i="4"/>
  <c r="K109" i="4"/>
  <c r="Q109" i="4"/>
  <c r="F110" i="4"/>
  <c r="K110" i="4"/>
  <c r="Q110" i="4"/>
  <c r="F111" i="4"/>
  <c r="K111" i="4"/>
  <c r="Q111" i="4"/>
  <c r="F112" i="4"/>
  <c r="K112" i="4"/>
  <c r="Q112" i="4"/>
  <c r="F113" i="4"/>
  <c r="K113" i="4"/>
  <c r="Q113" i="4"/>
  <c r="F114" i="4"/>
  <c r="K114" i="4"/>
  <c r="Q114" i="4"/>
  <c r="F115" i="4"/>
  <c r="K115" i="4"/>
  <c r="Q115" i="4"/>
  <c r="F116" i="4"/>
  <c r="K116" i="4"/>
  <c r="Q116" i="4"/>
  <c r="F117" i="4"/>
  <c r="K117" i="4"/>
  <c r="Q117" i="4"/>
  <c r="F118" i="4"/>
  <c r="K118" i="4"/>
  <c r="Q118" i="4"/>
  <c r="C123" i="4"/>
  <c r="E123" i="4" s="1"/>
  <c r="C124" i="4"/>
  <c r="D133" i="4"/>
  <c r="D143" i="4"/>
  <c r="E143" i="4"/>
  <c r="D144" i="4"/>
  <c r="E144" i="4"/>
  <c r="D145" i="4"/>
  <c r="E145" i="4"/>
  <c r="F147" i="4"/>
  <c r="G147" i="4"/>
  <c r="H147" i="4"/>
  <c r="I147" i="4"/>
  <c r="F148" i="4"/>
  <c r="G148" i="4"/>
  <c r="H148" i="4"/>
  <c r="I148" i="4"/>
  <c r="D152" i="4"/>
  <c r="E152" i="4"/>
  <c r="F152" i="4"/>
  <c r="G152" i="4"/>
  <c r="D153" i="4"/>
  <c r="E153" i="4"/>
  <c r="F153" i="4"/>
  <c r="G153" i="4"/>
  <c r="D154" i="4"/>
  <c r="E154" i="4"/>
  <c r="F154" i="4"/>
  <c r="G154" i="4"/>
  <c r="D158" i="4"/>
  <c r="E158" i="4"/>
  <c r="F158" i="4"/>
  <c r="G158" i="4"/>
  <c r="H158" i="4"/>
  <c r="I158" i="4"/>
  <c r="D159" i="4"/>
  <c r="E159" i="4"/>
  <c r="F159" i="4"/>
  <c r="G159" i="4"/>
  <c r="H159" i="4"/>
  <c r="I159" i="4"/>
  <c r="D160" i="4"/>
  <c r="E160" i="4"/>
  <c r="F160" i="4"/>
  <c r="G160" i="4"/>
  <c r="H160" i="4"/>
  <c r="I160" i="4"/>
  <c r="D164" i="4"/>
  <c r="E164" i="4"/>
  <c r="H165" i="4"/>
  <c r="G166" i="4"/>
  <c r="D167" i="4"/>
  <c r="E167" i="4"/>
  <c r="D169" i="4"/>
  <c r="E169" i="4"/>
  <c r="G169" i="4"/>
  <c r="H169" i="4"/>
  <c r="D170" i="4"/>
  <c r="E170" i="4"/>
  <c r="G170" i="4"/>
  <c r="H170" i="4"/>
  <c r="G171" i="4"/>
  <c r="H171" i="4"/>
  <c r="G172" i="4"/>
  <c r="H172" i="4"/>
  <c r="G173" i="4"/>
  <c r="D175" i="4"/>
  <c r="E175" i="4"/>
  <c r="G175" i="4"/>
  <c r="H175" i="4"/>
  <c r="D176" i="4"/>
  <c r="E176" i="4"/>
  <c r="G176" i="4"/>
  <c r="H176" i="4"/>
  <c r="G177" i="4"/>
  <c r="H177" i="4"/>
  <c r="G178" i="4"/>
  <c r="G179" i="4"/>
  <c r="G181" i="4"/>
  <c r="G182" i="4"/>
  <c r="H183" i="4"/>
  <c r="G184" i="4"/>
  <c r="G188" i="4"/>
  <c r="H188" i="4"/>
  <c r="H189" i="4"/>
  <c r="G190" i="4"/>
  <c r="G192" i="4"/>
  <c r="G193" i="4"/>
  <c r="D194" i="4"/>
  <c r="E194" i="4"/>
  <c r="D195" i="4"/>
  <c r="E195" i="4"/>
  <c r="D196" i="4"/>
  <c r="E196" i="4"/>
  <c r="D198" i="4"/>
  <c r="E198" i="4"/>
  <c r="G198" i="4"/>
  <c r="D199" i="4"/>
  <c r="D201" i="4"/>
  <c r="E201" i="4"/>
  <c r="G201" i="4"/>
  <c r="D202" i="4"/>
  <c r="D204" i="4"/>
  <c r="E204" i="4"/>
  <c r="G204" i="4"/>
  <c r="D205" i="4"/>
  <c r="F35" i="2"/>
  <c r="H193" i="4"/>
  <c r="F34" i="2"/>
  <c r="F33" i="2"/>
  <c r="H191" i="4"/>
  <c r="T33" i="2"/>
  <c r="G33" i="2"/>
  <c r="G191" i="4"/>
  <c r="P57" i="2"/>
  <c r="R57" i="2"/>
  <c r="F29" i="2"/>
  <c r="H186" i="4"/>
  <c r="T29" i="2"/>
  <c r="G29" i="2"/>
  <c r="G186" i="4"/>
  <c r="F28" i="2"/>
  <c r="H185" i="4"/>
  <c r="T28" i="2"/>
  <c r="G28" i="2"/>
  <c r="G185" i="4"/>
  <c r="P7" i="2"/>
  <c r="D7" i="2"/>
  <c r="E7" i="2"/>
  <c r="N17" i="2"/>
  <c r="P17" i="2"/>
  <c r="N18" i="2"/>
  <c r="P18" i="2"/>
  <c r="N19" i="2"/>
  <c r="N20" i="2"/>
  <c r="N21" i="2"/>
  <c r="P6" i="2"/>
  <c r="D6" i="2"/>
  <c r="E6" i="2"/>
  <c r="N12" i="2"/>
  <c r="P12" i="2"/>
  <c r="N13" i="2"/>
  <c r="P13" i="2"/>
  <c r="N14" i="2"/>
  <c r="N15" i="2"/>
  <c r="N16" i="2"/>
  <c r="F24" i="2"/>
  <c r="H181" i="4"/>
  <c r="F21" i="2"/>
  <c r="F20" i="2"/>
  <c r="H178" i="4"/>
  <c r="F16" i="2"/>
  <c r="H173" i="4"/>
  <c r="R14" i="2"/>
  <c r="T14" i="2"/>
  <c r="R13" i="2"/>
  <c r="T13" i="2"/>
  <c r="R12" i="2"/>
  <c r="T12" i="2"/>
  <c r="T6" i="2"/>
  <c r="G6" i="2"/>
  <c r="T31" i="2"/>
  <c r="G31" i="2"/>
  <c r="G189" i="4"/>
  <c r="T26" i="2"/>
  <c r="G26" i="2"/>
  <c r="G183" i="4"/>
  <c r="H179" i="4"/>
  <c r="E16" i="2"/>
  <c r="E173" i="4"/>
  <c r="P16" i="2"/>
  <c r="D16" i="2"/>
  <c r="D173" i="4"/>
  <c r="N25" i="2"/>
  <c r="N27" i="2"/>
  <c r="N24" i="2"/>
  <c r="N26" i="2"/>
  <c r="N28" i="2"/>
  <c r="N29" i="2"/>
  <c r="E14" i="2"/>
  <c r="E171" i="4"/>
  <c r="P14" i="2"/>
  <c r="D14" i="2"/>
  <c r="D171" i="4"/>
  <c r="D128" i="4"/>
  <c r="D165" i="4"/>
  <c r="E178" i="4"/>
  <c r="P20" i="2"/>
  <c r="D178" i="4"/>
  <c r="F136" i="4"/>
  <c r="H136" i="4"/>
  <c r="G136" i="4"/>
  <c r="I136" i="4"/>
  <c r="E166" i="4"/>
  <c r="H192" i="4"/>
  <c r="D129" i="4"/>
  <c r="G165" i="4"/>
  <c r="E15" i="2"/>
  <c r="E172" i="4"/>
  <c r="P15" i="2"/>
  <c r="D15" i="2"/>
  <c r="D172" i="4"/>
  <c r="D130" i="4"/>
  <c r="D131" i="4"/>
  <c r="E130" i="4"/>
  <c r="E131" i="4"/>
  <c r="E165" i="4"/>
  <c r="E179" i="4"/>
  <c r="P21" i="2"/>
  <c r="D179" i="4"/>
  <c r="N30" i="2"/>
  <c r="N32" i="2"/>
  <c r="N34" i="2"/>
  <c r="N35" i="2"/>
  <c r="N31" i="2"/>
  <c r="N33" i="2"/>
  <c r="E177" i="4"/>
  <c r="P19" i="2"/>
  <c r="D177" i="4"/>
  <c r="F128" i="4"/>
  <c r="D166" i="4"/>
  <c r="P33" i="2"/>
  <c r="D33" i="2"/>
  <c r="D191" i="4"/>
  <c r="E33" i="2"/>
  <c r="E191" i="4"/>
  <c r="E35" i="2"/>
  <c r="E193" i="4"/>
  <c r="P35" i="2"/>
  <c r="D35" i="2"/>
  <c r="D193" i="4"/>
  <c r="E32" i="2"/>
  <c r="E190" i="4"/>
  <c r="P32" i="2"/>
  <c r="D32" i="2"/>
  <c r="D190" i="4"/>
  <c r="D134" i="4"/>
  <c r="E129" i="4"/>
  <c r="E133" i="4" s="1"/>
  <c r="E134" i="4"/>
  <c r="P29" i="2"/>
  <c r="D29" i="2"/>
  <c r="D186" i="4"/>
  <c r="E29" i="2"/>
  <c r="E186" i="4"/>
  <c r="P26" i="2"/>
  <c r="D26" i="2"/>
  <c r="D183" i="4"/>
  <c r="E26" i="2"/>
  <c r="E183" i="4"/>
  <c r="E27" i="2"/>
  <c r="E184" i="4"/>
  <c r="P27" i="2"/>
  <c r="D27" i="2"/>
  <c r="D184" i="4"/>
  <c r="H128" i="4"/>
  <c r="H137" i="4" s="1"/>
  <c r="F137" i="4"/>
  <c r="G128" i="4"/>
  <c r="G137" i="4" s="1"/>
  <c r="I128" i="4"/>
  <c r="I137" i="4" s="1"/>
  <c r="P31" i="2"/>
  <c r="D31" i="2"/>
  <c r="D189" i="4"/>
  <c r="E31" i="2"/>
  <c r="E189" i="4"/>
  <c r="E34" i="2"/>
  <c r="P34" i="2"/>
  <c r="D34" i="2"/>
  <c r="E30" i="2"/>
  <c r="E188" i="4"/>
  <c r="P30" i="2"/>
  <c r="D30" i="2"/>
  <c r="D188" i="4"/>
  <c r="D132" i="4"/>
  <c r="E128" i="4"/>
  <c r="E132" i="4" s="1"/>
  <c r="P28" i="2"/>
  <c r="D28" i="2"/>
  <c r="D185" i="4"/>
  <c r="E28" i="2"/>
  <c r="E185" i="4"/>
  <c r="E24" i="2"/>
  <c r="E181" i="4"/>
  <c r="P24" i="2"/>
  <c r="D24" i="2"/>
  <c r="D181" i="4"/>
  <c r="E25" i="2"/>
  <c r="E182" i="4"/>
  <c r="P25" i="2"/>
  <c r="D25" i="2"/>
  <c r="D182" i="4"/>
  <c r="R61" i="2"/>
  <c r="D192" i="4"/>
  <c r="P61" i="2"/>
  <c r="E192" i="4"/>
  <c r="G73" i="4"/>
  <c r="S113" i="4"/>
  <c r="H182" i="4" l="1"/>
  <c r="S61" i="2"/>
  <c r="Q61" i="2"/>
  <c r="F129" i="4"/>
  <c r="F138" i="4"/>
  <c r="H138" i="4"/>
  <c r="H166" i="4"/>
  <c r="F135" i="4"/>
  <c r="H135" i="4"/>
  <c r="G135" i="4"/>
  <c r="I135" i="4"/>
  <c r="I129" i="4"/>
  <c r="G138" i="4"/>
  <c r="Y119" i="4"/>
  <c r="AA119" i="4"/>
  <c r="AA120" i="4" s="1"/>
  <c r="AA121" i="4" s="1"/>
  <c r="V102" i="4" s="1"/>
  <c r="Y106" i="4"/>
  <c r="Z106" i="4"/>
  <c r="AB71" i="4"/>
  <c r="F72" i="4"/>
  <c r="Z119" i="4"/>
  <c r="D123" i="4"/>
  <c r="AB73" i="4"/>
  <c r="G72" i="4" s="1"/>
  <c r="H129" i="4" l="1"/>
  <c r="H139" i="4" s="1"/>
  <c r="G129" i="4"/>
  <c r="G139" i="4" s="1"/>
  <c r="F139" i="4"/>
  <c r="I139" i="4"/>
  <c r="I138" i="4"/>
  <c r="Y120" i="4"/>
  <c r="U95" i="4" s="1"/>
  <c r="Z120" i="4"/>
  <c r="Z121" i="4" s="1"/>
  <c r="U102" i="4"/>
  <c r="T102" i="4"/>
  <c r="Y121" i="4"/>
  <c r="T96" i="4" s="1"/>
  <c r="U98" i="4"/>
  <c r="S104" i="4" l="1"/>
  <c r="U96" i="4"/>
  <c r="V96" i="4"/>
  <c r="S105" i="4"/>
  <c r="U99" i="4"/>
  <c r="T99" i="4"/>
  <c r="V99" i="4"/>
  <c r="AB47" i="4"/>
  <c r="Z37" i="4"/>
  <c r="AC36" i="4"/>
  <c r="F50" i="4" s="1"/>
  <c r="I37" i="4"/>
  <c r="J37" i="4"/>
  <c r="AB48" i="4"/>
</calcChain>
</file>

<file path=xl/sharedStrings.xml><?xml version="1.0" encoding="utf-8"?>
<sst xmlns="http://schemas.openxmlformats.org/spreadsheetml/2006/main" count="840" uniqueCount="383">
  <si>
    <t>Basic Capablities</t>
  </si>
  <si>
    <t>10BaseT</t>
  </si>
  <si>
    <t>100BaseTx</t>
  </si>
  <si>
    <t>1000BaseT</t>
  </si>
  <si>
    <t>Full Duplex</t>
  </si>
  <si>
    <t>Half Duplex</t>
  </si>
  <si>
    <t>MDI Connection</t>
  </si>
  <si>
    <t>MDI-X Connection</t>
  </si>
  <si>
    <t>Auto-Negotiation</t>
  </si>
  <si>
    <t>AUTO-NEG</t>
  </si>
  <si>
    <t>ACKS</t>
  </si>
  <si>
    <t>100BaseTX</t>
  </si>
  <si>
    <t>100BaseT4</t>
  </si>
  <si>
    <t>Pause</t>
  </si>
  <si>
    <t>Link_OK</t>
  </si>
  <si>
    <t>Rx_OK</t>
  </si>
  <si>
    <t>MDI/MDI-X</t>
  </si>
  <si>
    <t>Gig Mode</t>
  </si>
  <si>
    <t>Link Integrity</t>
  </si>
  <si>
    <t>Rx Power Level</t>
  </si>
  <si>
    <t>Link Rate</t>
  </si>
  <si>
    <t>Pair 1</t>
  </si>
  <si>
    <t>Pair 2</t>
  </si>
  <si>
    <t>Pair 3</t>
  </si>
  <si>
    <t>Pair 4</t>
  </si>
  <si>
    <t>Units</t>
  </si>
  <si>
    <t>dB</t>
  </si>
  <si>
    <t>dBVnom</t>
  </si>
  <si>
    <t>Signal Quality (SNR)</t>
  </si>
  <si>
    <t>Average</t>
  </si>
  <si>
    <t>Min SNR</t>
  </si>
  <si>
    <t>Low Frequency PSD</t>
  </si>
  <si>
    <t>Frequency</t>
  </si>
  <si>
    <t>Pair 1 PSD</t>
  </si>
  <si>
    <t>Pair 2 PSD</t>
  </si>
  <si>
    <t>Pair 3 PSD</t>
  </si>
  <si>
    <t>Pair 4 PSD</t>
  </si>
  <si>
    <t xml:space="preserve">Average </t>
  </si>
  <si>
    <t>Min PSD</t>
  </si>
  <si>
    <t>MHz</t>
  </si>
  <si>
    <t>Wide Band PSD</t>
  </si>
  <si>
    <t xml:space="preserve">Skew, Echo, Xtalk </t>
  </si>
  <si>
    <t>(1000BaseT Interfaces)</t>
  </si>
  <si>
    <t>Time Skew</t>
  </si>
  <si>
    <t>Return Loss</t>
  </si>
  <si>
    <t>Crosstalk</t>
  </si>
  <si>
    <t>Maximim</t>
  </si>
  <si>
    <t>nsec</t>
  </si>
  <si>
    <t>Yellow Limit</t>
  </si>
  <si>
    <t>Red Limit</t>
  </si>
  <si>
    <t>Red Region</t>
  </si>
  <si>
    <t>Yellow Region</t>
  </si>
  <si>
    <t>Green Region</t>
  </si>
  <si>
    <t>1000 Pair 1</t>
  </si>
  <si>
    <t>1000 Pair 2</t>
  </si>
  <si>
    <t>1000 Pair 3</t>
  </si>
  <si>
    <t>1000 Pair 4</t>
  </si>
  <si>
    <t>100  Pair 2</t>
  </si>
  <si>
    <t>100  Pair 3</t>
  </si>
  <si>
    <t>RETURN LOSS WORKSPACE</t>
  </si>
  <si>
    <t>CROSSTALK WORKSPACE</t>
  </si>
  <si>
    <t>Pairs 1-2</t>
  </si>
  <si>
    <t>Pairs 1-3</t>
  </si>
  <si>
    <t>Pairs 1-4</t>
  </si>
  <si>
    <t>Pairs 2-3</t>
  </si>
  <si>
    <t>Pairs 2-4</t>
  </si>
  <si>
    <t>Pairs 3-4</t>
  </si>
  <si>
    <t>ppm</t>
  </si>
  <si>
    <t>Limited</t>
  </si>
  <si>
    <t>Good</t>
  </si>
  <si>
    <t>Excellent</t>
  </si>
  <si>
    <t>&lt;</t>
  </si>
  <si>
    <t>Counts</t>
  </si>
  <si>
    <t>20 KHz</t>
  </si>
  <si>
    <t>80 KHz</t>
  </si>
  <si>
    <t>330 KHz</t>
  </si>
  <si>
    <t>1 MHz</t>
  </si>
  <si>
    <t>2 MHz</t>
  </si>
  <si>
    <t>16 MHz</t>
  </si>
  <si>
    <t>100 MHz</t>
  </si>
  <si>
    <t>4 MHz</t>
  </si>
  <si>
    <t>1000BaseT Skew</t>
  </si>
  <si>
    <t>Bulk Return Loss</t>
  </si>
  <si>
    <t>Bulk Crosstalk</t>
  </si>
  <si>
    <t>Limits Cross-Reference</t>
  </si>
  <si>
    <t>AUTO-NEG WORKSPACE</t>
  </si>
  <si>
    <t>1000Base?</t>
  </si>
  <si>
    <t>100Base?</t>
  </si>
  <si>
    <t>Master</t>
  </si>
  <si>
    <t>Slave</t>
  </si>
  <si>
    <t xml:space="preserve">Date </t>
  </si>
  <si>
    <t xml:space="preserve">Time </t>
  </si>
  <si>
    <t xml:space="preserve">DUT Type </t>
  </si>
  <si>
    <t xml:space="preserve">Test Port </t>
  </si>
  <si>
    <t>PSD Workspace - Do Not Edit !</t>
  </si>
  <si>
    <t>Report Version</t>
  </si>
  <si>
    <t>dB(40mV)</t>
  </si>
  <si>
    <t>dB(1.4ns)</t>
  </si>
  <si>
    <t xml:space="preserve">Report Ver: </t>
  </si>
  <si>
    <t>High Red</t>
  </si>
  <si>
    <t>High Yellow</t>
  </si>
  <si>
    <t>31 MHz</t>
  </si>
  <si>
    <t>55 MHz</t>
  </si>
  <si>
    <t>76 MHz</t>
  </si>
  <si>
    <t>Upper Red</t>
  </si>
  <si>
    <t>Upper Yellow</t>
  </si>
  <si>
    <t>100BaseT Low</t>
  </si>
  <si>
    <t>1000BaseT Low</t>
  </si>
  <si>
    <t>Rx Power Level (100)</t>
  </si>
  <si>
    <t>Rx Power Level (1000)</t>
  </si>
  <si>
    <t>Rx Power Workspace - Do Not Edit!</t>
  </si>
  <si>
    <t>Low Lim</t>
  </si>
  <si>
    <t>High Lim</t>
  </si>
  <si>
    <t>Neg Gr-Org</t>
  </si>
  <si>
    <t>Neg Or-Red</t>
  </si>
  <si>
    <t>Pos Gr-Org</t>
  </si>
  <si>
    <t>Pos Or-Red</t>
  </si>
  <si>
    <t>Tx Power Level</t>
  </si>
  <si>
    <t>N/A</t>
  </si>
  <si>
    <t>Zero</t>
  </si>
  <si>
    <t>Limit Workspace</t>
  </si>
  <si>
    <t>20 KHz (100BaseT)</t>
  </si>
  <si>
    <t>80 KHz (100BaseT)</t>
  </si>
  <si>
    <t>330 KHz (100BaseT)</t>
  </si>
  <si>
    <t>1 MHz (100BaseT)</t>
  </si>
  <si>
    <t>2 MHz (100BaseT)</t>
  </si>
  <si>
    <t>20 KHz (1000BaseT)</t>
  </si>
  <si>
    <t>80 KHz (1000BaseT)</t>
  </si>
  <si>
    <t>330 KHz (1000BaseT)</t>
  </si>
  <si>
    <t>1 MHz (1000BaseT)</t>
  </si>
  <si>
    <t>2 MHz (1000BaseT)</t>
  </si>
  <si>
    <t>4 MHz (100BaseT)</t>
  </si>
  <si>
    <t>16 MHz (100BaseT)</t>
  </si>
  <si>
    <t>31 MHz (100BaseT)</t>
  </si>
  <si>
    <t>55 MHz (100BaseT)</t>
  </si>
  <si>
    <t>76 MHz (100BaseT)</t>
  </si>
  <si>
    <t>100 MHz (100BaseT)</t>
  </si>
  <si>
    <t>PVA Error</t>
  </si>
  <si>
    <t>RX POWER PLOT WORKSPACE</t>
  </si>
  <si>
    <t>SNR PLOT WORKSPACE</t>
  </si>
  <si>
    <t>Low Frequency PSD - 100BaseT</t>
  </si>
  <si>
    <t>Low Frequency PSD - 1000BaseT</t>
  </si>
  <si>
    <t>Wide Band PSD - 100BaseT</t>
  </si>
  <si>
    <t>Wide Band PSD - 1000BaseT</t>
  </si>
  <si>
    <t>Receiver Tests</t>
  </si>
  <si>
    <t>Transmitter &amp; Interface Tests</t>
  </si>
  <si>
    <t>10Base-T</t>
  </si>
  <si>
    <t>Summary</t>
  </si>
  <si>
    <t>Score</t>
  </si>
  <si>
    <t xml:space="preserve"> </t>
  </si>
  <si>
    <t>1000Base-T</t>
  </si>
  <si>
    <t>-2.7dB</t>
  </si>
  <si>
    <t>-1.9dB</t>
  </si>
  <si>
    <t>SNR1</t>
  </si>
  <si>
    <t>SNR2</t>
  </si>
  <si>
    <t>SNR3</t>
  </si>
  <si>
    <t>SNR4</t>
  </si>
  <si>
    <t>100 Base-TX</t>
  </si>
  <si>
    <t xml:space="preserve">1000 Base-T </t>
  </si>
  <si>
    <t>SNR dB</t>
  </si>
  <si>
    <t>Local Rx Health (Lowest Pair)</t>
  </si>
  <si>
    <t>100BaseT</t>
  </si>
  <si>
    <t>Packet Rx %</t>
  </si>
  <si>
    <t>Link_Check</t>
  </si>
  <si>
    <t>Packet %</t>
  </si>
  <si>
    <t>DOWN</t>
  </si>
  <si>
    <t>=</t>
  </si>
  <si>
    <t>Link Monitor / Packet Rx %</t>
  </si>
  <si>
    <t>%</t>
  </si>
  <si>
    <t>10BaseT Rx Performance</t>
  </si>
  <si>
    <t>100BaseT Rx Performance</t>
  </si>
  <si>
    <t>1000BaseT Rx Performance</t>
  </si>
  <si>
    <t xml:space="preserve">   Packet Count</t>
  </si>
  <si>
    <t xml:space="preserve">   Link Check</t>
  </si>
  <si>
    <t xml:space="preserve">   Link_Mon / Packet Count</t>
  </si>
  <si>
    <t>dB &amp; dB</t>
  </si>
  <si>
    <t>ppm &amp; dB</t>
  </si>
  <si>
    <t>Pair 1 Vpp</t>
  </si>
  <si>
    <t>Pair 2 Vpp</t>
  </si>
  <si>
    <t>Pair 3 Vpp</t>
  </si>
  <si>
    <t>Pair 4 Vpp</t>
  </si>
  <si>
    <t>100BaseTX Pk-Pk Voltage</t>
  </si>
  <si>
    <t>1000BaseT Pk-Pk Voltage</t>
  </si>
  <si>
    <t>1000BaseT Mask Fit</t>
  </si>
  <si>
    <t>Estimated Mask Fits</t>
  </si>
  <si>
    <t>Test Signal #1 Mask Fit</t>
  </si>
  <si>
    <t>802.3 Min</t>
  </si>
  <si>
    <t>802.3 Max</t>
  </si>
  <si>
    <t>Yellow Min</t>
  </si>
  <si>
    <t>Red Min</t>
  </si>
  <si>
    <t>Yellow Max</t>
  </si>
  <si>
    <t>Red Max</t>
  </si>
  <si>
    <t>4 MHz (1000BaseT)</t>
  </si>
  <si>
    <t>16 MHz (1000BaseT)</t>
  </si>
  <si>
    <t>31 MHz (1000BaseT)</t>
  </si>
  <si>
    <t>55 MHz (1000BaseT)</t>
  </si>
  <si>
    <t>76 MHz (1000BaseT)</t>
  </si>
  <si>
    <t>UP</t>
  </si>
  <si>
    <t>Correlation</t>
  </si>
  <si>
    <t>Condition_1</t>
  </si>
  <si>
    <t>Condition_2</t>
  </si>
  <si>
    <t>Condition_3</t>
  </si>
  <si>
    <t>Condition_4</t>
  </si>
  <si>
    <t>Condition_5</t>
  </si>
  <si>
    <t>Condition_6</t>
  </si>
  <si>
    <t>Condition_7</t>
  </si>
  <si>
    <t>Condition_8</t>
  </si>
  <si>
    <t>Condition_9</t>
  </si>
  <si>
    <t>Condition_10</t>
  </si>
  <si>
    <t>Condition_11</t>
  </si>
  <si>
    <t>Condition_12</t>
  </si>
  <si>
    <t>Condition_13</t>
  </si>
  <si>
    <t>Condition_14</t>
  </si>
  <si>
    <t>Condition_15</t>
  </si>
  <si>
    <t>Condition_16</t>
  </si>
  <si>
    <t>Condition_17</t>
  </si>
  <si>
    <t>Condition_18</t>
  </si>
  <si>
    <t>Condition_19</t>
  </si>
  <si>
    <t>Condition_20</t>
  </si>
  <si>
    <t>Condition_21</t>
  </si>
  <si>
    <t>Condition_22</t>
  </si>
  <si>
    <t>Term 1</t>
  </si>
  <si>
    <t>Term 2</t>
  </si>
  <si>
    <t>Term 0</t>
  </si>
  <si>
    <t>Estimations</t>
  </si>
  <si>
    <t>Pair 1 Fit</t>
  </si>
  <si>
    <t>Pair 2 Fit</t>
  </si>
  <si>
    <t>Pair 3 Fit</t>
  </si>
  <si>
    <t>Pair 4 Fit</t>
  </si>
  <si>
    <r>
      <t>Rise/Fall Time: 4</t>
    </r>
    <r>
      <rPr>
        <u/>
        <sz val="10"/>
        <rFont val="Arial"/>
        <family val="2"/>
      </rPr>
      <t>+</t>
    </r>
    <r>
      <rPr>
        <sz val="10"/>
        <rFont val="Arial"/>
        <family val="2"/>
      </rPr>
      <t>1 nsec</t>
    </r>
  </si>
  <si>
    <r>
      <t xml:space="preserve">100Base Rise/Fall     </t>
    </r>
    <r>
      <rPr>
        <sz val="10"/>
        <rFont val="Symbol"/>
        <family val="1"/>
        <charset val="2"/>
      </rPr>
      <t>D</t>
    </r>
    <r>
      <rPr>
        <sz val="10"/>
        <rFont val="Arial"/>
        <family val="2"/>
      </rPr>
      <t xml:space="preserve"> dB &lt;</t>
    </r>
  </si>
  <si>
    <r>
      <t xml:space="preserve">100Base Rise/Fall     </t>
    </r>
    <r>
      <rPr>
        <sz val="10"/>
        <rFont val="Symbol"/>
        <family val="1"/>
        <charset val="2"/>
      </rPr>
      <t>D</t>
    </r>
    <r>
      <rPr>
        <sz val="10"/>
        <rFont val="Arial"/>
        <family val="2"/>
      </rPr>
      <t xml:space="preserve"> dB </t>
    </r>
    <r>
      <rPr>
        <u/>
        <sz val="10"/>
        <rFont val="Arial"/>
        <family val="2"/>
      </rPr>
      <t>&gt;</t>
    </r>
  </si>
  <si>
    <t>88 MHz (1000BaseT)</t>
  </si>
  <si>
    <t>88 MHz</t>
  </si>
  <si>
    <r>
      <t xml:space="preserve">Allowance (LOW SIDE: </t>
    </r>
    <r>
      <rPr>
        <i/>
        <sz val="10"/>
        <color indexed="22"/>
        <rFont val="Arial"/>
        <family val="2"/>
      </rPr>
      <t>-0.15dB, Drop to -5.5dB at 20KHz  HIGH SIDE: +0.15 dB</t>
    </r>
    <r>
      <rPr>
        <sz val="10"/>
        <color indexed="22"/>
        <rFont val="Arial"/>
        <family val="2"/>
      </rPr>
      <t>)</t>
    </r>
  </si>
  <si>
    <r>
      <t>Allowance (LOW SIDE:</t>
    </r>
    <r>
      <rPr>
        <i/>
        <sz val="10"/>
        <color indexed="22"/>
        <rFont val="Arial"/>
        <family val="2"/>
      </rPr>
      <t xml:space="preserve">-2dB/70MHz to 70MHz, HIGH SIDE:+0.15 dB, </t>
    </r>
    <r>
      <rPr>
        <i/>
        <u/>
        <sz val="10"/>
        <color indexed="22"/>
        <rFont val="Arial"/>
        <family val="2"/>
      </rPr>
      <t>+</t>
    </r>
    <r>
      <rPr>
        <i/>
        <sz val="10"/>
        <color indexed="22"/>
        <rFont val="Arial"/>
        <family val="2"/>
      </rPr>
      <t>10dB/Decade Above 70MHz</t>
    </r>
    <r>
      <rPr>
        <sz val="10"/>
        <color indexed="22"/>
        <rFont val="Arial"/>
        <family val="2"/>
      </rPr>
      <t>)</t>
    </r>
  </si>
  <si>
    <t>Slew Effect:</t>
  </si>
  <si>
    <t>PhyView Analyzer Measurements</t>
  </si>
  <si>
    <t>Measurement</t>
  </si>
  <si>
    <t>Description</t>
  </si>
  <si>
    <t xml:space="preserve">Reported Units </t>
  </si>
  <si>
    <t xml:space="preserve">SNR </t>
  </si>
  <si>
    <t>PSD</t>
  </si>
  <si>
    <t>Echo Response</t>
  </si>
  <si>
    <t>Pair Skew</t>
  </si>
  <si>
    <t>Wideband RF Power at DUT Interface relative to an ideal transmitted signal (100BaseTx or 1000BaseT).</t>
  </si>
  <si>
    <t xml:space="preserve">Signal-to-Noise Ratio (SNR) characterizes all forms of non-correctable signal distortion including noise or crosstalk ingress, signal compression, and severe ISI (inter-symbol interference).   </t>
  </si>
  <si>
    <t>Power Spectral Distortion (PSD) characterizes the spectral frequency response of a LAN transmitter relative to that of an ideal transmitted signal (100BaseTx or 1000BaseT).</t>
  </si>
  <si>
    <r>
      <t>Bulk (wideband) Echo Response is equivalent to Return Loss in a typical RF transmission system.  It characterizes total reflected energy across the frequency spectrum and therefore assesses the degree of deviation from a nominal 100</t>
    </r>
    <r>
      <rPr>
        <sz val="10"/>
        <rFont val="Symbol"/>
        <family val="1"/>
        <charset val="2"/>
      </rPr>
      <t>W</t>
    </r>
    <r>
      <rPr>
        <sz val="10"/>
        <rFont val="Arial"/>
        <family val="2"/>
      </rPr>
      <t xml:space="preserve"> transmission line.  </t>
    </r>
  </si>
  <si>
    <t xml:space="preserve">Bulk (wideband) Crosstalk is equivalent to Isolation in a typical RF transmission system.  It characterizes total power transmitted between any two specified pairs with the assumption that these transmissions are bi-directional on average.  </t>
  </si>
  <si>
    <t>Pair Skew reports any symbol period timing differences between pairs in a 1000BaseT link.  Each measurement reports 4 pairs, of which 3 pairs are each compared to a reference pair.</t>
  </si>
  <si>
    <t>Packet Count</t>
  </si>
  <si>
    <t xml:space="preserve">Samples live link status (10/100BaseT) and/or gigabit remote receiver status (1000BaseT) to assess link stability.  Counts from 1 to 100 samples with sampling interval configurable as 20, 50, or 100msec. </t>
  </si>
  <si>
    <t>Link Stability (Link Monitor)</t>
  </si>
  <si>
    <r>
      <t xml:space="preserve">Type:  </t>
    </r>
    <r>
      <rPr>
        <b/>
        <sz val="10"/>
        <rFont val="Arial"/>
        <family val="2"/>
      </rPr>
      <t>Link Status</t>
    </r>
    <r>
      <rPr>
        <sz val="10"/>
        <rFont val="Arial"/>
        <family val="2"/>
      </rPr>
      <t xml:space="preserve"> or </t>
    </r>
    <r>
      <rPr>
        <b/>
        <sz val="10"/>
        <rFont val="Arial"/>
        <family val="2"/>
      </rPr>
      <t xml:space="preserve">Gigabit Remote Rx Status </t>
    </r>
    <r>
      <rPr>
        <sz val="10"/>
        <rFont val="Arial"/>
        <family val="2"/>
      </rPr>
      <t>Count:                                      Count 1 to 100) of Link "Up" or Remote Rx "OK" Indications</t>
    </r>
  </si>
  <si>
    <t>Count of Received MAC frames.                                                 Each PVA-3000 port can transmit user-configured MAC frames with programmable size, burst duration, packet gap, and repeating 4-byte payload pattern.   Each PVA-3000 port will count incoming MAC frames either independent of or coincident with MAC frame transmission.</t>
  </si>
  <si>
    <t>Impairment</t>
  </si>
  <si>
    <t>Line Emulation</t>
  </si>
  <si>
    <t>Noise (Alien Crosstalk)</t>
  </si>
  <si>
    <t>Transmitter Offset</t>
  </si>
  <si>
    <t>Applies a fixed frequency offset to transmitted 100BaseTx and 1000BaseT signals.   Frequency offset may be programmed to -115ppm, -100ppm, -50ppm, +50ppm, +100ppm, and +115ppm.</t>
  </si>
  <si>
    <t>Transmitter Jitter</t>
  </si>
  <si>
    <t>Applies random jitter to transmitted 100BaseTx and 1000BaseT signals.    Jitter level may be programmed to -6 dB to +24 dB in 0.5 dB steps where 0 dB corresponds to IEEE 802.3 specified 1.4 nsec peak-peak jitter.   Transmit jitter is structured to meet 1000BaseT phase noise versus frequency profile such that jitter power above 5KHz is attenuated by ~13.5 dB relative to total jitter power.</t>
  </si>
  <si>
    <t>Transmitter Power</t>
  </si>
  <si>
    <t>Transmitter power may be controlled on 100BaseT and 1000BaseT signals over a range of ~2.1 dB (or ~25%).  This range is then summed with a nominal 2.7dB fixed loss on all Test Ports.   Ten power level steps are provided.</t>
  </si>
  <si>
    <t>Transmitter Slew</t>
  </si>
  <si>
    <t>Transmitter slew rate may be controlled on 100BaseT and 1000BaseT signals over a range of 0.17V/nsec (or ~75%).  Eight slew rate steps are provided.</t>
  </si>
  <si>
    <t>PhyView Analyzer Impairments for Rx Testing</t>
  </si>
  <si>
    <r>
      <t>Emulates IEEE 802.3 worst case line loss (attenuation over frequency).  May be applied to 2 or 4 pairs such that 100BaseTx transmit can be separated from 100BaseTx receive pair.  This impairment models 90M Cat5e + 10M Cat5e patch cable and connector losses.  Maintains 100</t>
    </r>
    <r>
      <rPr>
        <sz val="10"/>
        <rFont val="Symbol"/>
        <family val="1"/>
        <charset val="2"/>
      </rPr>
      <t>W</t>
    </r>
    <r>
      <rPr>
        <sz val="10"/>
        <rFont val="Arial"/>
        <family val="2"/>
      </rPr>
      <t xml:space="preserve"> line impedance and approximately linear phase characteristics.</t>
    </r>
  </si>
  <si>
    <t>Applies random noise per pair that is spectrally similar to 100BaseTx.   Noise source is isolated by 2.7dB from Test PHY so that DUT experiences greater noise levels.  Amplitude is programmable from -6 dB to +21.5 dB in 0.5 dB steps where 0 dB corresponds to 100BaseTx limit of 40mVpp amplitude and -4 dB corresponds to 1000BaseT 25mVpp amplitude.</t>
  </si>
  <si>
    <r>
      <t xml:space="preserve">dB(nominal) </t>
    </r>
    <r>
      <rPr>
        <sz val="10"/>
        <rFont val="Arial"/>
        <family val="2"/>
      </rPr>
      <t xml:space="preserve"> Where "nominal" is the ideal wideband power level specified for a 100BaseTx or 1000BaseT transmitter.  (A </t>
    </r>
    <r>
      <rPr>
        <b/>
        <sz val="10"/>
        <rFont val="Arial"/>
        <family val="2"/>
      </rPr>
      <t>0dB</t>
    </r>
    <r>
      <rPr>
        <sz val="10"/>
        <rFont val="Arial"/>
        <family val="2"/>
      </rPr>
      <t xml:space="preserve"> result is therefore ideal.)</t>
    </r>
  </si>
  <si>
    <r>
      <t>dB</t>
    </r>
    <r>
      <rPr>
        <sz val="10"/>
        <rFont val="Arial"/>
        <family val="2"/>
      </rPr>
      <t xml:space="preserve">  (Ideal Signal Power / Residual Distortion Components)   The measurement ceiling for SNR is 36 dB - this corresponds to a distortion level of 1 part in 4000.</t>
    </r>
  </si>
  <si>
    <r>
      <t>dB</t>
    </r>
    <r>
      <rPr>
        <sz val="10"/>
        <rFont val="Arial"/>
        <family val="2"/>
      </rPr>
      <t xml:space="preserve"> (33 frequency points over selected range).  The measurement floor is below   -25 dB.</t>
    </r>
  </si>
  <si>
    <r>
      <t>dB</t>
    </r>
    <r>
      <rPr>
        <sz val="10"/>
        <rFont val="Arial"/>
        <family val="2"/>
      </rPr>
      <t xml:space="preserve"> Ratio of total reflected to total transmitted power.   Measurements are normalized to test port calibrations.  The measurement floor is -26 dB.</t>
    </r>
  </si>
  <si>
    <r>
      <t>dB</t>
    </r>
    <r>
      <rPr>
        <sz val="10"/>
        <rFont val="Arial"/>
        <family val="2"/>
      </rPr>
      <t>. Ratio of total ingress (crosstalk) power to total transmitted power. Measurements are normalized to test port calibrations.  The measurement floor is -39 dB.</t>
    </r>
  </si>
  <si>
    <r>
      <t>nsec</t>
    </r>
    <r>
      <rPr>
        <sz val="10"/>
        <rFont val="Arial"/>
        <family val="2"/>
      </rPr>
      <t>. Measurement granularity is one symbol period, or 8 nsec per pair.</t>
    </r>
  </si>
  <si>
    <r>
      <t>Packet Count</t>
    </r>
    <r>
      <rPr>
        <sz val="10"/>
        <rFont val="Arial"/>
        <family val="2"/>
      </rPr>
      <t xml:space="preserve">  (Continuous transmission is supported with counts into billions of packets.)</t>
    </r>
  </si>
  <si>
    <t>Estimated Pk-Pk Voltage &amp; Droop</t>
  </si>
  <si>
    <t>Droop% (100BaseTx)</t>
  </si>
  <si>
    <t>Droop% (1000BaseT)</t>
  </si>
  <si>
    <t>Droop% T.S. #1 F-&gt;G,H-&gt;J</t>
  </si>
  <si>
    <t>Pk. Diff. Volts T.S. #1 A-&gt;B</t>
  </si>
  <si>
    <t>UTP Diff. Volts Pk-Pk</t>
  </si>
  <si>
    <t>Rise/Fall Time: 4+1 nsec</t>
  </si>
  <si>
    <t>Applicable Industry Specification</t>
  </si>
  <si>
    <r>
      <t>Vpk= 1000</t>
    </r>
    <r>
      <rPr>
        <u/>
        <sz val="10"/>
        <rFont val="Arial"/>
        <family val="2"/>
      </rPr>
      <t>+</t>
    </r>
    <r>
      <rPr>
        <sz val="10"/>
        <rFont val="Arial"/>
        <family val="2"/>
      </rPr>
      <t>50mV, Vpk-pk= 2000</t>
    </r>
    <r>
      <rPr>
        <u/>
        <sz val="10"/>
        <rFont val="Arial"/>
        <family val="2"/>
      </rPr>
      <t>+</t>
    </r>
    <r>
      <rPr>
        <sz val="10"/>
        <rFont val="Arial"/>
        <family val="2"/>
      </rPr>
      <t>100mV</t>
    </r>
  </si>
  <si>
    <r>
      <t xml:space="preserve">Estimate of Peak-Peak amplitude of the 100BaseTx MLT-3 transmitted waveform.  Estimate will be accurate to </t>
    </r>
    <r>
      <rPr>
        <sz val="10"/>
        <rFont val="Arial"/>
        <family val="2"/>
      </rPr>
      <t>~</t>
    </r>
    <r>
      <rPr>
        <sz val="10"/>
        <rFont val="Arial"/>
        <family val="2"/>
      </rPr>
      <t xml:space="preserve">2.5%       (or </t>
    </r>
    <r>
      <rPr>
        <u/>
        <sz val="10"/>
        <rFont val="Arial"/>
        <family val="2"/>
      </rPr>
      <t>+</t>
    </r>
    <r>
      <rPr>
        <sz val="10"/>
        <rFont val="Arial"/>
        <family val="2"/>
      </rPr>
      <t xml:space="preserve"> </t>
    </r>
    <r>
      <rPr>
        <sz val="10"/>
        <rFont val="Arial"/>
        <family val="2"/>
      </rPr>
      <t>25mV) of reported Vpk-pk value.</t>
    </r>
  </si>
  <si>
    <t>IEEE 802.3 Clause 25.4.4a</t>
  </si>
  <si>
    <r>
      <t>500ns Droop%, &gt;2.4</t>
    </r>
    <r>
      <rPr>
        <sz val="10"/>
        <rFont val="Symbol"/>
        <family val="1"/>
        <charset val="2"/>
      </rPr>
      <t>m</t>
    </r>
    <r>
      <rPr>
        <sz val="10"/>
        <rFont val="Arial"/>
        <family val="2"/>
      </rPr>
      <t xml:space="preserve">sec </t>
    </r>
    <r>
      <rPr>
        <sz val="10"/>
        <rFont val="Symbol"/>
        <family val="1"/>
        <charset val="2"/>
      </rPr>
      <t>t</t>
    </r>
  </si>
  <si>
    <r>
      <t>V</t>
    </r>
    <r>
      <rPr>
        <vertAlign val="subscript"/>
        <sz val="10"/>
        <rFont val="Arial"/>
        <family val="2"/>
      </rPr>
      <t>x</t>
    </r>
    <r>
      <rPr>
        <sz val="10"/>
        <rFont val="Arial"/>
        <family val="2"/>
      </rPr>
      <t xml:space="preserve"> = V</t>
    </r>
    <r>
      <rPr>
        <vertAlign val="subscript"/>
        <sz val="10"/>
        <rFont val="Arial"/>
        <family val="2"/>
      </rPr>
      <t>0</t>
    </r>
    <r>
      <rPr>
        <sz val="10"/>
        <rFont val="Arial"/>
        <family val="2"/>
      </rPr>
      <t xml:space="preserve"> * e(-t/</t>
    </r>
    <r>
      <rPr>
        <sz val="10"/>
        <rFont val="Symbol"/>
        <family val="1"/>
        <charset val="2"/>
      </rPr>
      <t>t</t>
    </r>
    <r>
      <rPr>
        <sz val="10"/>
        <rFont val="Arial"/>
        <family val="2"/>
      </rPr>
      <t xml:space="preserve">) where </t>
    </r>
    <r>
      <rPr>
        <sz val="10"/>
        <rFont val="Symbol"/>
        <family val="1"/>
        <charset val="2"/>
      </rPr>
      <t>t</t>
    </r>
    <r>
      <rPr>
        <sz val="10"/>
        <rFont val="Arial"/>
        <family val="2"/>
      </rPr>
      <t xml:space="preserve"> must be greater than 2.4 </t>
    </r>
    <r>
      <rPr>
        <sz val="10"/>
        <rFont val="Symbol"/>
        <family val="1"/>
        <charset val="2"/>
      </rPr>
      <t>m</t>
    </r>
    <r>
      <rPr>
        <sz val="10"/>
        <rFont val="Arial"/>
        <family val="2"/>
      </rPr>
      <t>sec                                        = 81.2%  (or 18.8% maximum droop)</t>
    </r>
  </si>
  <si>
    <r>
      <t xml:space="preserve">Estimate of the %Droop allowed in 100BaseTx Transmitted Waveform over a 500nsec measurement period.  Reported as (100-droop%), similar to 1000BaseT Droop%.  Typical accuracy will be </t>
    </r>
    <r>
      <rPr>
        <u/>
        <sz val="10"/>
        <rFont val="Arial"/>
        <family val="2"/>
      </rPr>
      <t>+</t>
    </r>
    <r>
      <rPr>
        <sz val="10"/>
        <rFont val="Arial"/>
        <family val="2"/>
      </rPr>
      <t>4% of reported value.</t>
    </r>
  </si>
  <si>
    <t>IEEE 802.3 Clause 40.6.1.2.1</t>
  </si>
  <si>
    <t>IEEE 802.3 Clause 40.6.1.2.2</t>
  </si>
  <si>
    <r>
      <t xml:space="preserve">Estimate of the %Droop of the1000BaseT Test Signal #1 measured from Pt. F to Pt. G or Pt. H to Pt. J.  Reported as (100-droop%).  Typical accuracy will be </t>
    </r>
    <r>
      <rPr>
        <u/>
        <sz val="10"/>
        <rFont val="Arial"/>
        <family val="2"/>
      </rPr>
      <t>+</t>
    </r>
    <r>
      <rPr>
        <sz val="10"/>
        <rFont val="Arial"/>
        <family val="2"/>
      </rPr>
      <t>5% of reported value.</t>
    </r>
  </si>
  <si>
    <r>
      <t xml:space="preserve">1.34V </t>
    </r>
    <r>
      <rPr>
        <u/>
        <sz val="10"/>
        <rFont val="Arial"/>
        <family val="2"/>
      </rPr>
      <t>&lt;</t>
    </r>
    <r>
      <rPr>
        <sz val="10"/>
        <rFont val="Arial"/>
        <family val="2"/>
      </rPr>
      <t xml:space="preserve"> Vpk-pk </t>
    </r>
    <r>
      <rPr>
        <u/>
        <sz val="10"/>
        <rFont val="Arial"/>
        <family val="2"/>
      </rPr>
      <t>&lt;</t>
    </r>
    <r>
      <rPr>
        <sz val="10"/>
        <rFont val="Arial"/>
        <family val="2"/>
      </rPr>
      <t xml:space="preserve"> 1.64V                                                                                   </t>
    </r>
    <r>
      <rPr>
        <b/>
        <sz val="9"/>
        <rFont val="Arial"/>
        <family val="2"/>
      </rPr>
      <t>NOTE</t>
    </r>
    <r>
      <rPr>
        <sz val="9"/>
        <rFont val="Arial"/>
        <family val="2"/>
      </rPr>
      <t xml:space="preserve">:  100/1000BaseT transmitters are subject to a more stringent requirement under 100BaseTx specification. </t>
    </r>
  </si>
  <si>
    <r>
      <t xml:space="preserve">Droop% &gt; 73.1%  (or &lt; 24.9% measured droop)                                                  </t>
    </r>
    <r>
      <rPr>
        <b/>
        <sz val="9"/>
        <rFont val="Arial"/>
        <family val="2"/>
      </rPr>
      <t>NOTE</t>
    </r>
    <r>
      <rPr>
        <sz val="9"/>
        <rFont val="Arial"/>
        <family val="2"/>
      </rPr>
      <t>:  100/1000BaseT transmitters are subject to a more stringent requirement under 100BaseTx specification.</t>
    </r>
  </si>
  <si>
    <r>
      <t xml:space="preserve">Estimate of the 100BaseTx Rise/Fall Time (or slew rate) of the MLT-3 transmitted waveform.   Estimate will be typically be accurate to </t>
    </r>
    <r>
      <rPr>
        <u/>
        <sz val="10"/>
        <rFont val="Arial"/>
        <family val="2"/>
      </rPr>
      <t>+</t>
    </r>
    <r>
      <rPr>
        <sz val="10"/>
        <rFont val="Arial"/>
        <family val="2"/>
      </rPr>
      <t xml:space="preserve"> 0.4 nsec of reported value.</t>
    </r>
  </si>
  <si>
    <t xml:space="preserve">ANSI X3.264 Clauses 9.1.6 &amp; 9.1.10               </t>
  </si>
  <si>
    <t xml:space="preserve">ANSI X3.264 Clauses 9.1.2.2 &amp; 9.1.10               </t>
  </si>
  <si>
    <r>
      <t xml:space="preserve">3 nsec </t>
    </r>
    <r>
      <rPr>
        <u/>
        <sz val="10"/>
        <rFont val="Arial"/>
        <family val="2"/>
      </rPr>
      <t>&lt;</t>
    </r>
    <r>
      <rPr>
        <sz val="10"/>
        <rFont val="Arial"/>
        <family val="2"/>
      </rPr>
      <t xml:space="preserve"> Rise/Fall Time </t>
    </r>
    <r>
      <rPr>
        <u/>
        <sz val="10"/>
        <rFont val="Arial"/>
        <family val="2"/>
      </rPr>
      <t>&lt;</t>
    </r>
    <r>
      <rPr>
        <sz val="10"/>
        <rFont val="Arial"/>
        <family val="2"/>
      </rPr>
      <t xml:space="preserve"> 5 nsec  (measured 10% to 90%)</t>
    </r>
  </si>
  <si>
    <t>IEEE 802.3 Clause 40.6.1.2.3 &amp; Figure 40-26</t>
  </si>
  <si>
    <r>
      <t xml:space="preserve">Template #1 in Figure 40-26 defines the single-symbol pulse mask.               </t>
    </r>
    <r>
      <rPr>
        <b/>
        <sz val="9"/>
        <rFont val="Arial"/>
        <family val="2"/>
      </rPr>
      <t>NOTE</t>
    </r>
    <r>
      <rPr>
        <sz val="9"/>
        <rFont val="Arial"/>
        <family val="2"/>
      </rPr>
      <t>: Template #2 Pulse Mask response is partially covered by the 1000BaseT Droop estimation above.</t>
    </r>
  </si>
  <si>
    <t>This parameter estimates whether 1000BaseT Test Signal #1 will fit within the prescribed single-symbol pulse mask template given a hypothetical 2MHz high-pass measurement filter as defined in the standard.  Possible outcomes are "OK", "Marginal", or "Fit_Problem".  Pulse Mask Fit is derived from PSD characteristics and will be affected by excessively slow or fast slew rates as well as any distortion affecting mid-range frequencies in the 16 - 64 MHz region.</t>
  </si>
  <si>
    <t>Suite Version:</t>
  </si>
  <si>
    <t>None</t>
  </si>
  <si>
    <r>
      <t xml:space="preserve">Estimate of Peak-Peak amplitude of the 1000BaseT Test Signal #1 from Pt. A to Pt. B with 2MHz High Pass Filter applied.  Estimate will be accurate to </t>
    </r>
    <r>
      <rPr>
        <sz val="10"/>
        <rFont val="Arial"/>
        <family val="2"/>
      </rPr>
      <t>~</t>
    </r>
    <r>
      <rPr>
        <sz val="10"/>
        <rFont val="Arial"/>
        <family val="2"/>
      </rPr>
      <t xml:space="preserve">2.5%  (or </t>
    </r>
    <r>
      <rPr>
        <u/>
        <sz val="10"/>
        <rFont val="Arial"/>
        <family val="2"/>
      </rPr>
      <t>+</t>
    </r>
    <r>
      <rPr>
        <sz val="10"/>
        <rFont val="Arial"/>
        <family val="2"/>
      </rPr>
      <t xml:space="preserve"> </t>
    </r>
    <r>
      <rPr>
        <sz val="10"/>
        <rFont val="Arial"/>
        <family val="2"/>
      </rPr>
      <t>20mV) of reported Vpk-pk value.</t>
    </r>
  </si>
  <si>
    <t>Mstr Fault</t>
  </si>
  <si>
    <t>1000Base-T Links</t>
  </si>
  <si>
    <t>M-S Fault</t>
  </si>
  <si>
    <t>Slv Fault</t>
  </si>
  <si>
    <t>Link Verification and Integrity</t>
  </si>
  <si>
    <r>
      <rPr>
        <b/>
        <sz val="10"/>
        <rFont val="Arial"/>
        <family val="2"/>
      </rPr>
      <t>1000</t>
    </r>
    <r>
      <rPr>
        <b/>
        <sz val="9"/>
        <rFont val="Arial"/>
        <family val="2"/>
      </rPr>
      <t>BaseT</t>
    </r>
  </si>
  <si>
    <t>NLP_Link</t>
  </si>
  <si>
    <t>100Base-Tx MDI Line Loss and</t>
  </si>
  <si>
    <t>100Base-Tx MDI-X Line Loss and</t>
  </si>
  <si>
    <t>10Base-T MDI Line Loss and</t>
  </si>
  <si>
    <t>10Base-T MDI-X Line Loss and</t>
  </si>
  <si>
    <t xml:space="preserve">Color Key </t>
  </si>
  <si>
    <t>100Base-Tx</t>
  </si>
  <si>
    <t>Fail Below:</t>
  </si>
  <si>
    <t>Marginal Below:</t>
  </si>
  <si>
    <t>Fail Above:</t>
  </si>
  <si>
    <t>Marginal Above:</t>
  </si>
  <si>
    <t>PHY Performance Test Suite Report</t>
  </si>
  <si>
    <t>PHY Performance Test Suite Limits</t>
  </si>
  <si>
    <t>PHY Performance Test Suite Estimated Parameters</t>
  </si>
  <si>
    <r>
      <t xml:space="preserve">500ns Droop%, &gt;2.4msec </t>
    </r>
    <r>
      <rPr>
        <b/>
        <sz val="10"/>
        <color theme="3"/>
        <rFont val="Symbol"/>
        <family val="1"/>
        <charset val="2"/>
      </rPr>
      <t>t</t>
    </r>
  </si>
  <si>
    <t>Local Rx Health</t>
  </si>
  <si>
    <t>SNR1, SNR2</t>
  </si>
  <si>
    <t>SNR3, SNR4</t>
  </si>
  <si>
    <t>SNR1 and SNR2 indicate the lowest PVA-side SNR reading observed during 100Base-Tx Receiver Testing at the maximum Line Loss + Noise + Jitter impairment level.   Because the Line Loss and Noise impairments are only applied to the outgoing Tx Pair during 100Base-Tx testing, local PVA-side SNR should be relatively high for all impairment conditions.   SNR's above ~26 dB on at the PVA receiver are assurance that any link drops or or packet loss are strictly related to port-under-test receiver performance under impairment.</t>
  </si>
  <si>
    <t>SNR3 and SNR4 indicate the lowest PVA-side SNR reading observed during 1000Base-T Receiver Testing at the maximum Line Loss + Noise + Jitter impairment level in MASTER mode and maximum Line Loss + Noise + Frequency Offset in SLAVE mode.  All impairments must be applied bi-directionally in 1000Base-T, though the PVA receiver is partially isolated from the Noise impairment.   The goal is to maintain ~23 dB or higher in the PVA receiver while performing Link Monitor or Packet Loss measurements of the port-under-test in order to assure that the impairments are not adversely affecting link stability on the PVA side of the link.</t>
  </si>
  <si>
    <t>Stability</t>
  </si>
  <si>
    <t>Training Time (sec)</t>
  </si>
  <si>
    <r>
      <t>Link Time*</t>
    </r>
    <r>
      <rPr>
        <sz val="10"/>
        <rFont val="Arial"/>
        <family val="2"/>
      </rPr>
      <t>(</t>
    </r>
    <r>
      <rPr>
        <b/>
        <sz val="10"/>
        <rFont val="Arial"/>
        <family val="2"/>
      </rPr>
      <t>sec</t>
    </r>
    <r>
      <rPr>
        <sz val="10"/>
        <rFont val="Arial"/>
        <family val="2"/>
      </rPr>
      <t>)</t>
    </r>
  </si>
  <si>
    <t>* Link Time is auto-negotiated for MDI/MDI-x</t>
  </si>
  <si>
    <t>Auto-Negotiation Parameters</t>
  </si>
  <si>
    <r>
      <rPr>
        <b/>
        <sz val="9"/>
        <rFont val="Arial"/>
        <family val="2"/>
      </rPr>
      <t>AUTO-NEG</t>
    </r>
    <r>
      <rPr>
        <sz val="9"/>
        <rFont val="Arial"/>
        <family val="2"/>
      </rPr>
      <t xml:space="preserve">:  EXTENDED | BASE | NO 
</t>
    </r>
    <r>
      <rPr>
        <b/>
        <sz val="9"/>
        <rFont val="Arial"/>
        <family val="2"/>
      </rPr>
      <t>ACKS</t>
    </r>
    <r>
      <rPr>
        <sz val="9"/>
        <rFont val="Arial"/>
        <family val="2"/>
      </rPr>
      <t xml:space="preserve">: EXTENDED | BASE | NO | N/A
</t>
    </r>
    <r>
      <rPr>
        <b/>
        <sz val="9"/>
        <rFont val="Arial"/>
        <family val="2"/>
      </rPr>
      <t>1000BaseT</t>
    </r>
    <r>
      <rPr>
        <sz val="9"/>
        <rFont val="Arial"/>
        <family val="2"/>
      </rPr>
      <t xml:space="preserve">: FULL | HALF | HALF+FULL | NO
</t>
    </r>
    <r>
      <rPr>
        <b/>
        <sz val="9"/>
        <rFont val="Arial"/>
        <family val="2"/>
      </rPr>
      <t>100BaseTX</t>
    </r>
    <r>
      <rPr>
        <sz val="9"/>
        <rFont val="Arial"/>
        <family val="2"/>
      </rPr>
      <t xml:space="preserve">: FULL | HALF | HALF+FULL | NO
</t>
    </r>
    <r>
      <rPr>
        <b/>
        <sz val="9"/>
        <rFont val="Arial"/>
        <family val="2"/>
      </rPr>
      <t>10BaseT</t>
    </r>
    <r>
      <rPr>
        <sz val="9"/>
        <rFont val="Arial"/>
        <family val="2"/>
      </rPr>
      <t xml:space="preserve">: FULL | HALF | HALF+FULL | NO | N/A
</t>
    </r>
    <r>
      <rPr>
        <b/>
        <sz val="9"/>
        <rFont val="Arial"/>
        <family val="2"/>
      </rPr>
      <t>100BaseT4</t>
    </r>
    <r>
      <rPr>
        <sz val="9"/>
        <rFont val="Arial"/>
        <family val="2"/>
      </rPr>
      <t xml:space="preserve">: YES | NO | N/A
</t>
    </r>
    <r>
      <rPr>
        <b/>
        <sz val="9"/>
        <rFont val="Arial"/>
        <family val="2"/>
      </rPr>
      <t>PAUSE</t>
    </r>
    <r>
      <rPr>
        <sz val="9"/>
        <rFont val="Arial"/>
        <family val="2"/>
      </rPr>
      <t>: RESPOND | XMIT | RESPOND+XMIT | NO | N/A</t>
    </r>
  </si>
  <si>
    <r>
      <rPr>
        <b/>
        <sz val="9"/>
        <rFont val="Arial"/>
        <family val="2"/>
      </rPr>
      <t>LINK_OK</t>
    </r>
    <r>
      <rPr>
        <sz val="9"/>
        <rFont val="Arial"/>
        <family val="2"/>
      </rPr>
      <t xml:space="preserve">:  YES | FAULT | N/A
</t>
    </r>
    <r>
      <rPr>
        <b/>
        <sz val="9"/>
        <rFont val="Arial"/>
        <family val="2"/>
      </rPr>
      <t>MDI_MDI-X</t>
    </r>
    <r>
      <rPr>
        <sz val="9"/>
        <rFont val="Arial"/>
        <family val="2"/>
      </rPr>
      <t xml:space="preserve">:  AUTO | MDI_ONLY | MDI-X_ONLY | N/A
</t>
    </r>
    <r>
      <rPr>
        <b/>
        <sz val="9"/>
        <rFont val="Arial"/>
        <family val="2"/>
      </rPr>
      <t>NLP_LINK (No Auto-Neg)</t>
    </r>
    <r>
      <rPr>
        <sz val="9"/>
        <rFont val="Arial"/>
        <family val="2"/>
      </rPr>
      <t xml:space="preserve">:  LINKED | UNLINKED </t>
    </r>
  </si>
  <si>
    <t>Link Partner Base &amp; Extended Page Advertisements &amp; Acks:
These parameters are related to the information obtained during initial auto-negotiation with the port-under-test.</t>
  </si>
  <si>
    <t>Link Partner Base Status &amp; Capabilities:
   LINK_OK is link partner remote fault indicator
   MDI_MDI-X indicates if link partner is Auto-MDI or not
   NLP_LINK inidicates if link partner will link without auto-neg.</t>
  </si>
  <si>
    <r>
      <rPr>
        <b/>
        <sz val="10"/>
        <rFont val="Arial"/>
        <family val="2"/>
      </rPr>
      <t>Link Monitor</t>
    </r>
    <r>
      <rPr>
        <sz val="10"/>
        <rFont val="Arial"/>
        <family val="2"/>
      </rPr>
      <t xml:space="preserve">:  Count 0-100 where 100 is 100% stable
</t>
    </r>
    <r>
      <rPr>
        <b/>
        <sz val="10"/>
        <rFont val="Arial"/>
        <family val="2"/>
      </rPr>
      <t>Link Up Time</t>
    </r>
    <r>
      <rPr>
        <sz val="10"/>
        <rFont val="Arial"/>
        <family val="2"/>
      </rPr>
      <t>:  Seconds (resolved to 0.1 seconds)</t>
    </r>
  </si>
  <si>
    <t>Link Monitor (Stability) measurements of each advertised capability.   Link Up Time measuring time from physical connection until operable link.  Link Time is measured without forcing MDI or MDI-X.</t>
  </si>
  <si>
    <t>Gigabit Link Status &amp; Capabilities
  Rx_OK: Indicates error free performance of link partner receiver
  GIG_MODE: Indicates ability to link both MASTER &amp; SLAVE
  M-S FAULT: Indicates Master-Slave resolution fault
  MSTR FAULT: Indicates fault forcing SLAVE to port-under-test
  SLV_FAULT: Indicates fault forcing MASTER to port-under-test
  TRAINING_TIME: Time (sec) for MASTER-SLAVE sync-up
  STABILITY: Assess if PVA port 2.5dB loss impacts gig linkup
     (UNSTABLE) or if 10/100 DUT does not reliably respond to
     're-links' (NO_RELINK)</t>
  </si>
  <si>
    <r>
      <rPr>
        <b/>
        <sz val="9"/>
        <rFont val="Arial"/>
        <family val="2"/>
      </rPr>
      <t>Rx_OK</t>
    </r>
    <r>
      <rPr>
        <sz val="9"/>
        <rFont val="Arial"/>
        <family val="2"/>
      </rPr>
      <t xml:space="preserve">: YES | NO | N/A
</t>
    </r>
    <r>
      <rPr>
        <b/>
        <sz val="9"/>
        <rFont val="Arial"/>
        <family val="2"/>
      </rPr>
      <t>GIG_MODE</t>
    </r>
    <r>
      <rPr>
        <sz val="9"/>
        <rFont val="Arial"/>
        <family val="2"/>
      </rPr>
      <t xml:space="preserve">:  AUTO | MASTER_ONLY | SLAVE_ONLY | N/A
</t>
    </r>
    <r>
      <rPr>
        <b/>
        <sz val="9"/>
        <rFont val="Arial"/>
        <family val="2"/>
      </rPr>
      <t>M-S FAULT</t>
    </r>
    <r>
      <rPr>
        <sz val="9"/>
        <rFont val="Arial"/>
        <family val="2"/>
      </rPr>
      <t xml:space="preserve">: NONE | FAULT | N/A
</t>
    </r>
    <r>
      <rPr>
        <b/>
        <sz val="9"/>
        <rFont val="Arial"/>
        <family val="2"/>
      </rPr>
      <t>MSTR_FAULT</t>
    </r>
    <r>
      <rPr>
        <sz val="9"/>
        <rFont val="Arial"/>
        <family val="2"/>
      </rPr>
      <t xml:space="preserve">:  NONE | FAULT | N/A
</t>
    </r>
    <r>
      <rPr>
        <b/>
        <sz val="9"/>
        <rFont val="Arial"/>
        <family val="2"/>
      </rPr>
      <t>SLV_FAULT</t>
    </r>
    <r>
      <rPr>
        <sz val="9"/>
        <rFont val="Arial"/>
        <family val="2"/>
      </rPr>
      <t xml:space="preserve">:  NONE | FAULT | N/A
</t>
    </r>
    <r>
      <rPr>
        <b/>
        <sz val="9"/>
        <rFont val="Arial"/>
        <family val="2"/>
      </rPr>
      <t>TRAINING_TIME</t>
    </r>
    <r>
      <rPr>
        <sz val="9"/>
        <rFont val="Arial"/>
        <family val="2"/>
      </rPr>
      <t xml:space="preserve">: NONE | FAULT | N/A
</t>
    </r>
    <r>
      <rPr>
        <b/>
        <sz val="9"/>
        <rFont val="Arial"/>
        <family val="2"/>
      </rPr>
      <t>STABILITY</t>
    </r>
    <r>
      <rPr>
        <sz val="9"/>
        <rFont val="Arial"/>
        <family val="2"/>
      </rPr>
      <t>: OK | UNSTABLE | NO_RELINK | N/A</t>
    </r>
  </si>
  <si>
    <t>1000Base-T MASTER: Line Loss and</t>
  </si>
  <si>
    <t>1000Base-T SLAVE: Line Loss and</t>
  </si>
  <si>
    <t>PVA H/W Ver:</t>
  </si>
  <si>
    <t>5.0.00</t>
  </si>
  <si>
    <t>192.168.221.105</t>
  </si>
  <si>
    <t>1,1</t>
  </si>
  <si>
    <t>April 12 2021</t>
  </si>
  <si>
    <t>DP83867 Eval Board</t>
  </si>
  <si>
    <t>5.0.00 05-22-19</t>
  </si>
  <si>
    <t>EXTENDED</t>
  </si>
  <si>
    <t>HALF+FULL</t>
  </si>
  <si>
    <t>NO</t>
  </si>
  <si>
    <t>YES</t>
  </si>
  <si>
    <t>AUTO</t>
  </si>
  <si>
    <t>UNLINKED</t>
  </si>
  <si>
    <t>NONE</t>
  </si>
  <si>
    <t>OK</t>
  </si>
  <si>
    <t>Link_Mon</t>
  </si>
  <si>
    <t>Slew_Rate=</t>
  </si>
  <si>
    <t>5_ns</t>
  </si>
  <si>
    <t>Tx Offset</t>
  </si>
  <si>
    <t>Noise</t>
  </si>
  <si>
    <t>Jitter</t>
  </si>
  <si>
    <t>Noise+Jitter</t>
  </si>
  <si>
    <t>4_9.5</t>
  </si>
  <si>
    <t>10_15</t>
  </si>
  <si>
    <t>3.5_ns</t>
  </si>
  <si>
    <t>-1.5_-1.5</t>
  </si>
  <si>
    <t>1_0</t>
  </si>
  <si>
    <t>3.5_2</t>
  </si>
  <si>
    <t>Offset+Noise</t>
  </si>
  <si>
    <t>-100_-1</t>
  </si>
  <si>
    <t>100_-1</t>
  </si>
  <si>
    <t>-100_1.5</t>
  </si>
  <si>
    <t>100_1.5</t>
  </si>
  <si>
    <t>-100_4</t>
  </si>
  <si>
    <t>100_4</t>
  </si>
  <si>
    <t>Port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</si>
</sst>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
    <numFmt numFmtId="167" formatCode="[$-409]mmmm\ d\,\ yyyy;@"/>
    <numFmt numFmtId="168" formatCode="[$-409]h:mm\ AM/PM;@"/>
  </numFmts>
  <fonts count="41" x14ac:knownFonts="1">
    <font>
      <sz val="10"/>
      <name val="Arial"/>
    </font>
    <font>
      <sz val="10"/>
      <color indexed="44"/>
      <name val="Arial"/>
      <family val="2"/>
    </font>
    <font>
      <b/>
      <sz val="10"/>
      <color indexed="9"/>
      <name val="Arial"/>
      <family val="2"/>
    </font>
    <font>
      <b/>
      <sz val="10"/>
      <name val="Arial"/>
      <family val="2"/>
    </font>
    <font>
      <sz val="10"/>
      <color indexed="22"/>
      <name val="Arial"/>
      <family val="2"/>
    </font>
    <font>
      <i/>
      <sz val="10"/>
      <color indexed="20"/>
      <name val="Arial"/>
      <family val="2"/>
    </font>
    <font>
      <sz val="10"/>
      <color indexed="9"/>
      <name val="Arial"/>
      <family val="2"/>
    </font>
    <font>
      <sz val="10"/>
      <name val="Arial"/>
      <family val="2"/>
    </font>
    <font>
      <b/>
      <sz val="16"/>
      <name val="Arial"/>
      <family val="2"/>
    </font>
    <font>
      <b/>
      <u/>
      <sz val="10"/>
      <name val="Arial"/>
      <family val="2"/>
    </font>
    <font>
      <b/>
      <i/>
      <sz val="10"/>
      <name val="Arial"/>
      <family val="2"/>
    </font>
    <font>
      <i/>
      <sz val="10"/>
      <color indexed="43"/>
      <name val="Arial"/>
      <family val="2"/>
    </font>
    <font>
      <b/>
      <sz val="18"/>
      <color indexed="9"/>
      <name val="Arial"/>
      <family val="2"/>
    </font>
    <font>
      <i/>
      <sz val="10"/>
      <color indexed="56"/>
      <name val="Arial"/>
      <family val="2"/>
    </font>
    <font>
      <sz val="11"/>
      <name val="Arial"/>
      <family val="2"/>
    </font>
    <font>
      <i/>
      <sz val="11"/>
      <color indexed="56"/>
      <name val="Arial"/>
      <family val="2"/>
    </font>
    <font>
      <b/>
      <u/>
      <sz val="10"/>
      <color indexed="22"/>
      <name val="Arial"/>
      <family val="2"/>
    </font>
    <font>
      <sz val="10"/>
      <color indexed="60"/>
      <name val="Arial"/>
      <family val="2"/>
    </font>
    <font>
      <b/>
      <sz val="10"/>
      <color indexed="56"/>
      <name val="Arial"/>
      <family val="2"/>
    </font>
    <font>
      <sz val="10"/>
      <color indexed="8"/>
      <name val="Arial"/>
      <family val="2"/>
    </font>
    <font>
      <i/>
      <sz val="10"/>
      <color indexed="60"/>
      <name val="Arial"/>
      <family val="2"/>
    </font>
    <font>
      <u/>
      <sz val="10"/>
      <name val="Arial"/>
      <family val="2"/>
    </font>
    <font>
      <sz val="10"/>
      <name val="Symbol"/>
      <family val="1"/>
      <charset val="2"/>
    </font>
    <font>
      <i/>
      <sz val="10"/>
      <color indexed="22"/>
      <name val="Arial"/>
      <family val="2"/>
    </font>
    <font>
      <i/>
      <u/>
      <sz val="10"/>
      <color indexed="22"/>
      <name val="Arial"/>
      <family val="2"/>
    </font>
    <font>
      <b/>
      <sz val="11"/>
      <color indexed="9"/>
      <name val="Arial"/>
      <family val="2"/>
    </font>
    <font>
      <b/>
      <sz val="16"/>
      <color indexed="9"/>
      <name val="Arial"/>
      <family val="2"/>
    </font>
    <font>
      <sz val="10"/>
      <color indexed="55"/>
      <name val="Arial"/>
      <family val="2"/>
    </font>
    <font>
      <vertAlign val="subscript"/>
      <sz val="10"/>
      <name val="Arial"/>
      <family val="2"/>
    </font>
    <font>
      <sz val="9"/>
      <name val="Arial"/>
      <family val="2"/>
    </font>
    <font>
      <b/>
      <sz val="9"/>
      <name val="Arial"/>
      <family val="2"/>
    </font>
    <font>
      <sz val="10"/>
      <color rgb="FF002060"/>
      <name val="Arial"/>
      <family val="2"/>
    </font>
    <font>
      <b/>
      <sz val="10"/>
      <color rgb="FFFF0000"/>
      <name val="Arial"/>
      <family val="2"/>
    </font>
    <font>
      <sz val="10"/>
      <color theme="5" tint="0.79998168889431442"/>
      <name val="Arial"/>
      <family val="2"/>
    </font>
    <font>
      <sz val="11"/>
      <color rgb="FFFF5050"/>
      <name val="Arial"/>
      <family val="2"/>
    </font>
    <font>
      <b/>
      <sz val="14"/>
      <color theme="0"/>
      <name val="Arial"/>
      <family val="2"/>
    </font>
    <font>
      <b/>
      <sz val="10"/>
      <color theme="3"/>
      <name val="Arial"/>
      <family val="2"/>
    </font>
    <font>
      <b/>
      <sz val="10"/>
      <color theme="3"/>
      <name val="Symbol"/>
      <family val="1"/>
      <charset val="2"/>
    </font>
    <font>
      <b/>
      <sz val="11"/>
      <color rgb="FF808080"/>
      <name val="Arial"/>
      <family val="2"/>
    </font>
    <font>
      <sz val="10"/>
      <color theme="7"/>
      <name val="Arial"/>
      <family val="2"/>
    </font>
    <font>
      <sz val="10"/>
      <color theme="0"/>
      <name val="Arial"/>
      <family val="2"/>
    </font>
  </fonts>
  <fills count="20">
    <fill>
      <patternFill patternType="none"/>
    </fill>
    <fill>
      <patternFill patternType="gray125"/>
    </fill>
    <fill>
      <patternFill patternType="solid">
        <fgColor indexed="56"/>
        <bgColor indexed="64"/>
      </patternFill>
    </fill>
    <fill>
      <patternFill patternType="solid">
        <fgColor indexed="44"/>
        <bgColor indexed="64"/>
      </patternFill>
    </fill>
    <fill>
      <patternFill patternType="solid">
        <fgColor indexed="22"/>
        <bgColor indexed="64"/>
      </patternFill>
    </fill>
    <fill>
      <patternFill patternType="solid">
        <fgColor theme="3"/>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DDDDDD"/>
        <bgColor indexed="64"/>
      </patternFill>
    </fill>
    <fill>
      <patternFill patternType="solid">
        <fgColor theme="3" tint="0.89999084444715716"/>
        <bgColor indexed="64"/>
      </patternFill>
    </fill>
    <fill>
      <patternFill patternType="solid">
        <fgColor theme="2"/>
        <bgColor indexed="64"/>
      </patternFill>
    </fill>
    <fill>
      <patternFill patternType="solid">
        <fgColor rgb="FFFF7C80"/>
        <bgColor indexed="64"/>
      </patternFill>
    </fill>
    <fill>
      <patternFill patternType="solid">
        <fgColor theme="4" tint="0.79998168889431442"/>
        <bgColor indexed="64"/>
      </patternFill>
    </fill>
    <fill>
      <patternFill patternType="solid">
        <fgColor rgb="FFFF5050"/>
        <bgColor indexed="64"/>
      </patternFill>
    </fill>
    <fill>
      <patternFill patternType="solid">
        <fgColor rgb="FFFFCC99"/>
        <bgColor indexed="64"/>
      </patternFill>
    </fill>
    <fill>
      <patternFill patternType="solid">
        <fgColor theme="0"/>
        <bgColor indexed="64"/>
      </patternFill>
    </fill>
    <fill>
      <patternFill patternType="solid">
        <fgColor theme="8" tint="0.59999389629810485"/>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right/>
      <top style="thin">
        <color indexed="23"/>
      </top>
      <bottom style="thin">
        <color indexed="23"/>
      </bottom>
      <diagonal/>
    </border>
    <border>
      <left style="thin">
        <color indexed="23"/>
      </left>
      <right style="thin">
        <color indexed="23"/>
      </right>
      <top/>
      <bottom style="thin">
        <color indexed="23"/>
      </bottom>
      <diagonal/>
    </border>
    <border>
      <left/>
      <right style="thin">
        <color indexed="23"/>
      </right>
      <top/>
      <bottom style="thin">
        <color indexed="23"/>
      </bottom>
      <diagonal/>
    </border>
    <border>
      <left/>
      <right/>
      <top/>
      <bottom style="thin">
        <color indexed="56"/>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23"/>
      </left>
      <right/>
      <top style="thin">
        <color indexed="23"/>
      </top>
      <bottom style="thin">
        <color indexed="23"/>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style="thin">
        <color indexed="56"/>
      </left>
      <right/>
      <top style="thin">
        <color indexed="56"/>
      </top>
      <bottom/>
      <diagonal/>
    </border>
    <border>
      <left/>
      <right/>
      <top style="thin">
        <color indexed="56"/>
      </top>
      <bottom/>
      <diagonal/>
    </border>
    <border>
      <left/>
      <right style="thin">
        <color indexed="56"/>
      </right>
      <top style="thin">
        <color indexed="56"/>
      </top>
      <bottom/>
      <diagonal/>
    </border>
    <border>
      <left style="thin">
        <color indexed="56"/>
      </left>
      <right/>
      <top/>
      <bottom/>
      <diagonal/>
    </border>
    <border>
      <left/>
      <right style="thin">
        <color indexed="56"/>
      </right>
      <top/>
      <bottom/>
      <diagonal/>
    </border>
    <border>
      <left style="thin">
        <color indexed="23"/>
      </left>
      <right/>
      <top/>
      <bottom style="thin">
        <color indexed="23"/>
      </bottom>
      <diagonal/>
    </border>
    <border>
      <left style="thin">
        <color indexed="23"/>
      </left>
      <right/>
      <top style="thin">
        <color indexed="23"/>
      </top>
      <bottom/>
      <diagonal/>
    </border>
    <border>
      <left/>
      <right/>
      <top style="thin">
        <color indexed="23"/>
      </top>
      <bottom/>
      <diagonal/>
    </border>
    <border>
      <left/>
      <right/>
      <top/>
      <bottom style="thin">
        <color indexed="23"/>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55"/>
      </left>
      <right style="thin">
        <color indexed="55"/>
      </right>
      <top/>
      <bottom style="thin">
        <color indexed="55"/>
      </bottom>
      <diagonal/>
    </border>
    <border>
      <left style="thin">
        <color indexed="9"/>
      </left>
      <right style="thin">
        <color theme="6"/>
      </right>
      <top style="thin">
        <color indexed="9"/>
      </top>
      <bottom style="thin">
        <color theme="6"/>
      </bottom>
      <diagonal/>
    </border>
    <border>
      <left style="thin">
        <color indexed="9"/>
      </left>
      <right/>
      <top style="thin">
        <color indexed="9"/>
      </top>
      <bottom style="thin">
        <color theme="6"/>
      </bottom>
      <diagonal/>
    </border>
    <border>
      <left/>
      <right/>
      <top style="thin">
        <color indexed="9"/>
      </top>
      <bottom style="thin">
        <color theme="6"/>
      </bottom>
      <diagonal/>
    </border>
    <border>
      <left/>
      <right style="thin">
        <color theme="6"/>
      </right>
      <top style="thin">
        <color indexed="9"/>
      </top>
      <bottom style="thin">
        <color theme="6"/>
      </bottom>
      <diagonal/>
    </border>
    <border>
      <left style="thin">
        <color indexed="9"/>
      </left>
      <right/>
      <top/>
      <bottom style="thin">
        <color theme="6"/>
      </bottom>
      <diagonal/>
    </border>
    <border>
      <left/>
      <right style="thin">
        <color theme="6"/>
      </right>
      <top/>
      <bottom style="thin">
        <color theme="6"/>
      </bottom>
      <diagonal/>
    </border>
    <border>
      <left/>
      <right/>
      <top/>
      <bottom style="thin">
        <color theme="6"/>
      </bottom>
      <diagonal/>
    </border>
    <border>
      <left style="thin">
        <color theme="7"/>
      </left>
      <right style="thin">
        <color theme="7"/>
      </right>
      <top style="thin">
        <color theme="7"/>
      </top>
      <bottom style="thin">
        <color theme="7"/>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right style="thin">
        <color theme="7"/>
      </right>
      <top/>
      <bottom style="thin">
        <color theme="7"/>
      </bottom>
      <diagonal/>
    </border>
    <border>
      <left/>
      <right/>
      <top/>
      <bottom style="thin">
        <color theme="7"/>
      </bottom>
      <diagonal/>
    </border>
    <border>
      <left/>
      <right style="thin">
        <color indexed="56"/>
      </right>
      <top/>
      <bottom style="thin">
        <color theme="3"/>
      </bottom>
      <diagonal/>
    </border>
    <border>
      <left/>
      <right/>
      <top/>
      <bottom style="thin">
        <color theme="3"/>
      </bottom>
      <diagonal/>
    </border>
    <border>
      <left style="thin">
        <color indexed="23"/>
      </left>
      <right style="thin">
        <color indexed="23"/>
      </right>
      <top style="medium">
        <color indexed="23"/>
      </top>
      <bottom style="thin">
        <color indexed="23"/>
      </bottom>
      <diagonal/>
    </border>
    <border>
      <left style="thin">
        <color indexed="23"/>
      </left>
      <right style="thin">
        <color indexed="23"/>
      </right>
      <top/>
      <bottom/>
      <diagonal/>
    </border>
    <border>
      <left style="thin">
        <color indexed="23"/>
      </left>
      <right/>
      <top style="medium">
        <color indexed="23"/>
      </top>
      <bottom style="thin">
        <color indexed="23"/>
      </bottom>
      <diagonal/>
    </border>
    <border>
      <left style="thin">
        <color theme="7"/>
      </left>
      <right style="thin">
        <color theme="7"/>
      </right>
      <top style="thin">
        <color theme="7"/>
      </top>
      <bottom/>
      <diagonal/>
    </border>
    <border>
      <left style="thin">
        <color theme="7"/>
      </left>
      <right style="thin">
        <color theme="7"/>
      </right>
      <top/>
      <bottom/>
      <diagonal/>
    </border>
    <border>
      <left style="thin">
        <color theme="7"/>
      </left>
      <right style="thin">
        <color theme="7"/>
      </right>
      <top/>
      <bottom style="thin">
        <color theme="7"/>
      </bottom>
      <diagonal/>
    </border>
  </borders>
  <cellStyleXfs count="1">
    <xf numFmtId="0" fontId="0" fillId="0" borderId="0"/>
  </cellStyleXfs>
  <cellXfs count="212">
    <xf numFmtId="0" fontId="0" fillId="0" borderId="0" xfId="0"/>
    <xf numFmtId="0" fontId="0" fillId="0" borderId="1" xfId="0" applyBorder="1"/>
    <xf numFmtId="0" fontId="0" fillId="4" borderId="3" xfId="0" applyFill="1" applyBorder="1"/>
    <xf numFmtId="0" fontId="0" fillId="0" borderId="1" xfId="0" applyBorder="1" applyAlignment="1">
      <alignment horizontal="center"/>
    </xf>
    <xf numFmtId="0" fontId="3" fillId="0" borderId="6" xfId="0" applyFont="1" applyFill="1" applyBorder="1"/>
    <xf numFmtId="0" fontId="0" fillId="0" borderId="6" xfId="0" applyFill="1" applyBorder="1"/>
    <xf numFmtId="0" fontId="4" fillId="0" borderId="0" xfId="0" applyFont="1"/>
    <xf numFmtId="164" fontId="4" fillId="0" borderId="0" xfId="0" applyNumberFormat="1" applyFont="1"/>
    <xf numFmtId="0" fontId="4" fillId="0" borderId="0" xfId="0" applyFont="1" applyFill="1"/>
    <xf numFmtId="0" fontId="16" fillId="0" borderId="0" xfId="0" applyFont="1" applyAlignment="1">
      <alignment horizontal="center"/>
    </xf>
    <xf numFmtId="0" fontId="4" fillId="0" borderId="0" xfId="0" applyFont="1" applyFill="1" applyAlignment="1">
      <alignment horizontal="left"/>
    </xf>
    <xf numFmtId="0" fontId="7" fillId="0" borderId="0" xfId="0" applyFont="1"/>
    <xf numFmtId="0" fontId="17" fillId="0" borderId="0" xfId="0" applyFont="1"/>
    <xf numFmtId="2" fontId="4" fillId="0" borderId="0" xfId="0" applyNumberFormat="1" applyFont="1"/>
    <xf numFmtId="2" fontId="4" fillId="0" borderId="0" xfId="0" applyNumberFormat="1" applyFont="1" applyFill="1"/>
    <xf numFmtId="0" fontId="17" fillId="0" borderId="0" xfId="0" applyFont="1" applyFill="1"/>
    <xf numFmtId="0" fontId="20" fillId="0" borderId="0" xfId="0" applyFont="1" applyFill="1" applyAlignment="1">
      <alignment horizontal="left"/>
    </xf>
    <xf numFmtId="0" fontId="17" fillId="0" borderId="0" xfId="0" applyFont="1" applyFill="1" applyAlignment="1">
      <alignment horizontal="left"/>
    </xf>
    <xf numFmtId="9" fontId="4" fillId="0" borderId="0" xfId="0" applyNumberFormat="1" applyFont="1"/>
    <xf numFmtId="2" fontId="0" fillId="0" borderId="6" xfId="0" applyNumberFormat="1" applyFill="1" applyBorder="1"/>
    <xf numFmtId="0" fontId="19" fillId="0" borderId="0" xfId="0" applyFont="1"/>
    <xf numFmtId="0" fontId="27" fillId="0" borderId="0" xfId="0" applyFont="1"/>
    <xf numFmtId="164" fontId="27" fillId="0" borderId="0" xfId="0" applyNumberFormat="1" applyFont="1"/>
    <xf numFmtId="0" fontId="0" fillId="5" borderId="0" xfId="0" applyFill="1"/>
    <xf numFmtId="0" fontId="12" fillId="5" borderId="0" xfId="0" applyFont="1" applyFill="1"/>
    <xf numFmtId="0" fontId="1" fillId="5" borderId="0" xfId="0" applyFont="1" applyFill="1" applyAlignment="1">
      <alignment horizontal="right"/>
    </xf>
    <xf numFmtId="0" fontId="11" fillId="5" borderId="0" xfId="0" applyFont="1" applyFill="1" applyAlignment="1">
      <alignment horizontal="left"/>
    </xf>
    <xf numFmtId="0" fontId="1" fillId="5" borderId="0" xfId="0" applyFont="1" applyFill="1" applyAlignment="1">
      <alignment horizontal="left"/>
    </xf>
    <xf numFmtId="0" fontId="31" fillId="5" borderId="0" xfId="0" applyFont="1" applyFill="1"/>
    <xf numFmtId="0" fontId="33" fillId="5" borderId="0" xfId="0" applyFont="1" applyFill="1" applyAlignment="1">
      <alignment horizontal="right"/>
    </xf>
    <xf numFmtId="0" fontId="14" fillId="9" borderId="27" xfId="0" applyFont="1" applyFill="1" applyBorder="1"/>
    <xf numFmtId="0" fontId="14" fillId="7" borderId="24" xfId="0" applyFont="1" applyFill="1" applyBorder="1" applyAlignment="1">
      <alignment horizontal="center"/>
    </xf>
    <xf numFmtId="0" fontId="1" fillId="5" borderId="30" xfId="0" applyFont="1" applyFill="1" applyBorder="1" applyAlignment="1">
      <alignment horizontal="right"/>
    </xf>
    <xf numFmtId="0" fontId="0" fillId="5" borderId="30" xfId="0" applyFill="1" applyBorder="1"/>
    <xf numFmtId="0" fontId="0" fillId="10" borderId="0" xfId="0" applyFill="1"/>
    <xf numFmtId="0" fontId="2" fillId="10" borderId="0" xfId="0" applyFont="1" applyFill="1"/>
    <xf numFmtId="0" fontId="0" fillId="11" borderId="0" xfId="0" applyFill="1"/>
    <xf numFmtId="0" fontId="0" fillId="6" borderId="0" xfId="0" applyFill="1"/>
    <xf numFmtId="0" fontId="33" fillId="6" borderId="0" xfId="0" applyFont="1" applyFill="1"/>
    <xf numFmtId="0" fontId="7" fillId="6" borderId="0" xfId="0" applyFont="1" applyFill="1"/>
    <xf numFmtId="0" fontId="0" fillId="6" borderId="1" xfId="0" applyFill="1" applyBorder="1" applyAlignment="1">
      <alignment vertical="top"/>
    </xf>
    <xf numFmtId="0" fontId="0" fillId="6" borderId="3" xfId="0" applyFill="1" applyBorder="1"/>
    <xf numFmtId="164" fontId="4" fillId="6" borderId="1" xfId="0" applyNumberFormat="1" applyFont="1" applyFill="1" applyBorder="1"/>
    <xf numFmtId="164" fontId="0" fillId="6" borderId="1" xfId="0" applyNumberFormat="1" applyFill="1" applyBorder="1"/>
    <xf numFmtId="165" fontId="0" fillId="6" borderId="1" xfId="0" applyNumberFormat="1" applyFill="1" applyBorder="1"/>
    <xf numFmtId="0" fontId="5" fillId="6" borderId="0" xfId="0" applyFont="1" applyFill="1"/>
    <xf numFmtId="0" fontId="15" fillId="6" borderId="0" xfId="0" applyFont="1" applyFill="1" applyAlignment="1">
      <alignment horizontal="right"/>
    </xf>
    <xf numFmtId="2" fontId="15" fillId="6" borderId="0" xfId="0" applyNumberFormat="1" applyFont="1" applyFill="1"/>
    <xf numFmtId="0" fontId="3" fillId="6" borderId="0" xfId="0" applyFont="1" applyFill="1"/>
    <xf numFmtId="0" fontId="32" fillId="6" borderId="0" xfId="0" applyFont="1" applyFill="1"/>
    <xf numFmtId="0" fontId="0" fillId="6" borderId="0" xfId="0" applyFill="1" applyAlignment="1">
      <alignment horizontal="center"/>
    </xf>
    <xf numFmtId="0" fontId="0" fillId="8" borderId="0" xfId="0" applyFill="1"/>
    <xf numFmtId="0" fontId="2" fillId="5" borderId="0" xfId="0" applyFont="1" applyFill="1" applyBorder="1"/>
    <xf numFmtId="0" fontId="3" fillId="13" borderId="1" xfId="0" applyFont="1" applyFill="1" applyBorder="1"/>
    <xf numFmtId="0" fontId="30" fillId="13" borderId="1" xfId="0" applyFont="1" applyFill="1" applyBorder="1"/>
    <xf numFmtId="0" fontId="3" fillId="13" borderId="4" xfId="0" applyFont="1" applyFill="1" applyBorder="1"/>
    <xf numFmtId="0" fontId="3" fillId="13" borderId="3" xfId="0" applyFont="1" applyFill="1" applyBorder="1"/>
    <xf numFmtId="0" fontId="3" fillId="13" borderId="2" xfId="0" applyFont="1" applyFill="1" applyBorder="1"/>
    <xf numFmtId="0" fontId="3" fillId="13" borderId="1" xfId="0" applyFont="1" applyFill="1" applyBorder="1" applyAlignment="1">
      <alignment horizontal="center"/>
    </xf>
    <xf numFmtId="0" fontId="3" fillId="13" borderId="0" xfId="0" applyFont="1" applyFill="1" applyBorder="1"/>
    <xf numFmtId="0" fontId="7" fillId="13" borderId="8" xfId="0" applyFont="1" applyFill="1" applyBorder="1" applyAlignment="1">
      <alignment horizontal="left"/>
    </xf>
    <xf numFmtId="0" fontId="7" fillId="13" borderId="2" xfId="0" applyFont="1" applyFill="1" applyBorder="1" applyAlignment="1">
      <alignment horizontal="right"/>
    </xf>
    <xf numFmtId="0" fontId="7" fillId="13" borderId="10" xfId="0" quotePrefix="1" applyFont="1" applyFill="1" applyBorder="1" applyAlignment="1">
      <alignment horizontal="left"/>
    </xf>
    <xf numFmtId="0" fontId="7" fillId="13" borderId="2" xfId="0" quotePrefix="1" applyFont="1" applyFill="1" applyBorder="1" applyAlignment="1">
      <alignment horizontal="right"/>
    </xf>
    <xf numFmtId="0" fontId="7" fillId="13" borderId="10" xfId="0" applyFont="1" applyFill="1" applyBorder="1" applyAlignment="1">
      <alignment horizontal="left"/>
    </xf>
    <xf numFmtId="0" fontId="0" fillId="12" borderId="1" xfId="0" applyFill="1" applyBorder="1" applyAlignment="1">
      <alignment vertical="top"/>
    </xf>
    <xf numFmtId="0" fontId="7" fillId="12" borderId="1" xfId="0" applyFont="1" applyFill="1" applyBorder="1" applyAlignment="1">
      <alignment vertical="top"/>
    </xf>
    <xf numFmtId="0" fontId="0" fillId="12" borderId="3" xfId="0" applyFill="1" applyBorder="1"/>
    <xf numFmtId="0" fontId="6" fillId="16" borderId="1" xfId="0" applyFont="1" applyFill="1" applyBorder="1"/>
    <xf numFmtId="0" fontId="0" fillId="12" borderId="1" xfId="0" applyFill="1" applyBorder="1"/>
    <xf numFmtId="0" fontId="3" fillId="14" borderId="1" xfId="0" applyFont="1" applyFill="1" applyBorder="1"/>
    <xf numFmtId="165" fontId="2" fillId="14" borderId="1" xfId="0" applyNumberFormat="1" applyFont="1" applyFill="1" applyBorder="1"/>
    <xf numFmtId="166" fontId="2" fillId="14" borderId="1" xfId="0" applyNumberFormat="1" applyFont="1" applyFill="1" applyBorder="1"/>
    <xf numFmtId="2" fontId="3" fillId="14" borderId="1" xfId="0" applyNumberFormat="1" applyFont="1" applyFill="1" applyBorder="1"/>
    <xf numFmtId="2" fontId="3" fillId="14" borderId="1" xfId="0" applyNumberFormat="1" applyFont="1" applyFill="1" applyBorder="1" applyAlignment="1">
      <alignment horizontal="center"/>
    </xf>
    <xf numFmtId="0" fontId="3" fillId="15" borderId="1" xfId="0" applyFont="1" applyFill="1" applyBorder="1" applyAlignment="1">
      <alignment horizontal="center"/>
    </xf>
    <xf numFmtId="0" fontId="7" fillId="12" borderId="1" xfId="0" applyNumberFormat="1" applyFont="1" applyFill="1" applyBorder="1" applyAlignment="1">
      <alignment horizontal="right"/>
    </xf>
    <xf numFmtId="0" fontId="7" fillId="13" borderId="32" xfId="0" applyFont="1" applyFill="1" applyBorder="1" applyAlignment="1">
      <alignment horizontal="left"/>
    </xf>
    <xf numFmtId="0" fontId="7" fillId="13" borderId="33" xfId="0" applyFont="1" applyFill="1" applyBorder="1" applyAlignment="1">
      <alignment horizontal="right"/>
    </xf>
    <xf numFmtId="0" fontId="7" fillId="13" borderId="33" xfId="0" quotePrefix="1" applyFont="1" applyFill="1" applyBorder="1" applyAlignment="1">
      <alignment horizontal="right"/>
    </xf>
    <xf numFmtId="0" fontId="7" fillId="13" borderId="34" xfId="0" quotePrefix="1" applyFont="1" applyFill="1" applyBorder="1" applyAlignment="1">
      <alignment horizontal="left"/>
    </xf>
    <xf numFmtId="0" fontId="7" fillId="12" borderId="31" xfId="0" applyNumberFormat="1" applyFont="1" applyFill="1" applyBorder="1" applyAlignment="1">
      <alignment horizontal="right"/>
    </xf>
    <xf numFmtId="0" fontId="7" fillId="13" borderId="34" xfId="0" applyFont="1" applyFill="1" applyBorder="1" applyAlignment="1">
      <alignment horizontal="left"/>
    </xf>
    <xf numFmtId="0" fontId="3" fillId="15" borderId="31" xfId="0" applyFont="1" applyFill="1" applyBorder="1" applyAlignment="1">
      <alignment horizontal="center"/>
    </xf>
    <xf numFmtId="0" fontId="3" fillId="3" borderId="31" xfId="0" applyFont="1" applyFill="1" applyBorder="1" applyAlignment="1">
      <alignment horizontal="center"/>
    </xf>
    <xf numFmtId="2" fontId="6" fillId="18" borderId="31" xfId="0" applyNumberFormat="1" applyFont="1" applyFill="1" applyBorder="1"/>
    <xf numFmtId="0" fontId="3" fillId="6" borderId="35" xfId="0" applyFont="1" applyFill="1" applyBorder="1"/>
    <xf numFmtId="2" fontId="6" fillId="0" borderId="31" xfId="0" applyNumberFormat="1" applyFont="1" applyFill="1" applyBorder="1"/>
    <xf numFmtId="0" fontId="18" fillId="3" borderId="34" xfId="0" applyFont="1" applyFill="1" applyBorder="1" applyAlignment="1">
      <alignment horizontal="left"/>
    </xf>
    <xf numFmtId="0" fontId="7" fillId="12" borderId="31" xfId="0" applyFont="1" applyFill="1" applyBorder="1" applyAlignment="1">
      <alignment horizontal="right"/>
    </xf>
    <xf numFmtId="0" fontId="0" fillId="12" borderId="31" xfId="0" applyFill="1" applyBorder="1" applyAlignment="1">
      <alignment horizontal="right"/>
    </xf>
    <xf numFmtId="0" fontId="3" fillId="17" borderId="6" xfId="0" applyFont="1" applyFill="1" applyBorder="1"/>
    <xf numFmtId="0" fontId="3" fillId="14" borderId="6" xfId="0" applyFont="1" applyFill="1" applyBorder="1"/>
    <xf numFmtId="2" fontId="0" fillId="14" borderId="6" xfId="0" applyNumberFormat="1" applyFill="1" applyBorder="1"/>
    <xf numFmtId="10" fontId="0" fillId="14" borderId="6" xfId="0" applyNumberFormat="1" applyFill="1" applyBorder="1"/>
    <xf numFmtId="2" fontId="7" fillId="17" borderId="6" xfId="0" applyNumberFormat="1" applyFont="1" applyFill="1" applyBorder="1"/>
    <xf numFmtId="10" fontId="7" fillId="17" borderId="6" xfId="0" applyNumberFormat="1" applyFont="1" applyFill="1" applyBorder="1"/>
    <xf numFmtId="0" fontId="8" fillId="10" borderId="0" xfId="0" applyFont="1" applyFill="1" applyAlignment="1">
      <alignment horizontal="left"/>
    </xf>
    <xf numFmtId="2" fontId="0" fillId="10" borderId="0" xfId="0" applyNumberFormat="1" applyFill="1"/>
    <xf numFmtId="0" fontId="13" fillId="10" borderId="0" xfId="0" applyFont="1" applyFill="1"/>
    <xf numFmtId="2" fontId="13" fillId="10" borderId="0" xfId="0" applyNumberFormat="1" applyFont="1" applyFill="1"/>
    <xf numFmtId="0" fontId="3" fillId="14" borderId="31" xfId="0" applyFont="1" applyFill="1" applyBorder="1"/>
    <xf numFmtId="0" fontId="3" fillId="17" borderId="31" xfId="0" applyFont="1" applyFill="1" applyBorder="1"/>
    <xf numFmtId="0" fontId="3" fillId="0" borderId="31" xfId="0" applyFont="1" applyBorder="1"/>
    <xf numFmtId="0" fontId="9" fillId="0" borderId="31" xfId="0" applyFont="1" applyBorder="1" applyAlignment="1">
      <alignment horizontal="center"/>
    </xf>
    <xf numFmtId="0" fontId="7" fillId="14" borderId="31" xfId="0" applyFont="1" applyFill="1" applyBorder="1"/>
    <xf numFmtId="0" fontId="0" fillId="17" borderId="31" xfId="0" applyFill="1" applyBorder="1"/>
    <xf numFmtId="0" fontId="0" fillId="0" borderId="31" xfId="0" applyBorder="1"/>
    <xf numFmtId="0" fontId="0" fillId="0" borderId="31" xfId="0" applyBorder="1" applyAlignment="1">
      <alignment horizontal="right"/>
    </xf>
    <xf numFmtId="2" fontId="7" fillId="14" borderId="31" xfId="0" applyNumberFormat="1" applyFont="1" applyFill="1" applyBorder="1"/>
    <xf numFmtId="2" fontId="0" fillId="17" borderId="31" xfId="0" applyNumberFormat="1" applyFill="1" applyBorder="1"/>
    <xf numFmtId="0" fontId="3" fillId="0" borderId="31" xfId="0" applyFont="1" applyFill="1" applyBorder="1"/>
    <xf numFmtId="1" fontId="0" fillId="0" borderId="31" xfId="0" applyNumberFormat="1" applyBorder="1"/>
    <xf numFmtId="0" fontId="3" fillId="0" borderId="31" xfId="0" quotePrefix="1" applyFont="1" applyFill="1" applyBorder="1" applyAlignment="1">
      <alignment horizontal="center"/>
    </xf>
    <xf numFmtId="0" fontId="7" fillId="14" borderId="31" xfId="0" applyFont="1" applyFill="1" applyBorder="1" applyAlignment="1">
      <alignment horizontal="right"/>
    </xf>
    <xf numFmtId="0" fontId="0" fillId="17" borderId="31" xfId="0" applyFill="1" applyBorder="1" applyAlignment="1">
      <alignment horizontal="right"/>
    </xf>
    <xf numFmtId="0" fontId="10" fillId="0" borderId="31" xfId="0" applyFont="1" applyFill="1" applyBorder="1" applyAlignment="1">
      <alignment horizontal="right"/>
    </xf>
    <xf numFmtId="0" fontId="7" fillId="0" borderId="31" xfId="0" applyFont="1" applyFill="1" applyBorder="1"/>
    <xf numFmtId="0" fontId="0" fillId="0" borderId="31" xfId="0" applyFill="1" applyBorder="1"/>
    <xf numFmtId="0" fontId="0" fillId="10" borderId="36" xfId="0" applyFill="1" applyBorder="1"/>
    <xf numFmtId="0" fontId="0" fillId="10" borderId="35" xfId="0" applyFill="1" applyBorder="1"/>
    <xf numFmtId="0" fontId="2" fillId="8" borderId="31" xfId="0" applyFont="1" applyFill="1" applyBorder="1"/>
    <xf numFmtId="0" fontId="9" fillId="8" borderId="31" xfId="0" applyFont="1" applyFill="1" applyBorder="1" applyAlignment="1">
      <alignment horizontal="center"/>
    </xf>
    <xf numFmtId="0" fontId="0" fillId="8" borderId="31" xfId="0" applyFill="1" applyBorder="1"/>
    <xf numFmtId="0" fontId="8" fillId="10" borderId="11" xfId="0" applyFont="1" applyFill="1" applyBorder="1" applyAlignment="1">
      <alignment horizontal="left"/>
    </xf>
    <xf numFmtId="0" fontId="26" fillId="10" borderId="12" xfId="0" applyFont="1" applyFill="1" applyBorder="1" applyAlignment="1">
      <alignment horizontal="left"/>
    </xf>
    <xf numFmtId="0" fontId="26" fillId="10" borderId="13" xfId="0" applyFont="1" applyFill="1" applyBorder="1" applyAlignment="1">
      <alignment horizontal="left"/>
    </xf>
    <xf numFmtId="0" fontId="0" fillId="10" borderId="14" xfId="0" applyFill="1" applyBorder="1"/>
    <xf numFmtId="0" fontId="0" fillId="10" borderId="0" xfId="0" applyFill="1" applyBorder="1"/>
    <xf numFmtId="0" fontId="0" fillId="10" borderId="15" xfId="0" applyFill="1" applyBorder="1"/>
    <xf numFmtId="0" fontId="8" fillId="10" borderId="0" xfId="0" applyFont="1" applyFill="1" applyBorder="1" applyAlignment="1">
      <alignment horizontal="left"/>
    </xf>
    <xf numFmtId="0" fontId="8" fillId="10" borderId="14" xfId="0" applyFont="1" applyFill="1" applyBorder="1" applyAlignment="1">
      <alignment horizontal="left"/>
    </xf>
    <xf numFmtId="0" fontId="0" fillId="10" borderId="5" xfId="0" applyFill="1" applyBorder="1"/>
    <xf numFmtId="0" fontId="25" fillId="5" borderId="31" xfId="0" applyFont="1" applyFill="1" applyBorder="1"/>
    <xf numFmtId="0" fontId="36" fillId="19" borderId="31" xfId="0" applyFont="1" applyFill="1" applyBorder="1" applyAlignment="1">
      <alignment vertical="top" wrapText="1"/>
    </xf>
    <xf numFmtId="0" fontId="0" fillId="19" borderId="31" xfId="0" applyFill="1" applyBorder="1" applyAlignment="1">
      <alignment vertical="top" wrapText="1"/>
    </xf>
    <xf numFmtId="0" fontId="3" fillId="19" borderId="31" xfId="0" applyFont="1" applyFill="1" applyBorder="1" applyAlignment="1">
      <alignment vertical="top" wrapText="1"/>
    </xf>
    <xf numFmtId="0" fontId="7" fillId="19" borderId="31" xfId="0" applyFont="1" applyFill="1" applyBorder="1" applyAlignment="1">
      <alignment vertical="top" wrapText="1"/>
    </xf>
    <xf numFmtId="0" fontId="36" fillId="19" borderId="31" xfId="0" applyFont="1" applyFill="1" applyBorder="1" applyAlignment="1">
      <alignment vertical="top" wrapText="1"/>
    </xf>
    <xf numFmtId="0" fontId="25" fillId="5" borderId="31" xfId="0" applyFont="1" applyFill="1" applyBorder="1"/>
    <xf numFmtId="0" fontId="0" fillId="10" borderId="38" xfId="0" applyFill="1" applyBorder="1"/>
    <xf numFmtId="0" fontId="0" fillId="10" borderId="37" xfId="0" applyFill="1" applyBorder="1"/>
    <xf numFmtId="0" fontId="7" fillId="12" borderId="3" xfId="0" applyFont="1" applyFill="1" applyBorder="1" applyAlignment="1">
      <alignment vertical="top"/>
    </xf>
    <xf numFmtId="0" fontId="7" fillId="12" borderId="3" xfId="0" applyFont="1" applyFill="1" applyBorder="1"/>
    <xf numFmtId="0" fontId="39" fillId="6" borderId="0" xfId="0" applyFont="1" applyFill="1"/>
    <xf numFmtId="0" fontId="7" fillId="19" borderId="31" xfId="0" applyFont="1" applyFill="1" applyBorder="1" applyAlignment="1">
      <alignment vertical="top" wrapText="1"/>
    </xf>
    <xf numFmtId="0" fontId="36" fillId="19" borderId="31" xfId="0" applyFont="1" applyFill="1" applyBorder="1" applyAlignment="1">
      <alignment vertical="top" wrapText="1"/>
    </xf>
    <xf numFmtId="0" fontId="3" fillId="13" borderId="1" xfId="0" applyFont="1" applyFill="1" applyBorder="1" applyAlignment="1"/>
    <xf numFmtId="0" fontId="3" fillId="13" borderId="9" xfId="0" applyFont="1" applyFill="1" applyBorder="1" applyAlignment="1"/>
    <xf numFmtId="0" fontId="0" fillId="12" borderId="40" xfId="0" applyFill="1" applyBorder="1"/>
    <xf numFmtId="0" fontId="7" fillId="12" borderId="40" xfId="0" applyFont="1" applyFill="1" applyBorder="1"/>
    <xf numFmtId="0" fontId="3" fillId="13" borderId="41" xfId="0" applyFont="1" applyFill="1" applyBorder="1" applyAlignment="1"/>
    <xf numFmtId="164" fontId="7" fillId="12" borderId="39" xfId="0" applyNumberFormat="1" applyFont="1" applyFill="1" applyBorder="1" applyAlignment="1">
      <alignment vertical="top"/>
    </xf>
    <xf numFmtId="0" fontId="29" fillId="19" borderId="31" xfId="0" applyFont="1" applyFill="1" applyBorder="1" applyAlignment="1">
      <alignment vertical="top" wrapText="1"/>
    </xf>
    <xf numFmtId="168" fontId="14" fillId="9" borderId="24" xfId="0" applyNumberFormat="1" applyFont="1" applyFill="1" applyBorder="1" applyAlignment="1">
      <alignment horizontal="left"/>
    </xf>
    <xf numFmtId="0" fontId="33" fillId="5" borderId="0" xfId="0" applyFont="1" applyFill="1" applyAlignment="1">
      <alignment horizontal="right"/>
    </xf>
    <xf numFmtId="0" fontId="40" fillId="5" borderId="0" xfId="0" applyFont="1" applyFill="1" applyAlignment="1">
      <alignment horizontal="left"/>
    </xf>
    <xf numFmtId="0" fontId="35" fillId="8" borderId="0" xfId="0" applyFont="1" applyFill="1"/>
    <xf numFmtId="0" fontId="2" fillId="5" borderId="0" xfId="0" applyFont="1" applyFill="1"/>
    <xf numFmtId="0" fontId="3" fillId="13" borderId="8" xfId="0" applyFont="1" applyFill="1" applyBorder="1"/>
    <xf numFmtId="0" fontId="3" fillId="13" borderId="2" xfId="0" applyFont="1" applyFill="1" applyBorder="1"/>
    <xf numFmtId="0" fontId="3" fillId="13" borderId="10" xfId="0" applyFont="1" applyFill="1" applyBorder="1"/>
    <xf numFmtId="0" fontId="0" fillId="0" borderId="8" xfId="0" applyFill="1" applyBorder="1" applyAlignment="1">
      <alignment horizontal="right"/>
    </xf>
    <xf numFmtId="0" fontId="0" fillId="0" borderId="10" xfId="0" applyFill="1" applyBorder="1" applyAlignment="1">
      <alignment horizontal="right"/>
    </xf>
    <xf numFmtId="0" fontId="3" fillId="13" borderId="1" xfId="0" applyFont="1" applyFill="1" applyBorder="1" applyAlignment="1">
      <alignment vertical="top"/>
    </xf>
    <xf numFmtId="0" fontId="0" fillId="0" borderId="2" xfId="0" applyFill="1" applyBorder="1" applyAlignment="1">
      <alignment horizontal="right"/>
    </xf>
    <xf numFmtId="0" fontId="3" fillId="13" borderId="21" xfId="0" applyFont="1" applyFill="1" applyBorder="1"/>
    <xf numFmtId="0" fontId="3" fillId="13" borderId="22" xfId="0" applyFont="1" applyFill="1" applyBorder="1"/>
    <xf numFmtId="0" fontId="33" fillId="5" borderId="0" xfId="0" applyFont="1" applyFill="1" applyAlignment="1">
      <alignment horizontal="left"/>
    </xf>
    <xf numFmtId="0" fontId="34" fillId="5" borderId="0" xfId="0" applyFont="1" applyFill="1" applyBorder="1"/>
    <xf numFmtId="0" fontId="14" fillId="7" borderId="28" xfId="0" applyFont="1" applyFill="1" applyBorder="1" applyAlignment="1">
      <alignment horizontal="center"/>
    </xf>
    <xf numFmtId="0" fontId="14" fillId="7" borderId="29" xfId="0" applyFont="1" applyFill="1" applyBorder="1" applyAlignment="1">
      <alignment horizontal="center"/>
    </xf>
    <xf numFmtId="0" fontId="3" fillId="13" borderId="17" xfId="0" applyFont="1" applyFill="1" applyBorder="1" applyAlignment="1">
      <alignment vertical="center"/>
    </xf>
    <xf numFmtId="0" fontId="0" fillId="13" borderId="16" xfId="0" applyFill="1" applyBorder="1" applyAlignment="1">
      <alignment vertical="center"/>
    </xf>
    <xf numFmtId="0" fontId="14" fillId="9" borderId="25" xfId="0" applyFont="1" applyFill="1" applyBorder="1" applyAlignment="1">
      <alignment horizontal="left"/>
    </xf>
    <xf numFmtId="0" fontId="14" fillId="9" borderId="26" xfId="0" applyFont="1" applyFill="1" applyBorder="1" applyAlignment="1">
      <alignment horizontal="left"/>
    </xf>
    <xf numFmtId="0" fontId="3" fillId="13" borderId="9" xfId="0" applyFont="1" applyFill="1" applyBorder="1" applyAlignment="1">
      <alignment vertical="center"/>
    </xf>
    <xf numFmtId="0" fontId="0" fillId="13" borderId="3" xfId="0" applyFill="1" applyBorder="1" applyAlignment="1">
      <alignment vertical="center"/>
    </xf>
    <xf numFmtId="0" fontId="3" fillId="13" borderId="18" xfId="0" applyFont="1" applyFill="1" applyBorder="1" applyAlignment="1">
      <alignment horizontal="center"/>
    </xf>
    <xf numFmtId="0" fontId="0" fillId="13" borderId="20" xfId="0" applyFill="1" applyBorder="1" applyAlignment="1">
      <alignment horizontal="center"/>
    </xf>
    <xf numFmtId="0" fontId="2" fillId="2" borderId="0" xfId="0" applyFont="1" applyFill="1" applyBorder="1" applyAlignment="1">
      <alignment horizontal="center"/>
    </xf>
    <xf numFmtId="0" fontId="0" fillId="0" borderId="0" xfId="0" applyAlignment="1"/>
    <xf numFmtId="0" fontId="0" fillId="0" borderId="15" xfId="0" applyBorder="1" applyAlignment="1"/>
    <xf numFmtId="0" fontId="3" fillId="13" borderId="17" xfId="0" applyFont="1" applyFill="1" applyBorder="1" applyAlignment="1">
      <alignment horizontal="center"/>
    </xf>
    <xf numFmtId="167" fontId="14" fillId="9" borderId="25" xfId="0" applyNumberFormat="1" applyFont="1" applyFill="1" applyBorder="1" applyAlignment="1">
      <alignment horizontal="left"/>
    </xf>
    <xf numFmtId="167" fontId="14" fillId="9" borderId="27" xfId="0" applyNumberFormat="1" applyFont="1" applyFill="1" applyBorder="1" applyAlignment="1">
      <alignment horizontal="left"/>
    </xf>
    <xf numFmtId="0" fontId="2" fillId="5" borderId="0" xfId="0" applyFont="1" applyFill="1" applyAlignment="1">
      <alignment horizontal="center"/>
    </xf>
    <xf numFmtId="0" fontId="3" fillId="13" borderId="18" xfId="0" applyFont="1" applyFill="1" applyBorder="1" applyAlignment="1">
      <alignment vertical="center"/>
    </xf>
    <xf numFmtId="0" fontId="3" fillId="13" borderId="19" xfId="0" applyFont="1" applyFill="1" applyBorder="1" applyAlignment="1">
      <alignment vertical="center"/>
    </xf>
    <xf numFmtId="0" fontId="3" fillId="13" borderId="20" xfId="0" applyFont="1" applyFill="1" applyBorder="1" applyAlignment="1">
      <alignment vertical="top"/>
    </xf>
    <xf numFmtId="0" fontId="3" fillId="13" borderId="4" xfId="0" applyFont="1" applyFill="1" applyBorder="1" applyAlignment="1">
      <alignment vertical="top"/>
    </xf>
    <xf numFmtId="0" fontId="3" fillId="13" borderId="8" xfId="0" applyFont="1" applyFill="1" applyBorder="1" applyAlignment="1">
      <alignment horizontal="left"/>
    </xf>
    <xf numFmtId="0" fontId="3" fillId="13" borderId="10" xfId="0" applyFont="1" applyFill="1" applyBorder="1" applyAlignment="1">
      <alignment horizontal="left"/>
    </xf>
    <xf numFmtId="0" fontId="2" fillId="5" borderId="0" xfId="0" applyFont="1" applyFill="1" applyAlignment="1">
      <alignment horizontal="left"/>
    </xf>
    <xf numFmtId="164" fontId="7" fillId="12" borderId="8" xfId="0" applyNumberFormat="1" applyFont="1" applyFill="1" applyBorder="1" applyAlignment="1">
      <alignment horizontal="center" vertical="top"/>
    </xf>
    <xf numFmtId="164" fontId="7" fillId="12" borderId="10" xfId="0" applyNumberFormat="1" applyFont="1" applyFill="1" applyBorder="1" applyAlignment="1">
      <alignment horizontal="center" vertical="top"/>
    </xf>
    <xf numFmtId="0" fontId="3" fillId="3" borderId="32" xfId="0" applyFont="1" applyFill="1" applyBorder="1" applyAlignment="1">
      <alignment horizontal="left"/>
    </xf>
    <xf numFmtId="0" fontId="3" fillId="3" borderId="33" xfId="0" applyFont="1" applyFill="1" applyBorder="1" applyAlignment="1">
      <alignment horizontal="left"/>
    </xf>
    <xf numFmtId="0" fontId="2" fillId="5" borderId="31" xfId="0" applyFont="1" applyFill="1" applyBorder="1" applyAlignment="1">
      <alignment horizontal="left"/>
    </xf>
    <xf numFmtId="0" fontId="2" fillId="5" borderId="31" xfId="0" applyFont="1" applyFill="1" applyBorder="1"/>
    <xf numFmtId="0" fontId="2" fillId="5" borderId="1" xfId="0" applyFont="1" applyFill="1" applyBorder="1" applyAlignment="1">
      <alignment horizontal="left"/>
    </xf>
    <xf numFmtId="2" fontId="0" fillId="14" borderId="7" xfId="0" applyNumberFormat="1" applyFill="1" applyBorder="1" applyAlignment="1">
      <alignment vertical="center"/>
    </xf>
    <xf numFmtId="2" fontId="0" fillId="14" borderId="23" xfId="0" applyNumberFormat="1" applyFill="1" applyBorder="1" applyAlignment="1">
      <alignment vertical="center"/>
    </xf>
    <xf numFmtId="2" fontId="7" fillId="17" borderId="7" xfId="0" applyNumberFormat="1" applyFont="1" applyFill="1" applyBorder="1" applyAlignment="1">
      <alignment vertical="center"/>
    </xf>
    <xf numFmtId="2" fontId="7" fillId="17" borderId="23" xfId="0" applyNumberFormat="1" applyFont="1" applyFill="1" applyBorder="1" applyAlignment="1">
      <alignment vertical="center"/>
    </xf>
    <xf numFmtId="0" fontId="36" fillId="19" borderId="42" xfId="0" applyFont="1" applyFill="1" applyBorder="1" applyAlignment="1">
      <alignment horizontal="left" vertical="top" wrapText="1"/>
    </xf>
    <xf numFmtId="0" fontId="36" fillId="19" borderId="43" xfId="0" applyFont="1" applyFill="1" applyBorder="1" applyAlignment="1">
      <alignment horizontal="left" vertical="top" wrapText="1"/>
    </xf>
    <xf numFmtId="0" fontId="36" fillId="19" borderId="44" xfId="0" applyFont="1" applyFill="1" applyBorder="1" applyAlignment="1">
      <alignment horizontal="left" vertical="top" wrapText="1"/>
    </xf>
    <xf numFmtId="0" fontId="0" fillId="19" borderId="31" xfId="0" applyFill="1" applyBorder="1" applyAlignment="1">
      <alignment vertical="top" wrapText="1"/>
    </xf>
    <xf numFmtId="0" fontId="25" fillId="5" borderId="31" xfId="0" applyFont="1" applyFill="1" applyBorder="1"/>
    <xf numFmtId="0" fontId="7" fillId="19" borderId="31" xfId="0" applyFont="1" applyFill="1" applyBorder="1" applyAlignment="1">
      <alignment vertical="top" wrapText="1"/>
    </xf>
    <xf numFmtId="0" fontId="36" fillId="19" borderId="31" xfId="0" applyFont="1" applyFill="1" applyBorder="1" applyAlignment="1">
      <alignment vertical="top" wrapText="1"/>
    </xf>
  </cellXfs>
  <cellStyles count="1">
    <cellStyle name="Normal" xfId="0" builtinId="0"/>
  </cellStyles>
  <dxfs count="198">
    <dxf>
      <font>
        <b/>
        <i val="0"/>
      </font>
      <fill>
        <patternFill>
          <bgColor rgb="FFFF7C80"/>
        </patternFill>
      </fill>
    </dxf>
    <dxf>
      <font>
        <b/>
        <i val="0"/>
      </font>
      <fill>
        <patternFill>
          <bgColor rgb="FFFF7C80"/>
        </patternFill>
      </fill>
    </dxf>
    <dxf>
      <fill>
        <patternFill>
          <bgColor theme="7" tint="0.79998168889431442"/>
        </patternFill>
      </fill>
    </dxf>
    <dxf>
      <font>
        <b val="0"/>
        <i val="0"/>
      </font>
      <fill>
        <patternFill>
          <bgColor rgb="FFFFCC99"/>
        </patternFill>
      </fill>
    </dxf>
    <dxf>
      <font>
        <b val="0"/>
        <i val="0"/>
      </font>
      <fill>
        <patternFill>
          <bgColor rgb="FFFFCC99"/>
        </patternFill>
      </fill>
    </dxf>
    <dxf>
      <fill>
        <patternFill>
          <bgColor theme="7" tint="0.79998168889431442"/>
        </patternFill>
      </fill>
    </dxf>
    <dxf>
      <font>
        <b val="0"/>
        <i val="0"/>
      </font>
      <fill>
        <patternFill>
          <bgColor rgb="FFFFCC99"/>
        </patternFill>
      </fill>
    </dxf>
    <dxf>
      <fill>
        <patternFill>
          <bgColor theme="7" tint="0.79998168889431442"/>
        </patternFill>
      </fill>
    </dxf>
    <dxf>
      <font>
        <b val="0"/>
        <i val="0"/>
      </font>
      <fill>
        <patternFill>
          <bgColor rgb="FFFFCC99"/>
        </patternFill>
      </fill>
    </dxf>
    <dxf>
      <fill>
        <patternFill>
          <bgColor theme="7" tint="0.79998168889431442"/>
        </patternFill>
      </fill>
    </dxf>
    <dxf>
      <fill>
        <patternFill>
          <bgColor theme="7" tint="0.79998168889431442"/>
        </patternFill>
      </fill>
    </dxf>
    <dxf>
      <font>
        <b/>
        <i val="0"/>
      </font>
      <fill>
        <patternFill>
          <bgColor rgb="FFFFCC99"/>
        </patternFill>
      </fill>
    </dxf>
    <dxf>
      <font>
        <b/>
        <i val="0"/>
      </font>
      <fill>
        <patternFill>
          <bgColor rgb="FFFFCC99"/>
        </patternFill>
      </fill>
    </dxf>
    <dxf>
      <font>
        <b/>
        <i val="0"/>
      </font>
      <fill>
        <patternFill>
          <bgColor rgb="FFFFCC99"/>
        </patternFill>
      </fill>
    </dxf>
    <dxf>
      <font>
        <b/>
        <i val="0"/>
      </font>
      <fill>
        <patternFill>
          <bgColor rgb="FFFFCC99"/>
        </patternFill>
      </fill>
    </dxf>
    <dxf>
      <font>
        <b/>
        <i val="0"/>
        <condense val="0"/>
        <extend val="0"/>
        <color indexed="9"/>
      </font>
      <fill>
        <patternFill>
          <bgColor theme="4"/>
        </patternFill>
      </fill>
    </dxf>
    <dxf>
      <font>
        <b/>
        <i val="0"/>
      </font>
      <fill>
        <patternFill>
          <bgColor rgb="FFFFCC99"/>
        </patternFill>
      </fill>
    </dxf>
    <dxf>
      <font>
        <b/>
        <i val="0"/>
        <condense val="0"/>
        <extend val="0"/>
        <color indexed="9"/>
      </font>
      <fill>
        <patternFill>
          <bgColor theme="4"/>
        </patternFill>
      </fill>
    </dxf>
    <dxf>
      <font>
        <b/>
        <i val="0"/>
      </font>
      <fill>
        <patternFill>
          <bgColor rgb="FFFFCC99"/>
        </patternFill>
      </fill>
    </dxf>
    <dxf>
      <font>
        <b/>
        <i val="0"/>
        <condense val="0"/>
        <extend val="0"/>
        <color indexed="9"/>
      </font>
      <fill>
        <patternFill>
          <bgColor theme="4"/>
        </patternFill>
      </fill>
    </dxf>
    <dxf>
      <font>
        <b/>
        <i val="0"/>
      </font>
      <fill>
        <patternFill>
          <bgColor rgb="FFFFCC99"/>
        </patternFill>
      </fill>
    </dxf>
    <dxf>
      <font>
        <b/>
        <i val="0"/>
        <condense val="0"/>
        <extend val="0"/>
        <color indexed="9"/>
      </font>
      <fill>
        <patternFill>
          <bgColor theme="4"/>
        </patternFill>
      </fill>
    </dxf>
    <dxf>
      <font>
        <b/>
        <i val="0"/>
      </font>
      <fill>
        <patternFill>
          <bgColor rgb="FFFFCC99"/>
        </patternFill>
      </fill>
    </dxf>
    <dxf>
      <font>
        <b/>
        <i val="0"/>
        <condense val="0"/>
        <extend val="0"/>
        <color indexed="9"/>
      </font>
      <fill>
        <patternFill>
          <bgColor theme="4"/>
        </patternFill>
      </fill>
    </dxf>
    <dxf>
      <font>
        <b/>
        <i val="0"/>
      </font>
      <fill>
        <patternFill>
          <bgColor rgb="FFFF7C80"/>
        </patternFill>
      </fill>
    </dxf>
    <dxf>
      <fill>
        <patternFill>
          <bgColor theme="0" tint="-0.14996795556505021"/>
        </patternFill>
      </fill>
    </dxf>
    <dxf>
      <font>
        <b/>
        <i val="0"/>
      </font>
      <fill>
        <patternFill>
          <bgColor rgb="FFFF7C80"/>
        </patternFill>
      </fill>
    </dxf>
    <dxf>
      <fill>
        <patternFill>
          <bgColor theme="7" tint="0.79998168889431442"/>
        </patternFill>
      </fill>
    </dxf>
    <dxf>
      <font>
        <b/>
        <i val="0"/>
      </font>
      <fill>
        <patternFill>
          <bgColor rgb="FFFF7C80"/>
        </patternFill>
      </fill>
    </dxf>
    <dxf>
      <fill>
        <patternFill>
          <bgColor theme="7" tint="0.79998168889431442"/>
        </patternFill>
      </fill>
    </dxf>
    <dxf>
      <font>
        <b/>
        <i val="0"/>
      </font>
      <fill>
        <patternFill>
          <bgColor rgb="FFFF7C80"/>
        </patternFill>
      </fill>
    </dxf>
    <dxf>
      <fill>
        <patternFill>
          <bgColor theme="7" tint="0.79998168889431442"/>
        </patternFill>
      </fill>
    </dxf>
    <dxf>
      <font>
        <b/>
        <i val="0"/>
        <color rgb="FFFF0000"/>
      </font>
    </dxf>
    <dxf>
      <font>
        <b/>
        <i val="0"/>
        <color rgb="FFFF0000"/>
      </font>
    </dxf>
    <dxf>
      <font>
        <condense val="0"/>
        <extend val="0"/>
        <color indexed="10"/>
      </font>
    </dxf>
    <dxf>
      <font>
        <condense val="0"/>
        <extend val="0"/>
        <color indexed="10"/>
      </font>
    </dxf>
    <dxf>
      <font>
        <condense val="0"/>
        <extend val="0"/>
        <color indexed="10"/>
      </font>
    </dxf>
    <dxf>
      <font>
        <condense val="0"/>
        <extend val="0"/>
        <color indexed="10"/>
      </font>
    </dxf>
    <dxf>
      <font>
        <color theme="3"/>
      </font>
      <fill>
        <patternFill>
          <bgColor theme="3"/>
        </patternFill>
      </fill>
      <border>
        <left/>
        <right/>
        <top/>
        <bottom/>
      </border>
    </dxf>
    <dxf>
      <font>
        <condense val="0"/>
        <extend val="0"/>
        <color indexed="8"/>
      </font>
      <fill>
        <patternFill>
          <bgColor rgb="FFFFCC99"/>
        </patternFill>
      </fill>
    </dxf>
    <dxf>
      <font>
        <b val="0"/>
        <i val="0"/>
        <condense val="0"/>
        <extend val="0"/>
        <color indexed="8"/>
      </font>
      <fill>
        <patternFill>
          <bgColor theme="3" tint="0.89996032593768116"/>
        </patternFill>
      </fill>
    </dxf>
    <dxf>
      <font>
        <b val="0"/>
        <i val="0"/>
        <condense val="0"/>
        <extend val="0"/>
        <color indexed="8"/>
      </font>
      <fill>
        <patternFill>
          <bgColor theme="7" tint="0.79998168889431442"/>
        </patternFill>
      </fill>
    </dxf>
    <dxf>
      <font>
        <condense val="0"/>
        <extend val="0"/>
        <color indexed="8"/>
      </font>
      <fill>
        <patternFill>
          <fgColor rgb="FFFFCC99"/>
          <bgColor rgb="FFFFCC99"/>
        </patternFill>
      </fill>
    </dxf>
    <dxf>
      <font>
        <b val="0"/>
        <i val="0"/>
        <condense val="0"/>
        <extend val="0"/>
        <color indexed="8"/>
      </font>
      <fill>
        <patternFill>
          <bgColor theme="3" tint="0.89996032593768116"/>
        </patternFill>
      </fill>
    </dxf>
    <dxf>
      <font>
        <b val="0"/>
        <i val="0"/>
        <condense val="0"/>
        <extend val="0"/>
        <color indexed="8"/>
      </font>
      <fill>
        <patternFill>
          <bgColor theme="7" tint="0.79998168889431442"/>
        </patternFill>
      </fill>
    </dxf>
    <dxf>
      <font>
        <condense val="0"/>
        <extend val="0"/>
        <color indexed="8"/>
      </font>
      <fill>
        <patternFill>
          <bgColor theme="3" tint="0.89996032593768116"/>
        </patternFill>
      </fill>
    </dxf>
    <dxf>
      <font>
        <b val="0"/>
        <i val="0"/>
        <condense val="0"/>
        <extend val="0"/>
        <color indexed="8"/>
      </font>
      <fill>
        <patternFill>
          <bgColor rgb="FFFFCC99"/>
        </patternFill>
      </fill>
    </dxf>
    <dxf>
      <font>
        <b val="0"/>
        <i val="0"/>
        <condense val="0"/>
        <extend val="0"/>
        <color indexed="8"/>
      </font>
      <fill>
        <patternFill>
          <bgColor theme="7" tint="0.79998168889431442"/>
        </patternFill>
      </fill>
    </dxf>
    <dxf>
      <font>
        <condense val="0"/>
        <extend val="0"/>
        <color indexed="8"/>
      </font>
      <fill>
        <patternFill>
          <bgColor rgb="FFFFCC99"/>
        </patternFill>
      </fill>
    </dxf>
    <dxf>
      <font>
        <b val="0"/>
        <i val="0"/>
        <condense val="0"/>
        <extend val="0"/>
        <color indexed="8"/>
      </font>
      <fill>
        <patternFill>
          <bgColor theme="3" tint="0.89996032593768116"/>
        </patternFill>
      </fill>
    </dxf>
    <dxf>
      <font>
        <b val="0"/>
        <i val="0"/>
        <condense val="0"/>
        <extend val="0"/>
        <color indexed="8"/>
      </font>
      <fill>
        <patternFill>
          <bgColor theme="7" tint="0.79998168889431442"/>
        </patternFill>
      </fill>
    </dxf>
    <dxf>
      <font>
        <condense val="0"/>
        <extend val="0"/>
        <color indexed="8"/>
      </font>
      <fill>
        <patternFill>
          <bgColor rgb="FFFFCC99"/>
        </patternFill>
      </fill>
    </dxf>
    <dxf>
      <font>
        <b val="0"/>
        <i val="0"/>
        <condense val="0"/>
        <extend val="0"/>
        <color indexed="8"/>
      </font>
      <fill>
        <patternFill>
          <bgColor theme="3" tint="0.89996032593768116"/>
        </patternFill>
      </fill>
    </dxf>
    <dxf>
      <font>
        <b val="0"/>
        <i val="0"/>
        <condense val="0"/>
        <extend val="0"/>
        <color indexed="8"/>
      </font>
      <fill>
        <patternFill>
          <bgColor theme="7" tint="0.79998168889431442"/>
        </patternFill>
      </fill>
    </dxf>
    <dxf>
      <font>
        <condense val="0"/>
        <extend val="0"/>
        <color indexed="8"/>
      </font>
      <fill>
        <patternFill>
          <bgColor rgb="FFFFCC99"/>
        </patternFill>
      </fill>
    </dxf>
    <dxf>
      <font>
        <b val="0"/>
        <i val="0"/>
        <condense val="0"/>
        <extend val="0"/>
        <color indexed="8"/>
      </font>
      <fill>
        <patternFill>
          <bgColor theme="3" tint="0.89996032593768116"/>
        </patternFill>
      </fill>
    </dxf>
    <dxf>
      <font>
        <b val="0"/>
        <i val="0"/>
        <condense val="0"/>
        <extend val="0"/>
        <color indexed="8"/>
      </font>
      <fill>
        <patternFill>
          <bgColor theme="7" tint="0.79998168889431442"/>
        </patternFill>
      </fill>
    </dxf>
    <dxf>
      <font>
        <condense val="0"/>
        <extend val="0"/>
        <color auto="1"/>
      </font>
      <fill>
        <patternFill>
          <bgColor rgb="FFFFCC99"/>
        </patternFill>
      </fill>
    </dxf>
    <dxf>
      <font>
        <b val="0"/>
        <i val="0"/>
        <condense val="0"/>
        <extend val="0"/>
        <color auto="1"/>
      </font>
      <fill>
        <patternFill>
          <bgColor theme="3" tint="0.89996032593768116"/>
        </patternFill>
      </fill>
    </dxf>
    <dxf>
      <font>
        <b val="0"/>
        <i val="0"/>
        <condense val="0"/>
        <extend val="0"/>
        <color auto="1"/>
      </font>
      <fill>
        <patternFill>
          <bgColor theme="7" tint="0.79998168889431442"/>
        </patternFill>
      </fill>
    </dxf>
    <dxf>
      <font>
        <condense val="0"/>
        <extend val="0"/>
        <color auto="1"/>
      </font>
      <fill>
        <patternFill>
          <bgColor rgb="FFFFCC99"/>
        </patternFill>
      </fill>
    </dxf>
    <dxf>
      <font>
        <b val="0"/>
        <i val="0"/>
        <condense val="0"/>
        <extend val="0"/>
        <color auto="1"/>
      </font>
      <fill>
        <patternFill>
          <bgColor theme="3" tint="0.89996032593768116"/>
        </patternFill>
      </fill>
    </dxf>
    <dxf>
      <font>
        <b val="0"/>
        <i val="0"/>
        <condense val="0"/>
        <extend val="0"/>
        <color auto="1"/>
      </font>
      <fill>
        <patternFill>
          <bgColor theme="7" tint="0.79998168889431442"/>
        </patternFill>
      </fill>
    </dxf>
    <dxf>
      <font>
        <condense val="0"/>
        <extend val="0"/>
        <color auto="1"/>
      </font>
      <fill>
        <patternFill>
          <bgColor rgb="FFFFCC99"/>
        </patternFill>
      </fill>
    </dxf>
    <dxf>
      <font>
        <b val="0"/>
        <i val="0"/>
        <condense val="0"/>
        <extend val="0"/>
        <color auto="1"/>
      </font>
      <fill>
        <patternFill>
          <bgColor theme="3" tint="0.89996032593768116"/>
        </patternFill>
      </fill>
    </dxf>
    <dxf>
      <font>
        <b val="0"/>
        <i val="0"/>
        <condense val="0"/>
        <extend val="0"/>
        <color auto="1"/>
      </font>
      <fill>
        <patternFill>
          <bgColor theme="7" tint="0.79998168889431442"/>
        </patternFill>
      </fill>
    </dxf>
    <dxf>
      <font>
        <condense val="0"/>
        <extend val="0"/>
        <color auto="1"/>
      </font>
      <fill>
        <patternFill>
          <bgColor rgb="FFFFCC99"/>
        </patternFill>
      </fill>
    </dxf>
    <dxf>
      <font>
        <b val="0"/>
        <i val="0"/>
        <condense val="0"/>
        <extend val="0"/>
        <color auto="1"/>
      </font>
      <fill>
        <patternFill>
          <bgColor theme="3" tint="0.89996032593768116"/>
        </patternFill>
      </fill>
    </dxf>
    <dxf>
      <font>
        <b val="0"/>
        <i val="0"/>
        <condense val="0"/>
        <extend val="0"/>
        <color auto="1"/>
      </font>
      <fill>
        <patternFill>
          <bgColor theme="7" tint="0.79998168889431442"/>
        </patternFill>
      </fill>
    </dxf>
    <dxf>
      <font>
        <condense val="0"/>
        <extend val="0"/>
        <color auto="1"/>
      </font>
      <fill>
        <patternFill>
          <bgColor rgb="FFFFCC99"/>
        </patternFill>
      </fill>
    </dxf>
    <dxf>
      <font>
        <b val="0"/>
        <i val="0"/>
        <condense val="0"/>
        <extend val="0"/>
        <color auto="1"/>
      </font>
      <fill>
        <patternFill>
          <bgColor theme="3" tint="0.89996032593768116"/>
        </patternFill>
      </fill>
    </dxf>
    <dxf>
      <font>
        <b val="0"/>
        <i val="0"/>
        <condense val="0"/>
        <extend val="0"/>
        <color auto="1"/>
      </font>
      <fill>
        <patternFill>
          <bgColor theme="7" tint="0.79998168889431442"/>
        </patternFill>
      </fill>
    </dxf>
    <dxf>
      <font>
        <condense val="0"/>
        <extend val="0"/>
        <color auto="1"/>
      </font>
      <fill>
        <patternFill>
          <bgColor rgb="FFFFCC99"/>
        </patternFill>
      </fill>
    </dxf>
    <dxf>
      <font>
        <b val="0"/>
        <i val="0"/>
        <condense val="0"/>
        <extend val="0"/>
        <color auto="1"/>
      </font>
      <fill>
        <patternFill>
          <bgColor theme="3" tint="0.89996032593768116"/>
        </patternFill>
      </fill>
    </dxf>
    <dxf>
      <font>
        <b val="0"/>
        <i val="0"/>
        <condense val="0"/>
        <extend val="0"/>
        <color auto="1"/>
      </font>
      <fill>
        <patternFill>
          <bgColor theme="7" tint="0.79998168889431442"/>
        </patternFill>
      </fill>
    </dxf>
    <dxf>
      <font>
        <condense val="0"/>
        <extend val="0"/>
        <color auto="1"/>
      </font>
      <fill>
        <patternFill>
          <bgColor rgb="FFFFCC99"/>
        </patternFill>
      </fill>
    </dxf>
    <dxf>
      <font>
        <b val="0"/>
        <i val="0"/>
        <condense val="0"/>
        <extend val="0"/>
        <color auto="1"/>
      </font>
      <fill>
        <patternFill>
          <bgColor theme="3" tint="0.89996032593768116"/>
        </patternFill>
      </fill>
    </dxf>
    <dxf>
      <font>
        <b val="0"/>
        <i val="0"/>
        <condense val="0"/>
        <extend val="0"/>
        <color auto="1"/>
      </font>
      <fill>
        <patternFill>
          <bgColor theme="7" tint="0.79998168889431442"/>
        </patternFill>
      </fill>
    </dxf>
    <dxf>
      <font>
        <condense val="0"/>
        <extend val="0"/>
        <color auto="1"/>
      </font>
      <fill>
        <patternFill>
          <bgColor rgb="FFFFCC99"/>
        </patternFill>
      </fill>
    </dxf>
    <dxf>
      <font>
        <b val="0"/>
        <i val="0"/>
        <condense val="0"/>
        <extend val="0"/>
        <color auto="1"/>
      </font>
      <fill>
        <patternFill>
          <bgColor theme="3" tint="0.89996032593768116"/>
        </patternFill>
      </fill>
    </dxf>
    <dxf>
      <font>
        <b val="0"/>
        <i val="0"/>
        <condense val="0"/>
        <extend val="0"/>
        <color auto="1"/>
      </font>
      <fill>
        <patternFill>
          <bgColor theme="7" tint="0.79998168889431442"/>
        </patternFill>
      </fill>
    </dxf>
    <dxf>
      <font>
        <condense val="0"/>
        <extend val="0"/>
        <color auto="1"/>
      </font>
      <fill>
        <patternFill patternType="solid">
          <bgColor rgb="FFFFCC99"/>
        </patternFill>
      </fill>
    </dxf>
    <dxf>
      <font>
        <b val="0"/>
        <i val="0"/>
        <condense val="0"/>
        <extend val="0"/>
        <color auto="1"/>
      </font>
      <fill>
        <patternFill>
          <bgColor theme="3" tint="0.89996032593768116"/>
        </patternFill>
      </fill>
    </dxf>
    <dxf>
      <font>
        <b val="0"/>
        <i val="0"/>
        <condense val="0"/>
        <extend val="0"/>
        <color auto="1"/>
      </font>
      <fill>
        <patternFill>
          <bgColor theme="7" tint="0.79998168889431442"/>
        </patternFill>
      </fill>
    </dxf>
    <dxf>
      <font>
        <condense val="0"/>
        <extend val="0"/>
        <color auto="1"/>
      </font>
      <fill>
        <patternFill>
          <bgColor rgb="FFFFCC99"/>
        </patternFill>
      </fill>
    </dxf>
    <dxf>
      <font>
        <b val="0"/>
        <i val="0"/>
        <condense val="0"/>
        <extend val="0"/>
        <color auto="1"/>
      </font>
      <fill>
        <patternFill>
          <bgColor theme="3" tint="0.89996032593768116"/>
        </patternFill>
      </fill>
    </dxf>
    <dxf>
      <font>
        <b val="0"/>
        <i val="0"/>
        <condense val="0"/>
        <extend val="0"/>
        <color auto="1"/>
      </font>
      <fill>
        <patternFill>
          <bgColor theme="7" tint="0.79998168889431442"/>
        </patternFill>
      </fill>
    </dxf>
    <dxf>
      <font>
        <condense val="0"/>
        <extend val="0"/>
        <color auto="1"/>
      </font>
      <fill>
        <patternFill>
          <bgColor rgb="FFFFCC99"/>
        </patternFill>
      </fill>
    </dxf>
    <dxf>
      <font>
        <b val="0"/>
        <i val="0"/>
        <condense val="0"/>
        <extend val="0"/>
        <color auto="1"/>
      </font>
      <fill>
        <patternFill>
          <bgColor theme="3" tint="0.89996032593768116"/>
        </patternFill>
      </fill>
    </dxf>
    <dxf>
      <font>
        <b val="0"/>
        <i val="0"/>
        <condense val="0"/>
        <extend val="0"/>
        <color auto="1"/>
      </font>
      <fill>
        <patternFill>
          <bgColor theme="7" tint="0.79998168889431442"/>
        </patternFill>
      </fill>
    </dxf>
    <dxf>
      <font>
        <condense val="0"/>
        <extend val="0"/>
        <color auto="1"/>
      </font>
      <fill>
        <patternFill>
          <bgColor rgb="FFFFCC99"/>
        </patternFill>
      </fill>
    </dxf>
    <dxf>
      <font>
        <b val="0"/>
        <i val="0"/>
        <condense val="0"/>
        <extend val="0"/>
        <color auto="1"/>
      </font>
      <fill>
        <patternFill>
          <bgColor theme="3" tint="0.89996032593768116"/>
        </patternFill>
      </fill>
    </dxf>
    <dxf>
      <font>
        <b val="0"/>
        <i val="0"/>
        <condense val="0"/>
        <extend val="0"/>
        <color auto="1"/>
      </font>
      <fill>
        <patternFill>
          <bgColor theme="7" tint="0.79998168889431442"/>
        </patternFill>
      </fill>
    </dxf>
    <dxf>
      <font>
        <condense val="0"/>
        <extend val="0"/>
        <color auto="1"/>
      </font>
      <fill>
        <patternFill>
          <bgColor rgb="FFFFCC99"/>
        </patternFill>
      </fill>
    </dxf>
    <dxf>
      <font>
        <b val="0"/>
        <i val="0"/>
        <condense val="0"/>
        <extend val="0"/>
        <color auto="1"/>
      </font>
      <fill>
        <patternFill>
          <bgColor theme="3" tint="0.89996032593768116"/>
        </patternFill>
      </fill>
    </dxf>
    <dxf>
      <font>
        <b val="0"/>
        <i val="0"/>
        <condense val="0"/>
        <extend val="0"/>
        <color auto="1"/>
      </font>
      <fill>
        <patternFill>
          <bgColor theme="7" tint="0.79998168889431442"/>
        </patternFill>
      </fill>
    </dxf>
    <dxf>
      <font>
        <condense val="0"/>
        <extend val="0"/>
        <color auto="1"/>
      </font>
      <fill>
        <patternFill>
          <bgColor rgb="FFFFCC99"/>
        </patternFill>
      </fill>
    </dxf>
    <dxf>
      <font>
        <b val="0"/>
        <i val="0"/>
        <condense val="0"/>
        <extend val="0"/>
        <color auto="1"/>
      </font>
      <fill>
        <patternFill>
          <bgColor theme="3" tint="0.89996032593768116"/>
        </patternFill>
      </fill>
    </dxf>
    <dxf>
      <font>
        <b val="0"/>
        <i val="0"/>
        <condense val="0"/>
        <extend val="0"/>
        <color auto="1"/>
      </font>
      <fill>
        <patternFill>
          <bgColor theme="7" tint="0.79998168889431442"/>
        </patternFill>
      </fill>
    </dxf>
    <dxf>
      <font>
        <condense val="0"/>
        <extend val="0"/>
        <color auto="1"/>
      </font>
      <fill>
        <patternFill>
          <bgColor rgb="FFFFCC99"/>
        </patternFill>
      </fill>
    </dxf>
    <dxf>
      <font>
        <b val="0"/>
        <i val="0"/>
        <condense val="0"/>
        <extend val="0"/>
        <color auto="1"/>
      </font>
      <fill>
        <patternFill>
          <bgColor theme="3" tint="0.89996032593768116"/>
        </patternFill>
      </fill>
    </dxf>
    <dxf>
      <font>
        <b val="0"/>
        <i val="0"/>
        <condense val="0"/>
        <extend val="0"/>
        <color auto="1"/>
      </font>
      <fill>
        <patternFill>
          <bgColor theme="7" tint="0.79998168889431442"/>
        </patternFill>
      </fill>
    </dxf>
    <dxf>
      <font>
        <condense val="0"/>
        <extend val="0"/>
        <color auto="1"/>
      </font>
      <fill>
        <patternFill>
          <bgColor rgb="FFFFCC99"/>
        </patternFill>
      </fill>
    </dxf>
    <dxf>
      <font>
        <b val="0"/>
        <i val="0"/>
        <condense val="0"/>
        <extend val="0"/>
        <color auto="1"/>
      </font>
      <fill>
        <patternFill>
          <bgColor theme="3" tint="0.89996032593768116"/>
        </patternFill>
      </fill>
    </dxf>
    <dxf>
      <font>
        <b val="0"/>
        <i val="0"/>
        <condense val="0"/>
        <extend val="0"/>
        <color auto="1"/>
      </font>
      <fill>
        <patternFill>
          <bgColor theme="7" tint="0.79998168889431442"/>
        </patternFill>
      </fill>
    </dxf>
    <dxf>
      <font>
        <condense val="0"/>
        <extend val="0"/>
        <color auto="1"/>
      </font>
      <fill>
        <patternFill>
          <bgColor rgb="FFFFCC99"/>
        </patternFill>
      </fill>
    </dxf>
    <dxf>
      <font>
        <b val="0"/>
        <i val="0"/>
        <condense val="0"/>
        <extend val="0"/>
        <color auto="1"/>
      </font>
      <fill>
        <patternFill>
          <bgColor theme="3" tint="0.89996032593768116"/>
        </patternFill>
      </fill>
    </dxf>
    <dxf>
      <font>
        <b val="0"/>
        <i val="0"/>
        <condense val="0"/>
        <extend val="0"/>
        <color auto="1"/>
      </font>
      <fill>
        <patternFill>
          <bgColor theme="7" tint="0.79998168889431442"/>
        </patternFill>
      </fill>
    </dxf>
    <dxf>
      <font>
        <condense val="0"/>
        <extend val="0"/>
        <color auto="1"/>
      </font>
      <fill>
        <patternFill>
          <bgColor rgb="FFFFCC99"/>
        </patternFill>
      </fill>
    </dxf>
    <dxf>
      <font>
        <b val="0"/>
        <i val="0"/>
        <condense val="0"/>
        <extend val="0"/>
        <color auto="1"/>
      </font>
      <fill>
        <patternFill>
          <bgColor theme="3" tint="0.89996032593768116"/>
        </patternFill>
      </fill>
    </dxf>
    <dxf>
      <font>
        <b val="0"/>
        <i val="0"/>
        <condense val="0"/>
        <extend val="0"/>
        <color auto="1"/>
      </font>
      <fill>
        <patternFill>
          <bgColor theme="7" tint="0.79998168889431442"/>
        </patternFill>
      </fill>
    </dxf>
    <dxf>
      <font>
        <condense val="0"/>
        <extend val="0"/>
        <color auto="1"/>
      </font>
      <fill>
        <patternFill>
          <bgColor rgb="FFFFCC99"/>
        </patternFill>
      </fill>
    </dxf>
    <dxf>
      <font>
        <b val="0"/>
        <i val="0"/>
        <condense val="0"/>
        <extend val="0"/>
        <color auto="1"/>
      </font>
      <fill>
        <patternFill>
          <bgColor theme="3" tint="0.89996032593768116"/>
        </patternFill>
      </fill>
    </dxf>
    <dxf>
      <font>
        <b val="0"/>
        <i val="0"/>
        <condense val="0"/>
        <extend val="0"/>
        <color auto="1"/>
      </font>
      <fill>
        <patternFill>
          <bgColor theme="7" tint="0.79998168889431442"/>
        </patternFill>
      </fill>
    </dxf>
    <dxf>
      <font>
        <condense val="0"/>
        <extend val="0"/>
        <color auto="1"/>
      </font>
      <fill>
        <patternFill>
          <bgColor rgb="FFFFCC99"/>
        </patternFill>
      </fill>
    </dxf>
    <dxf>
      <font>
        <b val="0"/>
        <i val="0"/>
        <condense val="0"/>
        <extend val="0"/>
        <color auto="1"/>
      </font>
      <fill>
        <patternFill>
          <bgColor theme="3" tint="0.89996032593768116"/>
        </patternFill>
      </fill>
    </dxf>
    <dxf>
      <font>
        <b val="0"/>
        <i val="0"/>
        <condense val="0"/>
        <extend val="0"/>
        <color auto="1"/>
      </font>
      <fill>
        <patternFill>
          <bgColor theme="7" tint="0.79998168889431442"/>
        </patternFill>
      </fill>
    </dxf>
    <dxf>
      <font>
        <b/>
        <i val="0"/>
      </font>
      <fill>
        <patternFill>
          <bgColor rgb="FFFF7C80"/>
        </patternFill>
      </fill>
    </dxf>
    <dxf>
      <fill>
        <patternFill>
          <bgColor rgb="FFFFCC99"/>
        </patternFill>
      </fill>
    </dxf>
    <dxf>
      <font>
        <condense val="0"/>
        <extend val="0"/>
        <color auto="1"/>
      </font>
      <fill>
        <patternFill>
          <bgColor theme="7" tint="0.79998168889431442"/>
        </patternFill>
      </fill>
    </dxf>
    <dxf>
      <font>
        <b/>
        <i val="0"/>
      </font>
      <fill>
        <patternFill>
          <bgColor rgb="FFFF7C80"/>
        </patternFill>
      </fill>
    </dxf>
    <dxf>
      <fill>
        <patternFill>
          <bgColor rgb="FFFFCC99"/>
        </patternFill>
      </fill>
    </dxf>
    <dxf>
      <font>
        <condense val="0"/>
        <extend val="0"/>
        <color auto="1"/>
      </font>
      <fill>
        <patternFill>
          <bgColor theme="7" tint="0.79998168889431442"/>
        </patternFill>
      </fill>
    </dxf>
    <dxf>
      <fill>
        <patternFill>
          <bgColor rgb="FFFFCC99"/>
        </patternFill>
      </fill>
    </dxf>
    <dxf>
      <font>
        <b/>
        <i val="0"/>
      </font>
      <fill>
        <patternFill>
          <bgColor rgb="FFFF7C80"/>
        </patternFill>
      </fill>
    </dxf>
    <dxf>
      <font>
        <b val="0"/>
        <i val="0"/>
        <condense val="0"/>
        <extend val="0"/>
        <color auto="1"/>
      </font>
      <fill>
        <patternFill>
          <bgColor theme="7" tint="0.79998168889431442"/>
        </patternFill>
      </fill>
    </dxf>
    <dxf>
      <fill>
        <patternFill>
          <bgColor rgb="FFFFCC99"/>
        </patternFill>
      </fill>
    </dxf>
    <dxf>
      <font>
        <b/>
        <i val="0"/>
      </font>
      <fill>
        <patternFill>
          <bgColor rgb="FFFF7C80"/>
        </patternFill>
      </fill>
    </dxf>
    <dxf>
      <font>
        <b val="0"/>
        <i val="0"/>
        <condense val="0"/>
        <extend val="0"/>
        <color auto="1"/>
      </font>
      <fill>
        <patternFill>
          <bgColor theme="7" tint="0.79998168889431442"/>
        </patternFill>
      </fill>
    </dxf>
    <dxf>
      <fill>
        <patternFill>
          <bgColor rgb="FFFFCC99"/>
        </patternFill>
      </fill>
    </dxf>
    <dxf>
      <font>
        <b/>
        <i val="0"/>
      </font>
      <fill>
        <patternFill>
          <bgColor rgb="FFFF7C80"/>
        </patternFill>
      </fill>
    </dxf>
    <dxf>
      <font>
        <b val="0"/>
        <i val="0"/>
        <condense val="0"/>
        <extend val="0"/>
        <color auto="1"/>
      </font>
      <fill>
        <patternFill>
          <bgColor theme="7" tint="0.79998168889431442"/>
        </patternFill>
      </fill>
    </dxf>
    <dxf>
      <font>
        <condense val="0"/>
        <extend val="0"/>
        <color indexed="9"/>
      </font>
      <fill>
        <patternFill>
          <bgColor indexed="9"/>
        </patternFill>
      </fill>
      <border>
        <left style="thin">
          <color indexed="23"/>
        </left>
        <right style="thin">
          <color indexed="23"/>
        </right>
        <top style="thin">
          <color indexed="23"/>
        </top>
        <bottom style="thin">
          <color indexed="23"/>
        </bottom>
      </border>
    </dxf>
    <dxf>
      <font>
        <color rgb="FFFF7C80"/>
      </font>
      <fill>
        <patternFill>
          <bgColor rgb="FFFF7C80"/>
        </patternFill>
      </fill>
      <border>
        <left style="thin">
          <color indexed="23"/>
        </left>
        <right style="thin">
          <color indexed="23"/>
        </right>
        <top style="thin">
          <color indexed="23"/>
        </top>
        <bottom style="thin">
          <color indexed="23"/>
        </bottom>
      </border>
    </dxf>
    <dxf>
      <font>
        <color theme="7" tint="0.79998168889431442"/>
        <name val="Cambria"/>
        <scheme val="none"/>
      </font>
      <fill>
        <patternFill>
          <bgColor theme="7" tint="0.79998168889431442"/>
        </patternFill>
      </fill>
      <border>
        <left style="thin">
          <color indexed="23"/>
        </left>
        <right style="thin">
          <color indexed="23"/>
        </right>
        <top style="thin">
          <color indexed="23"/>
        </top>
        <bottom style="thin">
          <color indexed="23"/>
        </bottom>
      </border>
    </dxf>
    <dxf>
      <font>
        <condense val="0"/>
        <extend val="0"/>
        <color indexed="9"/>
      </font>
      <fill>
        <patternFill>
          <bgColor indexed="9"/>
        </patternFill>
      </fill>
      <border>
        <left style="thin">
          <color indexed="23"/>
        </left>
        <right style="thin">
          <color indexed="23"/>
        </right>
        <top style="thin">
          <color indexed="23"/>
        </top>
        <bottom style="thin">
          <color indexed="23"/>
        </bottom>
      </border>
    </dxf>
    <dxf>
      <font>
        <color theme="3" tint="0.24994659260841701"/>
      </font>
      <fill>
        <patternFill>
          <bgColor theme="3" tint="0.24994659260841701"/>
        </patternFill>
      </fill>
      <border>
        <left style="thin">
          <color indexed="23"/>
        </left>
        <right style="thin">
          <color indexed="23"/>
        </right>
        <top style="thin">
          <color indexed="23"/>
        </top>
        <bottom style="thin">
          <color indexed="23"/>
        </bottom>
      </border>
    </dxf>
    <dxf>
      <font>
        <color theme="7" tint="0.79998168889431442"/>
        <name val="Cambria"/>
        <scheme val="none"/>
      </font>
      <fill>
        <patternFill>
          <bgColor theme="7" tint="0.79998168889431442"/>
        </patternFill>
      </fill>
      <border>
        <left style="thin">
          <color indexed="23"/>
        </left>
        <right style="thin">
          <color indexed="23"/>
        </right>
        <top style="thin">
          <color indexed="23"/>
        </top>
        <bottom style="thin">
          <color indexed="23"/>
        </bottom>
      </border>
    </dxf>
    <dxf>
      <font>
        <condense val="0"/>
        <extend val="0"/>
        <color indexed="9"/>
      </font>
      <fill>
        <patternFill>
          <bgColor indexed="9"/>
        </patternFill>
      </fill>
      <border>
        <left style="thin">
          <color indexed="23"/>
        </left>
        <right style="thin">
          <color indexed="23"/>
        </right>
        <top style="thin">
          <color indexed="23"/>
        </top>
        <bottom style="thin">
          <color indexed="23"/>
        </bottom>
      </border>
    </dxf>
    <dxf>
      <font>
        <color rgb="FFFFCC99"/>
      </font>
      <fill>
        <patternFill>
          <bgColor rgb="FFFFCC99"/>
        </patternFill>
      </fill>
      <border>
        <left style="thin">
          <color indexed="23"/>
        </left>
        <right style="thin">
          <color indexed="23"/>
        </right>
        <top style="thin">
          <color indexed="23"/>
        </top>
        <bottom style="thin">
          <color indexed="23"/>
        </bottom>
      </border>
    </dxf>
    <dxf>
      <font>
        <color theme="7" tint="0.79998168889431442"/>
        <name val="Cambria"/>
        <scheme val="none"/>
      </font>
      <fill>
        <patternFill>
          <bgColor theme="7" tint="0.79998168889431442"/>
        </patternFill>
      </fill>
      <border>
        <left style="thin">
          <color indexed="23"/>
        </left>
        <right style="thin">
          <color indexed="23"/>
        </right>
        <top style="thin">
          <color indexed="23"/>
        </top>
        <bottom style="thin">
          <color indexed="23"/>
        </bottom>
      </border>
    </dxf>
    <dxf>
      <font>
        <b/>
        <i val="0"/>
      </font>
      <fill>
        <patternFill>
          <bgColor rgb="FFFFCC99"/>
        </patternFill>
      </fill>
    </dxf>
    <dxf>
      <font>
        <b/>
        <i val="0"/>
        <condense val="0"/>
        <extend val="0"/>
        <color indexed="9"/>
      </font>
      <fill>
        <patternFill>
          <bgColor theme="4"/>
        </patternFill>
      </fill>
    </dxf>
    <dxf>
      <font>
        <condense val="0"/>
        <extend val="0"/>
        <color auto="1"/>
      </font>
      <fill>
        <patternFill>
          <bgColor rgb="FFFFCC99"/>
        </patternFill>
      </fill>
    </dxf>
    <dxf>
      <font>
        <b val="0"/>
        <i val="0"/>
        <condense val="0"/>
        <extend val="0"/>
        <color auto="1"/>
      </font>
      <fill>
        <patternFill>
          <bgColor theme="3" tint="0.89996032593768116"/>
        </patternFill>
      </fill>
    </dxf>
    <dxf>
      <font>
        <b val="0"/>
        <i val="0"/>
        <condense val="0"/>
        <extend val="0"/>
        <color auto="1"/>
      </font>
      <fill>
        <patternFill>
          <bgColor theme="7" tint="0.79998168889431442"/>
        </patternFill>
      </fill>
    </dxf>
    <dxf>
      <font>
        <condense val="0"/>
        <extend val="0"/>
        <color auto="1"/>
      </font>
      <fill>
        <patternFill>
          <bgColor rgb="FFFFCC99"/>
        </patternFill>
      </fill>
    </dxf>
    <dxf>
      <font>
        <b val="0"/>
        <i val="0"/>
        <condense val="0"/>
        <extend val="0"/>
        <color auto="1"/>
      </font>
      <fill>
        <patternFill>
          <bgColor theme="3" tint="0.89996032593768116"/>
        </patternFill>
      </fill>
    </dxf>
    <dxf>
      <font>
        <b val="0"/>
        <i val="0"/>
        <condense val="0"/>
        <extend val="0"/>
        <color auto="1"/>
      </font>
      <fill>
        <patternFill>
          <bgColor theme="7" tint="0.79998168889431442"/>
        </patternFill>
      </fill>
    </dxf>
    <dxf>
      <font>
        <condense val="0"/>
        <extend val="0"/>
        <color auto="1"/>
      </font>
      <fill>
        <patternFill>
          <bgColor rgb="FFFFCC99"/>
        </patternFill>
      </fill>
    </dxf>
    <dxf>
      <font>
        <b val="0"/>
        <i val="0"/>
        <condense val="0"/>
        <extend val="0"/>
        <color auto="1"/>
      </font>
      <fill>
        <patternFill>
          <bgColor theme="3" tint="0.89996032593768116"/>
        </patternFill>
      </fill>
    </dxf>
    <dxf>
      <font>
        <b val="0"/>
        <i val="0"/>
        <condense val="0"/>
        <extend val="0"/>
        <color auto="1"/>
      </font>
      <fill>
        <patternFill>
          <bgColor theme="7" tint="0.79998168889431442"/>
        </patternFill>
      </fill>
    </dxf>
    <dxf>
      <font>
        <condense val="0"/>
        <extend val="0"/>
        <color auto="1"/>
      </font>
      <fill>
        <patternFill>
          <bgColor rgb="FFFFCC99"/>
        </patternFill>
      </fill>
    </dxf>
    <dxf>
      <font>
        <b val="0"/>
        <i val="0"/>
        <condense val="0"/>
        <extend val="0"/>
        <color auto="1"/>
      </font>
      <fill>
        <patternFill>
          <bgColor theme="3" tint="0.89996032593768116"/>
        </patternFill>
      </fill>
    </dxf>
    <dxf>
      <font>
        <b val="0"/>
        <i val="0"/>
        <condense val="0"/>
        <extend val="0"/>
        <color auto="1"/>
      </font>
      <fill>
        <patternFill>
          <bgColor theme="7" tint="0.79998168889431442"/>
        </patternFill>
      </fill>
    </dxf>
    <dxf>
      <fill>
        <patternFill>
          <bgColor rgb="FFFFCC99"/>
        </patternFill>
      </fill>
    </dxf>
    <dxf>
      <font>
        <b/>
        <i val="0"/>
      </font>
      <fill>
        <patternFill>
          <bgColor rgb="FFFF7C80"/>
        </patternFill>
      </fill>
    </dxf>
    <dxf>
      <font>
        <b val="0"/>
        <i val="0"/>
        <condense val="0"/>
        <extend val="0"/>
        <color auto="1"/>
      </font>
      <fill>
        <patternFill>
          <bgColor theme="7" tint="0.79998168889431442"/>
        </patternFill>
      </fill>
    </dxf>
    <dxf>
      <fill>
        <patternFill>
          <bgColor rgb="FFFFCC99"/>
        </patternFill>
      </fill>
    </dxf>
    <dxf>
      <font>
        <b/>
        <i val="0"/>
      </font>
      <fill>
        <patternFill>
          <bgColor rgb="FFFF7C80"/>
        </patternFill>
      </fill>
    </dxf>
    <dxf>
      <font>
        <b val="0"/>
        <i val="0"/>
        <condense val="0"/>
        <extend val="0"/>
        <color auto="1"/>
      </font>
      <fill>
        <patternFill>
          <bgColor theme="7" tint="0.79998168889431442"/>
        </patternFill>
      </fill>
    </dxf>
    <dxf>
      <fill>
        <patternFill>
          <bgColor rgb="FFFFCC99"/>
        </patternFill>
      </fill>
    </dxf>
    <dxf>
      <font>
        <b/>
        <i val="0"/>
      </font>
      <fill>
        <patternFill>
          <bgColor rgb="FFFF7C80"/>
        </patternFill>
      </fill>
    </dxf>
    <dxf>
      <font>
        <b val="0"/>
        <i val="0"/>
        <condense val="0"/>
        <extend val="0"/>
        <color auto="1"/>
      </font>
      <fill>
        <patternFill>
          <bgColor theme="7" tint="0.79998168889431442"/>
        </patternFill>
      </fill>
    </dxf>
    <dxf>
      <fill>
        <patternFill>
          <bgColor rgb="FFFFCC99"/>
        </patternFill>
      </fill>
    </dxf>
    <dxf>
      <font>
        <b/>
        <i val="0"/>
      </font>
      <fill>
        <patternFill>
          <bgColor rgb="FFFF7C80"/>
        </patternFill>
      </fill>
    </dxf>
    <dxf>
      <font>
        <b val="0"/>
        <i val="0"/>
        <condense val="0"/>
        <extend val="0"/>
        <color auto="1"/>
      </font>
      <fill>
        <patternFill>
          <bgColor theme="7" tint="0.79998168889431442"/>
        </patternFill>
      </fill>
    </dxf>
    <dxf>
      <fill>
        <patternFill>
          <bgColor rgb="FFFFCC99"/>
        </patternFill>
      </fill>
    </dxf>
    <dxf>
      <font>
        <b/>
        <i val="0"/>
      </font>
      <fill>
        <patternFill>
          <bgColor rgb="FFFF7C80"/>
        </patternFill>
      </fill>
    </dxf>
    <dxf>
      <font>
        <b val="0"/>
        <i val="0"/>
        <condense val="0"/>
        <extend val="0"/>
        <color auto="1"/>
      </font>
      <fill>
        <patternFill>
          <bgColor theme="7" tint="0.79998168889431442"/>
        </patternFill>
      </fill>
    </dxf>
    <dxf>
      <fill>
        <patternFill>
          <bgColor rgb="FFFFCC99"/>
        </patternFill>
      </fill>
    </dxf>
    <dxf>
      <font>
        <b/>
        <i val="0"/>
      </font>
      <fill>
        <patternFill>
          <bgColor rgb="FFFF7C80"/>
        </patternFill>
      </fill>
    </dxf>
    <dxf>
      <font>
        <b val="0"/>
        <i val="0"/>
        <condense val="0"/>
        <extend val="0"/>
        <color auto="1"/>
      </font>
      <fill>
        <patternFill>
          <bgColor theme="7" tint="0.79998168889431442"/>
        </patternFill>
      </fill>
    </dxf>
    <dxf>
      <fill>
        <patternFill>
          <bgColor theme="7" tint="0.79998168889431442"/>
        </patternFill>
      </fill>
    </dxf>
    <dxf>
      <fill>
        <patternFill>
          <bgColor theme="3" tint="0.89996032593768116"/>
        </patternFill>
      </fill>
    </dxf>
    <dxf>
      <fill>
        <patternFill>
          <bgColor theme="3" tint="0.89996032593768116"/>
        </patternFill>
      </fill>
    </dxf>
    <dxf>
      <fill>
        <patternFill>
          <bgColor theme="3" tint="0.89996032593768116"/>
        </patternFill>
      </fill>
    </dxf>
    <dxf>
      <font>
        <b/>
        <i val="0"/>
        <color auto="1"/>
      </font>
      <fill>
        <patternFill>
          <bgColor rgb="FFFF7C80"/>
        </patternFill>
      </fill>
    </dxf>
    <dxf>
      <font>
        <b/>
        <i val="0"/>
      </font>
      <fill>
        <patternFill>
          <bgColor rgb="FFFF7C80"/>
        </patternFill>
      </fill>
    </dxf>
    <dxf>
      <fill>
        <patternFill>
          <bgColor theme="7" tint="0.79998168889431442"/>
        </patternFill>
      </fill>
    </dxf>
    <dxf>
      <font>
        <b/>
        <i val="0"/>
      </font>
      <fill>
        <patternFill>
          <bgColor rgb="FFFF7C80"/>
        </patternFill>
      </fill>
    </dxf>
    <dxf>
      <font>
        <b val="0"/>
        <i val="0"/>
        <condense val="0"/>
        <extend val="0"/>
        <color auto="1"/>
      </font>
      <fill>
        <patternFill>
          <bgColor theme="3" tint="0.89996032593768116"/>
        </patternFill>
      </fill>
    </dxf>
    <dxf>
      <font>
        <b val="0"/>
        <i val="0"/>
        <condense val="0"/>
        <extend val="0"/>
        <color auto="1"/>
      </font>
      <fill>
        <patternFill>
          <bgColor theme="3" tint="0.89996032593768116"/>
        </patternFill>
      </fill>
    </dxf>
    <dxf>
      <font>
        <b/>
        <i val="0"/>
      </font>
      <fill>
        <patternFill>
          <bgColor rgb="FFFF7C80"/>
        </patternFill>
      </fill>
    </dxf>
    <dxf>
      <font>
        <b val="0"/>
        <i val="0"/>
        <condense val="0"/>
        <extend val="0"/>
        <color auto="1"/>
      </font>
      <fill>
        <patternFill>
          <bgColor theme="3" tint="0.89996032593768116"/>
        </patternFill>
      </fill>
    </dxf>
    <dxf>
      <font>
        <b val="0"/>
        <i val="0"/>
        <condense val="0"/>
        <extend val="0"/>
        <color auto="1"/>
      </font>
      <fill>
        <patternFill>
          <bgColor theme="3" tint="0.89996032593768116"/>
        </patternFill>
      </fill>
    </dxf>
    <dxf>
      <fill>
        <patternFill>
          <bgColor rgb="FFFFCC99"/>
        </patternFill>
      </fill>
    </dxf>
    <dxf>
      <font>
        <b/>
        <i val="0"/>
      </font>
      <fill>
        <patternFill>
          <bgColor rgb="FFFF7C80"/>
        </patternFill>
      </fill>
    </dxf>
    <dxf>
      <font>
        <b val="0"/>
        <i val="0"/>
        <condense val="0"/>
        <extend val="0"/>
        <color auto="1"/>
      </font>
      <fill>
        <patternFill>
          <bgColor theme="7" tint="0.79998168889431442"/>
        </patternFill>
      </fill>
    </dxf>
    <dxf>
      <fill>
        <patternFill>
          <bgColor rgb="FFFFCC99"/>
        </patternFill>
      </fill>
    </dxf>
    <dxf>
      <font>
        <b/>
        <i val="0"/>
      </font>
      <fill>
        <patternFill>
          <bgColor rgb="FFFF7C80"/>
        </patternFill>
      </fill>
    </dxf>
    <dxf>
      <font>
        <b val="0"/>
        <i val="0"/>
        <condense val="0"/>
        <extend val="0"/>
        <color auto="1"/>
      </font>
      <fill>
        <patternFill>
          <bgColor theme="7" tint="0.79998168889431442"/>
        </patternFill>
      </fill>
    </dxf>
    <dxf>
      <fill>
        <patternFill>
          <bgColor rgb="FFFFCC99"/>
        </patternFill>
      </fill>
    </dxf>
    <dxf>
      <font>
        <b/>
        <i val="0"/>
      </font>
      <fill>
        <patternFill>
          <bgColor rgb="FFFF7C80"/>
        </patternFill>
      </fill>
    </dxf>
    <dxf>
      <font>
        <b val="0"/>
        <i val="0"/>
        <condense val="0"/>
        <extend val="0"/>
        <color indexed="22"/>
      </font>
      <fill>
        <patternFill>
          <bgColor theme="7" tint="0.79998168889431442"/>
        </patternFill>
      </fill>
    </dxf>
    <dxf>
      <font>
        <b val="0"/>
        <i val="0"/>
        <condense val="0"/>
        <extend val="0"/>
        <color auto="1"/>
      </font>
      <fill>
        <patternFill>
          <bgColor indexed="52"/>
        </patternFill>
      </fill>
    </dxf>
    <dxf>
      <font>
        <b/>
        <i val="0"/>
        <condense val="0"/>
        <extend val="0"/>
        <color indexed="9"/>
      </font>
      <fill>
        <patternFill>
          <bgColor indexed="10"/>
        </patternFill>
      </fill>
    </dxf>
    <dxf>
      <fill>
        <patternFill>
          <bgColor rgb="FFFFCC99"/>
        </patternFill>
      </fill>
    </dxf>
  </dxfs>
  <tableStyles count="0" defaultTableStyle="TableStyleMedium9" defaultPivotStyle="PivotStyleLight16"/>
  <colors>
    <mruColors>
      <color rgb="FFFFCC99"/>
      <color rgb="FFFF7C80"/>
      <color rgb="FF663300"/>
      <color rgb="FF006600"/>
      <color rgb="FFFF6600"/>
      <color rgb="FF0033CC"/>
      <color rgb="FFFFAF91"/>
      <color rgb="FFFFA48D"/>
      <color rgb="FFFFB191"/>
      <color rgb="FFFFCC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050" b="1" i="0" u="none" strike="noStrike" kern="1200" baseline="0">
                <a:solidFill>
                  <a:schemeClr val="tx2"/>
                </a:solidFill>
                <a:latin typeface="Arial"/>
                <a:ea typeface="Arial"/>
                <a:cs typeface="Arial"/>
              </a:defRPr>
            </a:pPr>
            <a:r>
              <a:rPr lang="en-US" sz="1050" b="1" i="0" u="none" strike="noStrike" kern="1200" baseline="0">
                <a:solidFill>
                  <a:schemeClr val="tx2"/>
                </a:solidFill>
                <a:latin typeface="Arial"/>
                <a:ea typeface="Arial"/>
                <a:cs typeface="Arial"/>
              </a:rPr>
              <a:t>100BaseT Low Frequency PSD</a:t>
            </a:r>
          </a:p>
        </c:rich>
      </c:tx>
      <c:layout>
        <c:manualLayout>
          <c:xMode val="edge"/>
          <c:yMode val="edge"/>
          <c:x val="0.27038720407473821"/>
          <c:y val="7.845198037005316E-4"/>
        </c:manualLayout>
      </c:layout>
      <c:overlay val="0"/>
      <c:spPr>
        <a:noFill/>
        <a:ln w="25400">
          <a:noFill/>
        </a:ln>
      </c:spPr>
    </c:title>
    <c:autoTitleDeleted val="0"/>
    <c:plotArea>
      <c:layout>
        <c:manualLayout>
          <c:layoutTarget val="inner"/>
          <c:xMode val="edge"/>
          <c:yMode val="edge"/>
          <c:x val="0.1063787323614251"/>
          <c:y val="9.3637674533112933E-2"/>
          <c:w val="0.85928977937163797"/>
          <c:h val="0.78276260139172593"/>
        </c:manualLayout>
      </c:layout>
      <c:scatterChart>
        <c:scatterStyle val="smoothMarker"/>
        <c:varyColors val="0"/>
        <c:ser>
          <c:idx val="0"/>
          <c:order val="0"/>
          <c:tx>
            <c:v>Pair 2</c:v>
          </c:tx>
          <c:spPr>
            <a:ln w="25400">
              <a:solidFill>
                <a:srgbClr val="FF6600"/>
              </a:solidFill>
              <a:prstDash val="solid"/>
            </a:ln>
          </c:spPr>
          <c:marker>
            <c:symbol val="none"/>
          </c:marker>
          <c:xVal>
            <c:numRef>
              <c:f>Result1!$C$36:$C$40</c:f>
              <c:numCache>
                <c:formatCode>General</c:formatCode>
                <c:ptCount val="5"/>
                <c:pt idx="0">
                  <c:v>0.02</c:v>
                </c:pt>
                <c:pt idx="1">
                  <c:v>0.08</c:v>
                </c:pt>
                <c:pt idx="2">
                  <c:v>0.33</c:v>
                </c:pt>
                <c:pt idx="3">
                  <c:v>1</c:v>
                </c:pt>
                <c:pt idx="4">
                  <c:v>2</c:v>
                </c:pt>
              </c:numCache>
            </c:numRef>
          </c:xVal>
          <c:yVal>
            <c:numRef>
              <c:f>Result1!$Z$36:$Z$40</c:f>
              <c:numCache>
                <c:formatCode>General</c:formatCode>
                <c:ptCount val="5"/>
                <c:pt idx="0">
                  <c:v>-0.1</c:v>
                </c:pt>
                <c:pt idx="1">
                  <c:v>-0.1</c:v>
                </c:pt>
                <c:pt idx="2">
                  <c:v>-0.1</c:v>
                </c:pt>
                <c:pt idx="3">
                  <c:v>-0.1</c:v>
                </c:pt>
                <c:pt idx="4">
                  <c:v>-0.1</c:v>
                </c:pt>
              </c:numCache>
            </c:numRef>
          </c:yVal>
          <c:smooth val="1"/>
          <c:extLst>
            <c:ext xmlns:c16="http://schemas.microsoft.com/office/drawing/2014/chart" uri="{C3380CC4-5D6E-409C-BE32-E72D297353CC}">
              <c16:uniqueId val="{00000000-5AE2-49FB-B0D9-D98FCD793A14}"/>
            </c:ext>
          </c:extLst>
        </c:ser>
        <c:ser>
          <c:idx val="1"/>
          <c:order val="1"/>
          <c:tx>
            <c:v>Pair 3</c:v>
          </c:tx>
          <c:spPr>
            <a:ln w="25400">
              <a:solidFill>
                <a:srgbClr val="008000"/>
              </a:solidFill>
              <a:prstDash val="solid"/>
            </a:ln>
          </c:spPr>
          <c:marker>
            <c:symbol val="none"/>
          </c:marker>
          <c:xVal>
            <c:numRef>
              <c:f>Result1!$C$36:$C$40</c:f>
              <c:numCache>
                <c:formatCode>General</c:formatCode>
                <c:ptCount val="5"/>
                <c:pt idx="0">
                  <c:v>0.02</c:v>
                </c:pt>
                <c:pt idx="1">
                  <c:v>0.08</c:v>
                </c:pt>
                <c:pt idx="2">
                  <c:v>0.33</c:v>
                </c:pt>
                <c:pt idx="3">
                  <c:v>1</c:v>
                </c:pt>
                <c:pt idx="4">
                  <c:v>2</c:v>
                </c:pt>
              </c:numCache>
            </c:numRef>
          </c:xVal>
          <c:yVal>
            <c:numRef>
              <c:f>Result1!$AA$36:$AA$40</c:f>
              <c:numCache>
                <c:formatCode>General</c:formatCode>
                <c:ptCount val="5"/>
                <c:pt idx="0">
                  <c:v>0.1</c:v>
                </c:pt>
                <c:pt idx="1">
                  <c:v>0.1</c:v>
                </c:pt>
                <c:pt idx="2">
                  <c:v>0</c:v>
                </c:pt>
                <c:pt idx="3">
                  <c:v>0</c:v>
                </c:pt>
                <c:pt idx="4">
                  <c:v>0</c:v>
                </c:pt>
              </c:numCache>
            </c:numRef>
          </c:yVal>
          <c:smooth val="1"/>
          <c:extLst>
            <c:ext xmlns:c16="http://schemas.microsoft.com/office/drawing/2014/chart" uri="{C3380CC4-5D6E-409C-BE32-E72D297353CC}">
              <c16:uniqueId val="{00000001-5AE2-49FB-B0D9-D98FCD793A14}"/>
            </c:ext>
          </c:extLst>
        </c:ser>
        <c:ser>
          <c:idx val="2"/>
          <c:order val="2"/>
          <c:tx>
            <c:v>Red_Limit</c:v>
          </c:tx>
          <c:spPr>
            <a:ln w="25400">
              <a:solidFill>
                <a:srgbClr val="FF7C80"/>
              </a:solidFill>
              <a:prstDash val="solid"/>
            </a:ln>
            <a:effectLst>
              <a:outerShdw blurRad="50800" dist="38100" dir="16200000" rotWithShape="0">
                <a:srgbClr val="FF7C80">
                  <a:alpha val="40000"/>
                </a:srgbClr>
              </a:outerShdw>
            </a:effectLst>
          </c:spPr>
          <c:marker>
            <c:symbol val="none"/>
          </c:marker>
          <c:xVal>
            <c:numRef>
              <c:f>Result1!$C$36:$C$40</c:f>
              <c:numCache>
                <c:formatCode>General</c:formatCode>
                <c:ptCount val="5"/>
                <c:pt idx="0">
                  <c:v>0.02</c:v>
                </c:pt>
                <c:pt idx="1">
                  <c:v>0.08</c:v>
                </c:pt>
                <c:pt idx="2">
                  <c:v>0.33</c:v>
                </c:pt>
                <c:pt idx="3">
                  <c:v>1</c:v>
                </c:pt>
                <c:pt idx="4">
                  <c:v>2</c:v>
                </c:pt>
              </c:numCache>
            </c:numRef>
          </c:xVal>
          <c:yVal>
            <c:numRef>
              <c:f>Result1!$D$169:$D$173</c:f>
              <c:numCache>
                <c:formatCode>0.00</c:formatCode>
                <c:ptCount val="5"/>
                <c:pt idx="0">
                  <c:v>-9</c:v>
                </c:pt>
                <c:pt idx="1">
                  <c:v>-5</c:v>
                </c:pt>
                <c:pt idx="2">
                  <c:v>-1.25</c:v>
                </c:pt>
                <c:pt idx="3">
                  <c:v>-0.85</c:v>
                </c:pt>
                <c:pt idx="4">
                  <c:v>-0.85</c:v>
                </c:pt>
              </c:numCache>
            </c:numRef>
          </c:yVal>
          <c:smooth val="1"/>
          <c:extLst>
            <c:ext xmlns:c16="http://schemas.microsoft.com/office/drawing/2014/chart" uri="{C3380CC4-5D6E-409C-BE32-E72D297353CC}">
              <c16:uniqueId val="{00000002-5AE2-49FB-B0D9-D98FCD793A14}"/>
            </c:ext>
          </c:extLst>
        </c:ser>
        <c:ser>
          <c:idx val="3"/>
          <c:order val="3"/>
          <c:tx>
            <c:v>Yellow_Limit</c:v>
          </c:tx>
          <c:spPr>
            <a:ln w="25400">
              <a:solidFill>
                <a:srgbClr val="FFCC99"/>
              </a:solidFill>
              <a:prstDash val="solid"/>
            </a:ln>
            <a:effectLst>
              <a:outerShdw blurRad="50800" dist="38100" dir="16200000" rotWithShape="0">
                <a:srgbClr val="FFCC99">
                  <a:alpha val="40000"/>
                </a:srgbClr>
              </a:outerShdw>
            </a:effectLst>
          </c:spPr>
          <c:marker>
            <c:symbol val="none"/>
          </c:marker>
          <c:xVal>
            <c:numRef>
              <c:f>Result1!$C$36:$C$40</c:f>
              <c:numCache>
                <c:formatCode>General</c:formatCode>
                <c:ptCount val="5"/>
                <c:pt idx="0">
                  <c:v>0.02</c:v>
                </c:pt>
                <c:pt idx="1">
                  <c:v>0.08</c:v>
                </c:pt>
                <c:pt idx="2">
                  <c:v>0.33</c:v>
                </c:pt>
                <c:pt idx="3">
                  <c:v>1</c:v>
                </c:pt>
                <c:pt idx="4">
                  <c:v>2</c:v>
                </c:pt>
              </c:numCache>
            </c:numRef>
          </c:xVal>
          <c:yVal>
            <c:numRef>
              <c:f>Result1!$E$169:$E$173</c:f>
              <c:numCache>
                <c:formatCode>0.00</c:formatCode>
                <c:ptCount val="5"/>
                <c:pt idx="0">
                  <c:v>-7.4</c:v>
                </c:pt>
                <c:pt idx="1">
                  <c:v>-4.3</c:v>
                </c:pt>
                <c:pt idx="2">
                  <c:v>-1</c:v>
                </c:pt>
                <c:pt idx="3">
                  <c:v>-0.6</c:v>
                </c:pt>
                <c:pt idx="4">
                  <c:v>-0.6</c:v>
                </c:pt>
              </c:numCache>
            </c:numRef>
          </c:yVal>
          <c:smooth val="1"/>
          <c:extLst>
            <c:ext xmlns:c16="http://schemas.microsoft.com/office/drawing/2014/chart" uri="{C3380CC4-5D6E-409C-BE32-E72D297353CC}">
              <c16:uniqueId val="{00000003-5AE2-49FB-B0D9-D98FCD793A14}"/>
            </c:ext>
          </c:extLst>
        </c:ser>
        <c:ser>
          <c:idx val="4"/>
          <c:order val="4"/>
          <c:tx>
            <c:v>Upper Limit</c:v>
          </c:tx>
          <c:spPr>
            <a:ln w="25400">
              <a:solidFill>
                <a:srgbClr val="FF7C80"/>
              </a:solidFill>
              <a:prstDash val="solid"/>
            </a:ln>
            <a:effectLst>
              <a:outerShdw blurRad="50800" dist="38100" dir="5400000" algn="t" rotWithShape="0">
                <a:srgbClr val="FF7C80">
                  <a:alpha val="40000"/>
                </a:srgbClr>
              </a:outerShdw>
            </a:effectLst>
          </c:spPr>
          <c:marker>
            <c:symbol val="none"/>
          </c:marker>
          <c:xVal>
            <c:numRef>
              <c:f>Result1!$C$36:$C$40</c:f>
              <c:numCache>
                <c:formatCode>General</c:formatCode>
                <c:ptCount val="5"/>
                <c:pt idx="0">
                  <c:v>0.02</c:v>
                </c:pt>
                <c:pt idx="1">
                  <c:v>0.08</c:v>
                </c:pt>
                <c:pt idx="2">
                  <c:v>0.33</c:v>
                </c:pt>
                <c:pt idx="3">
                  <c:v>1</c:v>
                </c:pt>
                <c:pt idx="4">
                  <c:v>2</c:v>
                </c:pt>
              </c:numCache>
            </c:numRef>
          </c:xVal>
          <c:yVal>
            <c:numRef>
              <c:f>Result1!$G$169:$G$173</c:f>
              <c:numCache>
                <c:formatCode>0.00</c:formatCode>
                <c:ptCount val="5"/>
                <c:pt idx="0">
                  <c:v>2</c:v>
                </c:pt>
                <c:pt idx="1">
                  <c:v>2</c:v>
                </c:pt>
                <c:pt idx="2">
                  <c:v>2</c:v>
                </c:pt>
                <c:pt idx="3">
                  <c:v>0.85</c:v>
                </c:pt>
                <c:pt idx="4">
                  <c:v>0.8</c:v>
                </c:pt>
              </c:numCache>
            </c:numRef>
          </c:yVal>
          <c:smooth val="1"/>
          <c:extLst>
            <c:ext xmlns:c16="http://schemas.microsoft.com/office/drawing/2014/chart" uri="{C3380CC4-5D6E-409C-BE32-E72D297353CC}">
              <c16:uniqueId val="{00000004-5AE2-49FB-B0D9-D98FCD793A14}"/>
            </c:ext>
          </c:extLst>
        </c:ser>
        <c:dLbls>
          <c:showLegendKey val="0"/>
          <c:showVal val="0"/>
          <c:showCatName val="0"/>
          <c:showSerName val="0"/>
          <c:showPercent val="0"/>
          <c:showBubbleSize val="0"/>
        </c:dLbls>
        <c:axId val="138631040"/>
        <c:axId val="138637312"/>
      </c:scatterChart>
      <c:valAx>
        <c:axId val="138631040"/>
        <c:scaling>
          <c:orientation val="minMax"/>
          <c:max val="2"/>
        </c:scaling>
        <c:delete val="0"/>
        <c:axPos val="b"/>
        <c:majorGridlines>
          <c:spPr>
            <a:ln w="3175">
              <a:solidFill>
                <a:schemeClr val="accent4">
                  <a:lumMod val="60000"/>
                  <a:lumOff val="40000"/>
                </a:schemeClr>
              </a:solidFill>
              <a:prstDash val="solid"/>
            </a:ln>
          </c:spPr>
        </c:majorGridlines>
        <c:title>
          <c:tx>
            <c:rich>
              <a:bodyPr/>
              <a:lstStyle/>
              <a:p>
                <a:pPr>
                  <a:defRPr sz="1100" b="1" i="0" u="none" strike="noStrike" baseline="0">
                    <a:solidFill>
                      <a:srgbClr val="000000"/>
                    </a:solidFill>
                    <a:latin typeface="Arial"/>
                    <a:ea typeface="Arial"/>
                    <a:cs typeface="Arial"/>
                  </a:defRPr>
                </a:pPr>
                <a:r>
                  <a:rPr lang="en-US"/>
                  <a:t>Frequency MHz</a:t>
                </a:r>
              </a:p>
            </c:rich>
          </c:tx>
          <c:layout>
            <c:manualLayout>
              <c:xMode val="edge"/>
              <c:yMode val="edge"/>
              <c:x val="0.69673137392479401"/>
              <c:y val="0.92611647440732991"/>
            </c:manualLayout>
          </c:layout>
          <c:overlay val="0"/>
          <c:spPr>
            <a:noFill/>
            <a:ln w="25400">
              <a:noFill/>
            </a:ln>
          </c:spPr>
        </c:title>
        <c:numFmt formatCode="General" sourceLinked="1"/>
        <c:majorTickMark val="out"/>
        <c:minorTickMark val="none"/>
        <c:tickLblPos val="nextTo"/>
        <c:spPr>
          <a:ln w="25400">
            <a:solidFill>
              <a:schemeClr val="tx2"/>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8637312"/>
        <c:crossesAt val="-5"/>
        <c:crossBetween val="midCat"/>
        <c:majorUnit val="0.2"/>
      </c:valAx>
      <c:valAx>
        <c:axId val="138637312"/>
        <c:scaling>
          <c:orientation val="minMax"/>
          <c:max val="2"/>
          <c:min val="-5"/>
        </c:scaling>
        <c:delete val="0"/>
        <c:axPos val="l"/>
        <c:majorGridlines>
          <c:spPr>
            <a:ln w="3175">
              <a:solidFill>
                <a:schemeClr val="accent4">
                  <a:lumMod val="60000"/>
                  <a:lumOff val="40000"/>
                </a:schemeClr>
              </a:solidFill>
              <a:prstDash val="solid"/>
            </a:ln>
          </c:spPr>
        </c:majorGridlines>
        <c:title>
          <c:tx>
            <c:rich>
              <a:bodyPr/>
              <a:lstStyle/>
              <a:p>
                <a:pPr>
                  <a:defRPr sz="1125" b="1" i="0" u="none" strike="noStrike" baseline="0">
                    <a:solidFill>
                      <a:srgbClr val="000000"/>
                    </a:solidFill>
                    <a:latin typeface="Arial"/>
                    <a:ea typeface="Arial"/>
                    <a:cs typeface="Arial"/>
                  </a:defRPr>
                </a:pPr>
                <a:r>
                  <a:rPr lang="en-US"/>
                  <a:t>dB</a:t>
                </a:r>
              </a:p>
            </c:rich>
          </c:tx>
          <c:layout>
            <c:manualLayout>
              <c:xMode val="edge"/>
              <c:yMode val="edge"/>
              <c:x val="1.2875611392248425E-2"/>
              <c:y val="0.41416666666666668"/>
            </c:manualLayout>
          </c:layout>
          <c:overlay val="0"/>
          <c:spPr>
            <a:noFill/>
            <a:ln w="25400">
              <a:noFill/>
            </a:ln>
          </c:spPr>
        </c:title>
        <c:numFmt formatCode="General" sourceLinked="1"/>
        <c:majorTickMark val="out"/>
        <c:minorTickMark val="none"/>
        <c:tickLblPos val="nextTo"/>
        <c:spPr>
          <a:ln w="25400">
            <a:solidFill>
              <a:schemeClr val="tx2"/>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8631040"/>
        <c:crosses val="autoZero"/>
        <c:crossBetween val="midCat"/>
      </c:valAx>
      <c:spPr>
        <a:solidFill>
          <a:schemeClr val="bg1"/>
        </a:solidFill>
        <a:ln w="12700">
          <a:solidFill>
            <a:srgbClr val="808080"/>
          </a:solidFill>
          <a:prstDash val="solid"/>
        </a:ln>
      </c:spPr>
    </c:plotArea>
    <c:plotVisOnly val="1"/>
    <c:dispBlanksAs val="gap"/>
    <c:showDLblsOverMax val="0"/>
  </c:chart>
  <c:spPr>
    <a:solidFill>
      <a:schemeClr val="bg2"/>
    </a:solidFill>
    <a:ln w="3175" cap="rnd">
      <a:solidFill>
        <a:schemeClr val="accent4"/>
      </a:solidFill>
      <a:prstDash val="solid"/>
      <a:beve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050" b="1" i="0" u="none" strike="noStrike" kern="1200" baseline="0">
                <a:solidFill>
                  <a:schemeClr val="tx2"/>
                </a:solidFill>
                <a:latin typeface="Arial"/>
                <a:ea typeface="Arial"/>
                <a:cs typeface="Arial"/>
              </a:defRPr>
            </a:pPr>
            <a:r>
              <a:rPr lang="en-US" sz="1050" b="1" i="0" u="none" strike="noStrike" kern="1200" baseline="0">
                <a:solidFill>
                  <a:schemeClr val="tx2"/>
                </a:solidFill>
                <a:latin typeface="Arial"/>
                <a:ea typeface="Arial"/>
                <a:cs typeface="Arial"/>
              </a:rPr>
              <a:t>1000BaseT Low Frequency PSD</a:t>
            </a:r>
          </a:p>
        </c:rich>
      </c:tx>
      <c:layout>
        <c:manualLayout>
          <c:xMode val="edge"/>
          <c:yMode val="edge"/>
          <c:x val="0.22936829498254463"/>
          <c:y val="6.9840570251646452E-4"/>
        </c:manualLayout>
      </c:layout>
      <c:overlay val="0"/>
      <c:spPr>
        <a:noFill/>
        <a:ln w="25400">
          <a:noFill/>
        </a:ln>
      </c:spPr>
    </c:title>
    <c:autoTitleDeleted val="0"/>
    <c:plotArea>
      <c:layout>
        <c:manualLayout>
          <c:layoutTarget val="inner"/>
          <c:xMode val="edge"/>
          <c:yMode val="edge"/>
          <c:x val="9.4284585786000047E-2"/>
          <c:y val="7.5658016257864308E-2"/>
          <c:w val="0.87909741864791169"/>
          <c:h val="0.81226041039810826"/>
        </c:manualLayout>
      </c:layout>
      <c:scatterChart>
        <c:scatterStyle val="smoothMarker"/>
        <c:varyColors val="0"/>
        <c:ser>
          <c:idx val="0"/>
          <c:order val="0"/>
          <c:tx>
            <c:v>Pair 2</c:v>
          </c:tx>
          <c:spPr>
            <a:ln w="25400">
              <a:solidFill>
                <a:srgbClr val="FF6600"/>
              </a:solidFill>
              <a:prstDash val="solid"/>
            </a:ln>
          </c:spPr>
          <c:marker>
            <c:symbol val="none"/>
          </c:marker>
          <c:xVal>
            <c:numRef>
              <c:f>Result1!$C$36:$C$40</c:f>
              <c:numCache>
                <c:formatCode>General</c:formatCode>
                <c:ptCount val="5"/>
                <c:pt idx="0">
                  <c:v>0.02</c:v>
                </c:pt>
                <c:pt idx="1">
                  <c:v>0.08</c:v>
                </c:pt>
                <c:pt idx="2">
                  <c:v>0.33</c:v>
                </c:pt>
                <c:pt idx="3">
                  <c:v>1</c:v>
                </c:pt>
                <c:pt idx="4">
                  <c:v>2</c:v>
                </c:pt>
              </c:numCache>
            </c:numRef>
          </c:xVal>
          <c:yVal>
            <c:numRef>
              <c:f>Result1!$Z$41:$Z$45</c:f>
              <c:numCache>
                <c:formatCode>General</c:formatCode>
                <c:ptCount val="5"/>
                <c:pt idx="0">
                  <c:v>-2.1</c:v>
                </c:pt>
                <c:pt idx="1">
                  <c:v>-2.2000000000000002</c:v>
                </c:pt>
                <c:pt idx="2">
                  <c:v>-2.6</c:v>
                </c:pt>
                <c:pt idx="3">
                  <c:v>-2.6</c:v>
                </c:pt>
                <c:pt idx="4">
                  <c:v>-2.5</c:v>
                </c:pt>
              </c:numCache>
            </c:numRef>
          </c:yVal>
          <c:smooth val="1"/>
          <c:extLst>
            <c:ext xmlns:c16="http://schemas.microsoft.com/office/drawing/2014/chart" uri="{C3380CC4-5D6E-409C-BE32-E72D297353CC}">
              <c16:uniqueId val="{00000000-4010-4CF4-9B47-44A7343786DF}"/>
            </c:ext>
          </c:extLst>
        </c:ser>
        <c:ser>
          <c:idx val="1"/>
          <c:order val="1"/>
          <c:tx>
            <c:v>Pair 3</c:v>
          </c:tx>
          <c:spPr>
            <a:ln w="25400">
              <a:solidFill>
                <a:srgbClr val="008000"/>
              </a:solidFill>
              <a:prstDash val="solid"/>
            </a:ln>
          </c:spPr>
          <c:marker>
            <c:symbol val="none"/>
          </c:marker>
          <c:xVal>
            <c:numRef>
              <c:f>Result1!$C$36:$C$40</c:f>
              <c:numCache>
                <c:formatCode>General</c:formatCode>
                <c:ptCount val="5"/>
                <c:pt idx="0">
                  <c:v>0.02</c:v>
                </c:pt>
                <c:pt idx="1">
                  <c:v>0.08</c:v>
                </c:pt>
                <c:pt idx="2">
                  <c:v>0.33</c:v>
                </c:pt>
                <c:pt idx="3">
                  <c:v>1</c:v>
                </c:pt>
                <c:pt idx="4">
                  <c:v>2</c:v>
                </c:pt>
              </c:numCache>
            </c:numRef>
          </c:xVal>
          <c:yVal>
            <c:numRef>
              <c:f>Result1!$AA$41:$AA$45</c:f>
              <c:numCache>
                <c:formatCode>General</c:formatCode>
                <c:ptCount val="5"/>
                <c:pt idx="0">
                  <c:v>-2</c:v>
                </c:pt>
                <c:pt idx="1">
                  <c:v>-2.1</c:v>
                </c:pt>
                <c:pt idx="2">
                  <c:v>-2.4</c:v>
                </c:pt>
                <c:pt idx="3">
                  <c:v>-2.5</c:v>
                </c:pt>
                <c:pt idx="4">
                  <c:v>-2.4</c:v>
                </c:pt>
              </c:numCache>
            </c:numRef>
          </c:yVal>
          <c:smooth val="1"/>
          <c:extLst>
            <c:ext xmlns:c16="http://schemas.microsoft.com/office/drawing/2014/chart" uri="{C3380CC4-5D6E-409C-BE32-E72D297353CC}">
              <c16:uniqueId val="{00000001-4010-4CF4-9B47-44A7343786DF}"/>
            </c:ext>
          </c:extLst>
        </c:ser>
        <c:ser>
          <c:idx val="2"/>
          <c:order val="2"/>
          <c:tx>
            <c:v>Pair 1</c:v>
          </c:tx>
          <c:spPr>
            <a:ln w="25400">
              <a:solidFill>
                <a:schemeClr val="accent1">
                  <a:lumMod val="75000"/>
                </a:schemeClr>
              </a:solidFill>
              <a:prstDash val="solid"/>
            </a:ln>
          </c:spPr>
          <c:marker>
            <c:symbol val="none"/>
          </c:marker>
          <c:xVal>
            <c:numRef>
              <c:f>Result1!$C$41:$C$45</c:f>
              <c:numCache>
                <c:formatCode>General</c:formatCode>
                <c:ptCount val="5"/>
                <c:pt idx="0">
                  <c:v>0.02</c:v>
                </c:pt>
                <c:pt idx="1">
                  <c:v>0.08</c:v>
                </c:pt>
                <c:pt idx="2">
                  <c:v>0.33</c:v>
                </c:pt>
                <c:pt idx="3">
                  <c:v>1</c:v>
                </c:pt>
                <c:pt idx="4">
                  <c:v>2</c:v>
                </c:pt>
              </c:numCache>
            </c:numRef>
          </c:xVal>
          <c:yVal>
            <c:numRef>
              <c:f>Result1!$Y$41:$Y$45</c:f>
              <c:numCache>
                <c:formatCode>General</c:formatCode>
                <c:ptCount val="5"/>
                <c:pt idx="0">
                  <c:v>-2.1</c:v>
                </c:pt>
                <c:pt idx="1">
                  <c:v>-2.2000000000000002</c:v>
                </c:pt>
                <c:pt idx="2">
                  <c:v>-2.4</c:v>
                </c:pt>
                <c:pt idx="3">
                  <c:v>-2.4</c:v>
                </c:pt>
                <c:pt idx="4">
                  <c:v>-2.5</c:v>
                </c:pt>
              </c:numCache>
            </c:numRef>
          </c:yVal>
          <c:smooth val="1"/>
          <c:extLst>
            <c:ext xmlns:c16="http://schemas.microsoft.com/office/drawing/2014/chart" uri="{C3380CC4-5D6E-409C-BE32-E72D297353CC}">
              <c16:uniqueId val="{00000002-4010-4CF4-9B47-44A7343786DF}"/>
            </c:ext>
          </c:extLst>
        </c:ser>
        <c:ser>
          <c:idx val="3"/>
          <c:order val="3"/>
          <c:tx>
            <c:v>Pair 4</c:v>
          </c:tx>
          <c:spPr>
            <a:ln w="25400">
              <a:solidFill>
                <a:srgbClr val="993300"/>
              </a:solidFill>
              <a:prstDash val="solid"/>
            </a:ln>
          </c:spPr>
          <c:marker>
            <c:symbol val="none"/>
          </c:marker>
          <c:xVal>
            <c:numRef>
              <c:f>Result1!$C$41:$C$45</c:f>
              <c:numCache>
                <c:formatCode>General</c:formatCode>
                <c:ptCount val="5"/>
                <c:pt idx="0">
                  <c:v>0.02</c:v>
                </c:pt>
                <c:pt idx="1">
                  <c:v>0.08</c:v>
                </c:pt>
                <c:pt idx="2">
                  <c:v>0.33</c:v>
                </c:pt>
                <c:pt idx="3">
                  <c:v>1</c:v>
                </c:pt>
                <c:pt idx="4">
                  <c:v>2</c:v>
                </c:pt>
              </c:numCache>
            </c:numRef>
          </c:xVal>
          <c:yVal>
            <c:numRef>
              <c:f>Result1!$AB$41:$AB$45</c:f>
              <c:numCache>
                <c:formatCode>General</c:formatCode>
                <c:ptCount val="5"/>
                <c:pt idx="0">
                  <c:v>-1.9</c:v>
                </c:pt>
                <c:pt idx="1">
                  <c:v>-1.9</c:v>
                </c:pt>
                <c:pt idx="2">
                  <c:v>-2.1</c:v>
                </c:pt>
                <c:pt idx="3">
                  <c:v>-2.1</c:v>
                </c:pt>
                <c:pt idx="4">
                  <c:v>-2.2000000000000002</c:v>
                </c:pt>
              </c:numCache>
            </c:numRef>
          </c:yVal>
          <c:smooth val="1"/>
          <c:extLst>
            <c:ext xmlns:c16="http://schemas.microsoft.com/office/drawing/2014/chart" uri="{C3380CC4-5D6E-409C-BE32-E72D297353CC}">
              <c16:uniqueId val="{00000003-4010-4CF4-9B47-44A7343786DF}"/>
            </c:ext>
          </c:extLst>
        </c:ser>
        <c:ser>
          <c:idx val="4"/>
          <c:order val="4"/>
          <c:tx>
            <c:v>Red Limit</c:v>
          </c:tx>
          <c:spPr>
            <a:ln w="25400">
              <a:solidFill>
                <a:srgbClr val="FF7C80"/>
              </a:solidFill>
              <a:prstDash val="solid"/>
            </a:ln>
            <a:effectLst>
              <a:outerShdw blurRad="50800" dist="38100" dir="16200000" rotWithShape="0">
                <a:srgbClr val="FF7C80">
                  <a:alpha val="40000"/>
                </a:srgbClr>
              </a:outerShdw>
            </a:effectLst>
          </c:spPr>
          <c:marker>
            <c:symbol val="none"/>
          </c:marker>
          <c:xVal>
            <c:numRef>
              <c:f>Result1!$C$41:$C$45</c:f>
              <c:numCache>
                <c:formatCode>General</c:formatCode>
                <c:ptCount val="5"/>
                <c:pt idx="0">
                  <c:v>0.02</c:v>
                </c:pt>
                <c:pt idx="1">
                  <c:v>0.08</c:v>
                </c:pt>
                <c:pt idx="2">
                  <c:v>0.33</c:v>
                </c:pt>
                <c:pt idx="3">
                  <c:v>1</c:v>
                </c:pt>
                <c:pt idx="4">
                  <c:v>2</c:v>
                </c:pt>
              </c:numCache>
            </c:numRef>
          </c:xVal>
          <c:yVal>
            <c:numRef>
              <c:f>Result1!$D$175:$D$179</c:f>
              <c:numCache>
                <c:formatCode>0.00</c:formatCode>
                <c:ptCount val="5"/>
                <c:pt idx="0">
                  <c:v>-12.2</c:v>
                </c:pt>
                <c:pt idx="1">
                  <c:v>-8.25</c:v>
                </c:pt>
                <c:pt idx="2">
                  <c:v>-1.75</c:v>
                </c:pt>
                <c:pt idx="3">
                  <c:v>-1.35</c:v>
                </c:pt>
                <c:pt idx="4">
                  <c:v>-1.35</c:v>
                </c:pt>
              </c:numCache>
            </c:numRef>
          </c:yVal>
          <c:smooth val="1"/>
          <c:extLst>
            <c:ext xmlns:c16="http://schemas.microsoft.com/office/drawing/2014/chart" uri="{C3380CC4-5D6E-409C-BE32-E72D297353CC}">
              <c16:uniqueId val="{00000004-4010-4CF4-9B47-44A7343786DF}"/>
            </c:ext>
          </c:extLst>
        </c:ser>
        <c:ser>
          <c:idx val="5"/>
          <c:order val="5"/>
          <c:tx>
            <c:v>Yellow Limit</c:v>
          </c:tx>
          <c:spPr>
            <a:ln w="25400">
              <a:solidFill>
                <a:srgbClr val="FFCC99"/>
              </a:solidFill>
              <a:prstDash val="solid"/>
            </a:ln>
            <a:effectLst>
              <a:outerShdw blurRad="50800" dist="38100" dir="16200000" rotWithShape="0">
                <a:srgbClr val="FFCC99">
                  <a:alpha val="40000"/>
                </a:srgbClr>
              </a:outerShdw>
            </a:effectLst>
          </c:spPr>
          <c:marker>
            <c:symbol val="none"/>
          </c:marker>
          <c:xVal>
            <c:numRef>
              <c:f>Result1!$C$41:$C$45</c:f>
              <c:numCache>
                <c:formatCode>General</c:formatCode>
                <c:ptCount val="5"/>
                <c:pt idx="0">
                  <c:v>0.02</c:v>
                </c:pt>
                <c:pt idx="1">
                  <c:v>0.08</c:v>
                </c:pt>
                <c:pt idx="2">
                  <c:v>0.33</c:v>
                </c:pt>
                <c:pt idx="3">
                  <c:v>1</c:v>
                </c:pt>
                <c:pt idx="4">
                  <c:v>2</c:v>
                </c:pt>
              </c:numCache>
            </c:numRef>
          </c:xVal>
          <c:yVal>
            <c:numRef>
              <c:f>Result1!$E$175:$E$179</c:f>
              <c:numCache>
                <c:formatCode>0.00</c:formatCode>
                <c:ptCount val="5"/>
                <c:pt idx="0">
                  <c:v>-10</c:v>
                </c:pt>
                <c:pt idx="1">
                  <c:v>-6.75</c:v>
                </c:pt>
                <c:pt idx="2">
                  <c:v>-1.45</c:v>
                </c:pt>
                <c:pt idx="3">
                  <c:v>-1</c:v>
                </c:pt>
                <c:pt idx="4">
                  <c:v>-1</c:v>
                </c:pt>
              </c:numCache>
            </c:numRef>
          </c:yVal>
          <c:smooth val="1"/>
          <c:extLst>
            <c:ext xmlns:c16="http://schemas.microsoft.com/office/drawing/2014/chart" uri="{C3380CC4-5D6E-409C-BE32-E72D297353CC}">
              <c16:uniqueId val="{00000005-4010-4CF4-9B47-44A7343786DF}"/>
            </c:ext>
          </c:extLst>
        </c:ser>
        <c:ser>
          <c:idx val="6"/>
          <c:order val="6"/>
          <c:tx>
            <c:v>Upper Limit</c:v>
          </c:tx>
          <c:spPr>
            <a:ln w="25400">
              <a:solidFill>
                <a:srgbClr val="FF7C80"/>
              </a:solidFill>
              <a:prstDash val="solid"/>
            </a:ln>
            <a:effectLst>
              <a:outerShdw blurRad="50800" dist="38100" dir="5400000" algn="t" rotWithShape="0">
                <a:srgbClr val="FF7C80">
                  <a:alpha val="40000"/>
                </a:srgbClr>
              </a:outerShdw>
            </a:effectLst>
          </c:spPr>
          <c:marker>
            <c:symbol val="none"/>
          </c:marker>
          <c:xVal>
            <c:numRef>
              <c:f>Result1!$C$41:$C$45</c:f>
              <c:numCache>
                <c:formatCode>General</c:formatCode>
                <c:ptCount val="5"/>
                <c:pt idx="0">
                  <c:v>0.02</c:v>
                </c:pt>
                <c:pt idx="1">
                  <c:v>0.08</c:v>
                </c:pt>
                <c:pt idx="2">
                  <c:v>0.33</c:v>
                </c:pt>
                <c:pt idx="3">
                  <c:v>1</c:v>
                </c:pt>
                <c:pt idx="4">
                  <c:v>2</c:v>
                </c:pt>
              </c:numCache>
            </c:numRef>
          </c:xVal>
          <c:yVal>
            <c:numRef>
              <c:f>Result1!$G$175:$G$179</c:f>
              <c:numCache>
                <c:formatCode>0.00</c:formatCode>
                <c:ptCount val="5"/>
                <c:pt idx="0">
                  <c:v>1.3</c:v>
                </c:pt>
                <c:pt idx="1">
                  <c:v>1.3</c:v>
                </c:pt>
                <c:pt idx="2">
                  <c:v>1.3</c:v>
                </c:pt>
                <c:pt idx="3">
                  <c:v>1.2</c:v>
                </c:pt>
                <c:pt idx="4">
                  <c:v>1.2</c:v>
                </c:pt>
              </c:numCache>
            </c:numRef>
          </c:yVal>
          <c:smooth val="1"/>
          <c:extLst>
            <c:ext xmlns:c16="http://schemas.microsoft.com/office/drawing/2014/chart" uri="{C3380CC4-5D6E-409C-BE32-E72D297353CC}">
              <c16:uniqueId val="{00000006-4010-4CF4-9B47-44A7343786DF}"/>
            </c:ext>
          </c:extLst>
        </c:ser>
        <c:dLbls>
          <c:showLegendKey val="0"/>
          <c:showVal val="0"/>
          <c:showCatName val="0"/>
          <c:showSerName val="0"/>
          <c:showPercent val="0"/>
          <c:showBubbleSize val="0"/>
        </c:dLbls>
        <c:axId val="139760768"/>
        <c:axId val="139762688"/>
      </c:scatterChart>
      <c:valAx>
        <c:axId val="139760768"/>
        <c:scaling>
          <c:orientation val="minMax"/>
          <c:max val="2"/>
        </c:scaling>
        <c:delete val="0"/>
        <c:axPos val="b"/>
        <c:majorGridlines>
          <c:spPr>
            <a:ln w="3175">
              <a:solidFill>
                <a:schemeClr val="accent4">
                  <a:lumMod val="60000"/>
                  <a:lumOff val="40000"/>
                </a:schemeClr>
              </a:solidFill>
              <a:prstDash val="solid"/>
            </a:ln>
          </c:spPr>
        </c:majorGridlines>
        <c:title>
          <c:tx>
            <c:rich>
              <a:bodyPr/>
              <a:lstStyle/>
              <a:p>
                <a:pPr>
                  <a:defRPr sz="1075" b="1" i="0" u="none" strike="noStrike" baseline="0">
                    <a:solidFill>
                      <a:srgbClr val="000000"/>
                    </a:solidFill>
                    <a:latin typeface="Arial"/>
                    <a:ea typeface="Arial"/>
                    <a:cs typeface="Arial"/>
                  </a:defRPr>
                </a:pPr>
                <a:r>
                  <a:rPr lang="en-US" sz="1100"/>
                  <a:t>Frequency MHz</a:t>
                </a:r>
              </a:p>
            </c:rich>
          </c:tx>
          <c:layout>
            <c:manualLayout>
              <c:xMode val="edge"/>
              <c:yMode val="edge"/>
              <c:x val="0.70127844456336164"/>
              <c:y val="0.92978140918606922"/>
            </c:manualLayout>
          </c:layout>
          <c:overlay val="0"/>
          <c:spPr>
            <a:noFill/>
            <a:ln w="25400">
              <a:noFill/>
            </a:ln>
          </c:spPr>
        </c:title>
        <c:numFmt formatCode="General" sourceLinked="1"/>
        <c:majorTickMark val="out"/>
        <c:minorTickMark val="none"/>
        <c:tickLblPos val="nextTo"/>
        <c:spPr>
          <a:ln w="25400">
            <a:solidFill>
              <a:schemeClr val="tx2"/>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9762688"/>
        <c:crossesAt val="-5"/>
        <c:crossBetween val="midCat"/>
        <c:majorUnit val="0.2"/>
      </c:valAx>
      <c:valAx>
        <c:axId val="139762688"/>
        <c:scaling>
          <c:orientation val="minMax"/>
          <c:max val="2"/>
          <c:min val="-5"/>
        </c:scaling>
        <c:delete val="0"/>
        <c:axPos val="l"/>
        <c:majorGridlines>
          <c:spPr>
            <a:ln w="3175">
              <a:solidFill>
                <a:schemeClr val="accent4">
                  <a:lumMod val="60000"/>
                  <a:lumOff val="40000"/>
                </a:schemeClr>
              </a:solidFill>
              <a:prstDash val="solid"/>
            </a:ln>
          </c:spPr>
        </c:majorGridlines>
        <c:title>
          <c:tx>
            <c:rich>
              <a:bodyPr/>
              <a:lstStyle/>
              <a:p>
                <a:pPr algn="ctr" rtl="0">
                  <a:defRPr lang="en-US" sz="1125" b="1" i="0" u="none" strike="noStrike" kern="1200" baseline="0">
                    <a:solidFill>
                      <a:srgbClr val="000000"/>
                    </a:solidFill>
                    <a:latin typeface="Arial"/>
                    <a:ea typeface="Arial"/>
                    <a:cs typeface="Arial"/>
                  </a:defRPr>
                </a:pPr>
                <a:r>
                  <a:rPr lang="en-US" sz="1125" b="1" i="0" u="none" strike="noStrike" kern="1200" baseline="0">
                    <a:solidFill>
                      <a:srgbClr val="000000"/>
                    </a:solidFill>
                    <a:latin typeface="Arial"/>
                    <a:ea typeface="Arial"/>
                    <a:cs typeface="Arial"/>
                  </a:rPr>
                  <a:t>dB</a:t>
                </a:r>
              </a:p>
            </c:rich>
          </c:tx>
          <c:layout>
            <c:manualLayout>
              <c:xMode val="edge"/>
              <c:yMode val="edge"/>
              <c:x val="2.6674820987182424E-3"/>
              <c:y val="0.45394811116855815"/>
            </c:manualLayout>
          </c:layout>
          <c:overlay val="0"/>
          <c:spPr>
            <a:noFill/>
            <a:ln w="25400">
              <a:noFill/>
            </a:ln>
          </c:spPr>
        </c:title>
        <c:numFmt formatCode="General" sourceLinked="1"/>
        <c:majorTickMark val="out"/>
        <c:minorTickMark val="none"/>
        <c:tickLblPos val="nextTo"/>
        <c:spPr>
          <a:ln w="25400">
            <a:solidFill>
              <a:schemeClr val="tx2"/>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9760768"/>
        <c:crosses val="autoZero"/>
        <c:crossBetween val="midCat"/>
      </c:valAx>
      <c:spPr>
        <a:solidFill>
          <a:schemeClr val="bg1"/>
        </a:solidFill>
        <a:ln w="12700">
          <a:solidFill>
            <a:srgbClr val="808080"/>
          </a:solidFill>
          <a:prstDash val="solid"/>
        </a:ln>
      </c:spPr>
    </c:plotArea>
    <c:plotVisOnly val="1"/>
    <c:dispBlanksAs val="gap"/>
    <c:showDLblsOverMax val="0"/>
  </c:chart>
  <c:spPr>
    <a:solidFill>
      <a:schemeClr val="bg2"/>
    </a:solidFill>
    <a:ln w="3175" cap="rnd">
      <a:solidFill>
        <a:schemeClr val="accent4"/>
      </a:solidFill>
      <a:prstDash val="solid"/>
      <a:bevel/>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a:pPr>
            <a:r>
              <a:rPr lang="en-US"/>
              <a:t>100BaseT Wide Band PSD</a:t>
            </a:r>
          </a:p>
        </c:rich>
      </c:tx>
      <c:layout>
        <c:manualLayout>
          <c:xMode val="edge"/>
          <c:yMode val="edge"/>
          <c:x val="0.27246407317897142"/>
          <c:y val="7.848965856998546E-4"/>
        </c:manualLayout>
      </c:layout>
      <c:overlay val="0"/>
      <c:spPr>
        <a:noFill/>
        <a:ln w="25400">
          <a:noFill/>
        </a:ln>
      </c:spPr>
    </c:title>
    <c:autoTitleDeleted val="0"/>
    <c:plotArea>
      <c:layout>
        <c:manualLayout>
          <c:layoutTarget val="inner"/>
          <c:xMode val="edge"/>
          <c:yMode val="edge"/>
          <c:x val="0.10025087193293765"/>
          <c:y val="0.11688311688311688"/>
          <c:w val="0.87468885761488102"/>
          <c:h val="0.77597402597402598"/>
        </c:manualLayout>
      </c:layout>
      <c:scatterChart>
        <c:scatterStyle val="smoothMarker"/>
        <c:varyColors val="0"/>
        <c:ser>
          <c:idx val="0"/>
          <c:order val="0"/>
          <c:tx>
            <c:v>Pair 2</c:v>
          </c:tx>
          <c:spPr>
            <a:ln w="25400">
              <a:solidFill>
                <a:srgbClr val="FF6600"/>
              </a:solidFill>
              <a:prstDash val="solid"/>
            </a:ln>
          </c:spPr>
          <c:marker>
            <c:symbol val="none"/>
          </c:marker>
          <c:xVal>
            <c:numRef>
              <c:f>Result1!$C$57:$C$62</c:f>
              <c:numCache>
                <c:formatCode>General</c:formatCode>
                <c:ptCount val="6"/>
                <c:pt idx="0">
                  <c:v>4</c:v>
                </c:pt>
                <c:pt idx="1">
                  <c:v>16</c:v>
                </c:pt>
                <c:pt idx="2">
                  <c:v>31</c:v>
                </c:pt>
                <c:pt idx="3">
                  <c:v>55</c:v>
                </c:pt>
                <c:pt idx="4">
                  <c:v>76</c:v>
                </c:pt>
                <c:pt idx="5">
                  <c:v>100</c:v>
                </c:pt>
              </c:numCache>
            </c:numRef>
          </c:xVal>
          <c:yVal>
            <c:numRef>
              <c:f>Result1!$Z$57:$Z$62</c:f>
              <c:numCache>
                <c:formatCode>General</c:formatCode>
                <c:ptCount val="6"/>
                <c:pt idx="0">
                  <c:v>-0.1</c:v>
                </c:pt>
                <c:pt idx="1">
                  <c:v>0</c:v>
                </c:pt>
                <c:pt idx="2">
                  <c:v>0.1</c:v>
                </c:pt>
                <c:pt idx="3">
                  <c:v>0.2</c:v>
                </c:pt>
                <c:pt idx="4">
                  <c:v>-0.1</c:v>
                </c:pt>
                <c:pt idx="5">
                  <c:v>-0.6</c:v>
                </c:pt>
              </c:numCache>
            </c:numRef>
          </c:yVal>
          <c:smooth val="1"/>
          <c:extLst>
            <c:ext xmlns:c16="http://schemas.microsoft.com/office/drawing/2014/chart" uri="{C3380CC4-5D6E-409C-BE32-E72D297353CC}">
              <c16:uniqueId val="{00000000-9695-4060-AFAB-4B430C5BD57B}"/>
            </c:ext>
          </c:extLst>
        </c:ser>
        <c:ser>
          <c:idx val="1"/>
          <c:order val="1"/>
          <c:tx>
            <c:v>Pair 3</c:v>
          </c:tx>
          <c:spPr>
            <a:ln w="25400">
              <a:solidFill>
                <a:srgbClr val="008000"/>
              </a:solidFill>
              <a:prstDash val="solid"/>
            </a:ln>
          </c:spPr>
          <c:marker>
            <c:symbol val="none"/>
          </c:marker>
          <c:xVal>
            <c:numRef>
              <c:f>Result1!$C$57:$C$62</c:f>
              <c:numCache>
                <c:formatCode>General</c:formatCode>
                <c:ptCount val="6"/>
                <c:pt idx="0">
                  <c:v>4</c:v>
                </c:pt>
                <c:pt idx="1">
                  <c:v>16</c:v>
                </c:pt>
                <c:pt idx="2">
                  <c:v>31</c:v>
                </c:pt>
                <c:pt idx="3">
                  <c:v>55</c:v>
                </c:pt>
                <c:pt idx="4">
                  <c:v>76</c:v>
                </c:pt>
                <c:pt idx="5">
                  <c:v>100</c:v>
                </c:pt>
              </c:numCache>
            </c:numRef>
          </c:xVal>
          <c:yVal>
            <c:numRef>
              <c:f>Result1!$AA$57:$AA$62</c:f>
              <c:numCache>
                <c:formatCode>General</c:formatCode>
                <c:ptCount val="6"/>
                <c:pt idx="0">
                  <c:v>0</c:v>
                </c:pt>
                <c:pt idx="1">
                  <c:v>0.1</c:v>
                </c:pt>
                <c:pt idx="2">
                  <c:v>0.2</c:v>
                </c:pt>
                <c:pt idx="3">
                  <c:v>0.4</c:v>
                </c:pt>
                <c:pt idx="4">
                  <c:v>0.1</c:v>
                </c:pt>
                <c:pt idx="5">
                  <c:v>-0.4</c:v>
                </c:pt>
              </c:numCache>
            </c:numRef>
          </c:yVal>
          <c:smooth val="1"/>
          <c:extLst>
            <c:ext xmlns:c16="http://schemas.microsoft.com/office/drawing/2014/chart" uri="{C3380CC4-5D6E-409C-BE32-E72D297353CC}">
              <c16:uniqueId val="{00000001-9695-4060-AFAB-4B430C5BD57B}"/>
            </c:ext>
          </c:extLst>
        </c:ser>
        <c:ser>
          <c:idx val="2"/>
          <c:order val="2"/>
          <c:tx>
            <c:v>Red Limit</c:v>
          </c:tx>
          <c:spPr>
            <a:ln w="25400">
              <a:solidFill>
                <a:srgbClr val="FF7C80"/>
              </a:solidFill>
              <a:prstDash val="solid"/>
            </a:ln>
            <a:effectLst>
              <a:outerShdw blurRad="50800" dist="38100" dir="16200000" rotWithShape="0">
                <a:srgbClr val="FF7C80">
                  <a:alpha val="40000"/>
                </a:srgbClr>
              </a:outerShdw>
            </a:effectLst>
          </c:spPr>
          <c:marker>
            <c:symbol val="none"/>
          </c:marker>
          <c:xVal>
            <c:numRef>
              <c:f>Result1!$C$57:$C$62</c:f>
              <c:numCache>
                <c:formatCode>General</c:formatCode>
                <c:ptCount val="6"/>
                <c:pt idx="0">
                  <c:v>4</c:v>
                </c:pt>
                <c:pt idx="1">
                  <c:v>16</c:v>
                </c:pt>
                <c:pt idx="2">
                  <c:v>31</c:v>
                </c:pt>
                <c:pt idx="3">
                  <c:v>55</c:v>
                </c:pt>
                <c:pt idx="4">
                  <c:v>76</c:v>
                </c:pt>
                <c:pt idx="5">
                  <c:v>100</c:v>
                </c:pt>
              </c:numCache>
            </c:numRef>
          </c:xVal>
          <c:yVal>
            <c:numRef>
              <c:f>Result1!$D$181:$D$186</c:f>
              <c:numCache>
                <c:formatCode>General</c:formatCode>
                <c:ptCount val="6"/>
                <c:pt idx="0" formatCode="0.00">
                  <c:v>-1</c:v>
                </c:pt>
                <c:pt idx="1">
                  <c:v>-1.3</c:v>
                </c:pt>
                <c:pt idx="2">
                  <c:v>-1.75</c:v>
                </c:pt>
                <c:pt idx="3">
                  <c:v>-2.4</c:v>
                </c:pt>
                <c:pt idx="4">
                  <c:v>-2.95</c:v>
                </c:pt>
                <c:pt idx="5">
                  <c:v>-3.45</c:v>
                </c:pt>
              </c:numCache>
            </c:numRef>
          </c:yVal>
          <c:smooth val="1"/>
          <c:extLst>
            <c:ext xmlns:c16="http://schemas.microsoft.com/office/drawing/2014/chart" uri="{C3380CC4-5D6E-409C-BE32-E72D297353CC}">
              <c16:uniqueId val="{00000002-9695-4060-AFAB-4B430C5BD57B}"/>
            </c:ext>
          </c:extLst>
        </c:ser>
        <c:ser>
          <c:idx val="3"/>
          <c:order val="3"/>
          <c:tx>
            <c:v>Yellow Limit</c:v>
          </c:tx>
          <c:spPr>
            <a:ln w="25400">
              <a:solidFill>
                <a:srgbClr val="FFCC99"/>
              </a:solidFill>
              <a:prstDash val="solid"/>
            </a:ln>
            <a:effectLst>
              <a:outerShdw blurRad="50800" dist="38100" dir="16200000" rotWithShape="0">
                <a:srgbClr val="FFCC99">
                  <a:alpha val="40000"/>
                </a:srgbClr>
              </a:outerShdw>
            </a:effectLst>
          </c:spPr>
          <c:marker>
            <c:symbol val="none"/>
          </c:marker>
          <c:xVal>
            <c:numRef>
              <c:f>Result1!$C$57:$C$62</c:f>
              <c:numCache>
                <c:formatCode>General</c:formatCode>
                <c:ptCount val="6"/>
                <c:pt idx="0">
                  <c:v>4</c:v>
                </c:pt>
                <c:pt idx="1">
                  <c:v>16</c:v>
                </c:pt>
                <c:pt idx="2">
                  <c:v>31</c:v>
                </c:pt>
                <c:pt idx="3">
                  <c:v>55</c:v>
                </c:pt>
                <c:pt idx="4">
                  <c:v>76</c:v>
                </c:pt>
                <c:pt idx="5">
                  <c:v>100</c:v>
                </c:pt>
              </c:numCache>
            </c:numRef>
          </c:xVal>
          <c:yVal>
            <c:numRef>
              <c:f>Result1!$E$181:$E$186</c:f>
              <c:numCache>
                <c:formatCode>General</c:formatCode>
                <c:ptCount val="6"/>
                <c:pt idx="0">
                  <c:v>-0.75</c:v>
                </c:pt>
                <c:pt idx="1">
                  <c:v>-1.05</c:v>
                </c:pt>
                <c:pt idx="2">
                  <c:v>-1.5</c:v>
                </c:pt>
                <c:pt idx="3">
                  <c:v>-2.15</c:v>
                </c:pt>
                <c:pt idx="4">
                  <c:v>-2.7</c:v>
                </c:pt>
                <c:pt idx="5">
                  <c:v>-3.05</c:v>
                </c:pt>
              </c:numCache>
            </c:numRef>
          </c:yVal>
          <c:smooth val="1"/>
          <c:extLst>
            <c:ext xmlns:c16="http://schemas.microsoft.com/office/drawing/2014/chart" uri="{C3380CC4-5D6E-409C-BE32-E72D297353CC}">
              <c16:uniqueId val="{00000003-9695-4060-AFAB-4B430C5BD57B}"/>
            </c:ext>
          </c:extLst>
        </c:ser>
        <c:ser>
          <c:idx val="4"/>
          <c:order val="4"/>
          <c:tx>
            <c:v>Upper Limit</c:v>
          </c:tx>
          <c:spPr>
            <a:ln w="25400">
              <a:solidFill>
                <a:srgbClr val="FF7C80"/>
              </a:solidFill>
              <a:prstDash val="solid"/>
            </a:ln>
            <a:effectLst>
              <a:outerShdw blurRad="50800" dist="38100" dir="5400000" algn="t" rotWithShape="0">
                <a:srgbClr val="FF7C80">
                  <a:alpha val="40000"/>
                </a:srgbClr>
              </a:outerShdw>
            </a:effectLst>
          </c:spPr>
          <c:marker>
            <c:symbol val="none"/>
          </c:marker>
          <c:xVal>
            <c:numRef>
              <c:f>Result1!$C$57:$C$62</c:f>
              <c:numCache>
                <c:formatCode>General</c:formatCode>
                <c:ptCount val="6"/>
                <c:pt idx="0">
                  <c:v>4</c:v>
                </c:pt>
                <c:pt idx="1">
                  <c:v>16</c:v>
                </c:pt>
                <c:pt idx="2">
                  <c:v>31</c:v>
                </c:pt>
                <c:pt idx="3">
                  <c:v>55</c:v>
                </c:pt>
                <c:pt idx="4">
                  <c:v>76</c:v>
                </c:pt>
                <c:pt idx="5">
                  <c:v>100</c:v>
                </c:pt>
              </c:numCache>
            </c:numRef>
          </c:xVal>
          <c:yVal>
            <c:numRef>
              <c:f>Result1!$G$181:$G$186</c:f>
              <c:numCache>
                <c:formatCode>0.00</c:formatCode>
                <c:ptCount val="6"/>
                <c:pt idx="0">
                  <c:v>1</c:v>
                </c:pt>
                <c:pt idx="1">
                  <c:v>1</c:v>
                </c:pt>
                <c:pt idx="2">
                  <c:v>1</c:v>
                </c:pt>
                <c:pt idx="3">
                  <c:v>1</c:v>
                </c:pt>
                <c:pt idx="4">
                  <c:v>1.1000000000000001</c:v>
                </c:pt>
                <c:pt idx="5">
                  <c:v>1.5</c:v>
                </c:pt>
              </c:numCache>
            </c:numRef>
          </c:yVal>
          <c:smooth val="1"/>
          <c:extLst>
            <c:ext xmlns:c16="http://schemas.microsoft.com/office/drawing/2014/chart" uri="{C3380CC4-5D6E-409C-BE32-E72D297353CC}">
              <c16:uniqueId val="{00000004-9695-4060-AFAB-4B430C5BD57B}"/>
            </c:ext>
          </c:extLst>
        </c:ser>
        <c:dLbls>
          <c:showLegendKey val="0"/>
          <c:showVal val="0"/>
          <c:showCatName val="0"/>
          <c:showSerName val="0"/>
          <c:showPercent val="0"/>
          <c:showBubbleSize val="0"/>
        </c:dLbls>
        <c:axId val="139798784"/>
        <c:axId val="139809152"/>
      </c:scatterChart>
      <c:valAx>
        <c:axId val="139798784"/>
        <c:scaling>
          <c:orientation val="minMax"/>
          <c:max val="100"/>
        </c:scaling>
        <c:delete val="0"/>
        <c:axPos val="b"/>
        <c:majorGridlines>
          <c:spPr>
            <a:ln w="3175">
              <a:solidFill>
                <a:srgbClr val="808080"/>
              </a:solidFill>
              <a:prstDash val="solid"/>
            </a:ln>
          </c:spPr>
        </c:majorGridlines>
        <c:title>
          <c:tx>
            <c:rich>
              <a:bodyPr/>
              <a:lstStyle/>
              <a:p>
                <a:pPr algn="ctr" rtl="0">
                  <a:defRPr sz="900"/>
                </a:pPr>
                <a:r>
                  <a:rPr lang="en-US" sz="1000"/>
                  <a:t>Frequency MHz</a:t>
                </a:r>
              </a:p>
            </c:rich>
          </c:tx>
          <c:layout>
            <c:manualLayout>
              <c:xMode val="edge"/>
              <c:yMode val="edge"/>
              <c:x val="0.71516514643590345"/>
              <c:y val="0.93706003521711689"/>
            </c:manualLayout>
          </c:layout>
          <c:overlay val="0"/>
          <c:spPr>
            <a:noFill/>
            <a:ln w="25400">
              <a:noFill/>
            </a:ln>
          </c:spPr>
        </c:title>
        <c:numFmt formatCode="General" sourceLinked="1"/>
        <c:majorTickMark val="out"/>
        <c:minorTickMark val="none"/>
        <c:tickLblPos val="nextTo"/>
        <c:spPr>
          <a:ln w="25400">
            <a:solidFill>
              <a:schemeClr val="tx2"/>
            </a:solidFill>
            <a:prstDash val="solid"/>
          </a:ln>
        </c:spPr>
        <c:txPr>
          <a:bodyPr rot="0" vert="horz"/>
          <a:lstStyle/>
          <a:p>
            <a:pPr>
              <a:defRPr/>
            </a:pPr>
            <a:endParaRPr lang="en-US"/>
          </a:p>
        </c:txPr>
        <c:crossAx val="139809152"/>
        <c:crossesAt val="-5"/>
        <c:crossBetween val="midCat"/>
        <c:majorUnit val="10"/>
      </c:valAx>
      <c:valAx>
        <c:axId val="139809152"/>
        <c:scaling>
          <c:orientation val="minMax"/>
          <c:max val="2"/>
          <c:min val="-5"/>
        </c:scaling>
        <c:delete val="0"/>
        <c:axPos val="l"/>
        <c:majorGridlines>
          <c:spPr>
            <a:ln w="3175">
              <a:solidFill>
                <a:srgbClr val="808080"/>
              </a:solidFill>
              <a:prstDash val="solid"/>
            </a:ln>
          </c:spPr>
        </c:majorGridlines>
        <c:title>
          <c:tx>
            <c:rich>
              <a:bodyPr/>
              <a:lstStyle/>
              <a:p>
                <a:pPr algn="ctr" rtl="0">
                  <a:defRPr lang="en-US" sz="1125" b="1" i="0" u="none" strike="noStrike" kern="1200" baseline="0">
                    <a:solidFill>
                      <a:srgbClr val="000000"/>
                    </a:solidFill>
                    <a:latin typeface="Arial"/>
                    <a:ea typeface="Arial"/>
                    <a:cs typeface="Arial"/>
                  </a:defRPr>
                </a:pPr>
                <a:r>
                  <a:rPr lang="en-US" sz="1125" b="1" i="0" u="none" strike="noStrike" kern="1200" baseline="0">
                    <a:solidFill>
                      <a:srgbClr val="000000"/>
                    </a:solidFill>
                    <a:latin typeface="Arial"/>
                    <a:ea typeface="Arial"/>
                    <a:cs typeface="Arial"/>
                  </a:rPr>
                  <a:t>dB</a:t>
                </a:r>
              </a:p>
            </c:rich>
          </c:tx>
          <c:layout>
            <c:manualLayout>
              <c:xMode val="edge"/>
              <c:yMode val="edge"/>
              <c:x val="2.1966684857462129E-3"/>
              <c:y val="0.47087012857570021"/>
            </c:manualLayout>
          </c:layout>
          <c:overlay val="0"/>
          <c:spPr>
            <a:noFill/>
            <a:ln w="25400">
              <a:noFill/>
            </a:ln>
          </c:spPr>
        </c:title>
        <c:numFmt formatCode="General" sourceLinked="1"/>
        <c:majorTickMark val="out"/>
        <c:minorTickMark val="none"/>
        <c:tickLblPos val="nextTo"/>
        <c:spPr>
          <a:ln w="25400">
            <a:solidFill>
              <a:schemeClr val="tx2"/>
            </a:solidFill>
            <a:prstDash val="solid"/>
          </a:ln>
        </c:spPr>
        <c:txPr>
          <a:bodyPr rot="0" vert="horz"/>
          <a:lstStyle/>
          <a:p>
            <a:pPr>
              <a:defRPr/>
            </a:pPr>
            <a:endParaRPr lang="en-US"/>
          </a:p>
        </c:txPr>
        <c:crossAx val="139798784"/>
        <c:crosses val="autoZero"/>
        <c:crossBetween val="midCat"/>
      </c:valAx>
      <c:spPr>
        <a:solidFill>
          <a:schemeClr val="bg1"/>
        </a:solidFill>
        <a:ln w="12700">
          <a:solidFill>
            <a:srgbClr val="808080"/>
          </a:solidFill>
          <a:prstDash val="solid"/>
        </a:ln>
      </c:spPr>
    </c:plotArea>
    <c:plotVisOnly val="1"/>
    <c:dispBlanksAs val="gap"/>
    <c:showDLblsOverMax val="0"/>
  </c:chart>
  <c:spPr>
    <a:solidFill>
      <a:schemeClr val="bg2"/>
    </a:solidFill>
    <a:ln w="3175" cap="rnd">
      <a:solidFill>
        <a:schemeClr val="accent4"/>
      </a:solidFill>
      <a:prstDash val="solid"/>
      <a:beve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a:pPr>
            <a:r>
              <a:rPr lang="en-US"/>
              <a:t>1000BaseT Wide Band PSD</a:t>
            </a:r>
          </a:p>
        </c:rich>
      </c:tx>
      <c:layout>
        <c:manualLayout>
          <c:xMode val="edge"/>
          <c:yMode val="edge"/>
          <c:x val="0.26261065667762401"/>
          <c:y val="1.7377944405941835E-3"/>
        </c:manualLayout>
      </c:layout>
      <c:overlay val="0"/>
      <c:spPr>
        <a:noFill/>
        <a:ln w="25400">
          <a:noFill/>
        </a:ln>
      </c:spPr>
    </c:title>
    <c:autoTitleDeleted val="0"/>
    <c:plotArea>
      <c:layout>
        <c:manualLayout>
          <c:layoutTarget val="inner"/>
          <c:xMode val="edge"/>
          <c:yMode val="edge"/>
          <c:x val="7.6732673267326731E-2"/>
          <c:y val="0.11688311688311688"/>
          <c:w val="0.90099009900990101"/>
          <c:h val="0.77272727272727271"/>
        </c:manualLayout>
      </c:layout>
      <c:scatterChart>
        <c:scatterStyle val="smoothMarker"/>
        <c:varyColors val="0"/>
        <c:ser>
          <c:idx val="0"/>
          <c:order val="0"/>
          <c:tx>
            <c:v>Pair 2</c:v>
          </c:tx>
          <c:spPr>
            <a:ln w="25400">
              <a:solidFill>
                <a:srgbClr val="FF6600"/>
              </a:solidFill>
              <a:prstDash val="solid"/>
            </a:ln>
          </c:spPr>
          <c:marker>
            <c:symbol val="none"/>
          </c:marker>
          <c:xVal>
            <c:numRef>
              <c:f>Result1!$C$63:$C$68</c:f>
              <c:numCache>
                <c:formatCode>General</c:formatCode>
                <c:ptCount val="6"/>
                <c:pt idx="0">
                  <c:v>4</c:v>
                </c:pt>
                <c:pt idx="1">
                  <c:v>16</c:v>
                </c:pt>
                <c:pt idx="2">
                  <c:v>31</c:v>
                </c:pt>
                <c:pt idx="3">
                  <c:v>55</c:v>
                </c:pt>
                <c:pt idx="4">
                  <c:v>76</c:v>
                </c:pt>
                <c:pt idx="5">
                  <c:v>88</c:v>
                </c:pt>
              </c:numCache>
            </c:numRef>
          </c:xVal>
          <c:yVal>
            <c:numRef>
              <c:f>Result1!$Z$63:$Z$68</c:f>
              <c:numCache>
                <c:formatCode>General</c:formatCode>
                <c:ptCount val="6"/>
                <c:pt idx="0">
                  <c:v>-2.7</c:v>
                </c:pt>
                <c:pt idx="1">
                  <c:v>-2.6</c:v>
                </c:pt>
                <c:pt idx="2">
                  <c:v>-2.6</c:v>
                </c:pt>
                <c:pt idx="3">
                  <c:v>-2.7</c:v>
                </c:pt>
                <c:pt idx="4">
                  <c:v>-2.6</c:v>
                </c:pt>
                <c:pt idx="5">
                  <c:v>-2.7</c:v>
                </c:pt>
              </c:numCache>
            </c:numRef>
          </c:yVal>
          <c:smooth val="1"/>
          <c:extLst>
            <c:ext xmlns:c16="http://schemas.microsoft.com/office/drawing/2014/chart" uri="{C3380CC4-5D6E-409C-BE32-E72D297353CC}">
              <c16:uniqueId val="{00000000-B5DF-4F4A-90EF-E6CBF2BF0C73}"/>
            </c:ext>
          </c:extLst>
        </c:ser>
        <c:ser>
          <c:idx val="1"/>
          <c:order val="1"/>
          <c:tx>
            <c:v>Pair 3</c:v>
          </c:tx>
          <c:spPr>
            <a:ln w="25400">
              <a:solidFill>
                <a:srgbClr val="008000"/>
              </a:solidFill>
              <a:prstDash val="solid"/>
            </a:ln>
          </c:spPr>
          <c:marker>
            <c:symbol val="none"/>
          </c:marker>
          <c:xVal>
            <c:numRef>
              <c:f>Result1!$C$63:$C$68</c:f>
              <c:numCache>
                <c:formatCode>General</c:formatCode>
                <c:ptCount val="6"/>
                <c:pt idx="0">
                  <c:v>4</c:v>
                </c:pt>
                <c:pt idx="1">
                  <c:v>16</c:v>
                </c:pt>
                <c:pt idx="2">
                  <c:v>31</c:v>
                </c:pt>
                <c:pt idx="3">
                  <c:v>55</c:v>
                </c:pt>
                <c:pt idx="4">
                  <c:v>76</c:v>
                </c:pt>
                <c:pt idx="5">
                  <c:v>88</c:v>
                </c:pt>
              </c:numCache>
            </c:numRef>
          </c:xVal>
          <c:yVal>
            <c:numRef>
              <c:f>Result1!$AA$63:$AA$68</c:f>
              <c:numCache>
                <c:formatCode>General</c:formatCode>
                <c:ptCount val="6"/>
                <c:pt idx="0">
                  <c:v>-2.4</c:v>
                </c:pt>
                <c:pt idx="1">
                  <c:v>-2.2999999999999998</c:v>
                </c:pt>
                <c:pt idx="2">
                  <c:v>-2.5</c:v>
                </c:pt>
                <c:pt idx="3">
                  <c:v>-2.6</c:v>
                </c:pt>
                <c:pt idx="4">
                  <c:v>-2.6</c:v>
                </c:pt>
                <c:pt idx="5">
                  <c:v>-2.7</c:v>
                </c:pt>
              </c:numCache>
            </c:numRef>
          </c:yVal>
          <c:smooth val="1"/>
          <c:extLst>
            <c:ext xmlns:c16="http://schemas.microsoft.com/office/drawing/2014/chart" uri="{C3380CC4-5D6E-409C-BE32-E72D297353CC}">
              <c16:uniqueId val="{00000001-B5DF-4F4A-90EF-E6CBF2BF0C73}"/>
            </c:ext>
          </c:extLst>
        </c:ser>
        <c:ser>
          <c:idx val="2"/>
          <c:order val="2"/>
          <c:tx>
            <c:v>Pair 1</c:v>
          </c:tx>
          <c:spPr>
            <a:ln w="25400">
              <a:solidFill>
                <a:srgbClr val="0000FF"/>
              </a:solidFill>
              <a:prstDash val="solid"/>
            </a:ln>
          </c:spPr>
          <c:marker>
            <c:symbol val="none"/>
          </c:marker>
          <c:xVal>
            <c:numRef>
              <c:f>Result1!$C$63:$C$68</c:f>
              <c:numCache>
                <c:formatCode>General</c:formatCode>
                <c:ptCount val="6"/>
                <c:pt idx="0">
                  <c:v>4</c:v>
                </c:pt>
                <c:pt idx="1">
                  <c:v>16</c:v>
                </c:pt>
                <c:pt idx="2">
                  <c:v>31</c:v>
                </c:pt>
                <c:pt idx="3">
                  <c:v>55</c:v>
                </c:pt>
                <c:pt idx="4">
                  <c:v>76</c:v>
                </c:pt>
                <c:pt idx="5">
                  <c:v>88</c:v>
                </c:pt>
              </c:numCache>
            </c:numRef>
          </c:xVal>
          <c:yVal>
            <c:numRef>
              <c:f>Result1!$Y$63:$Y$68</c:f>
              <c:numCache>
                <c:formatCode>General</c:formatCode>
                <c:ptCount val="6"/>
                <c:pt idx="0">
                  <c:v>-2.6</c:v>
                </c:pt>
                <c:pt idx="1">
                  <c:v>-2.4</c:v>
                </c:pt>
                <c:pt idx="2">
                  <c:v>-2.5</c:v>
                </c:pt>
                <c:pt idx="3">
                  <c:v>-2.6</c:v>
                </c:pt>
                <c:pt idx="4">
                  <c:v>-2.4</c:v>
                </c:pt>
                <c:pt idx="5">
                  <c:v>-2.6</c:v>
                </c:pt>
              </c:numCache>
            </c:numRef>
          </c:yVal>
          <c:smooth val="1"/>
          <c:extLst>
            <c:ext xmlns:c16="http://schemas.microsoft.com/office/drawing/2014/chart" uri="{C3380CC4-5D6E-409C-BE32-E72D297353CC}">
              <c16:uniqueId val="{00000002-B5DF-4F4A-90EF-E6CBF2BF0C73}"/>
            </c:ext>
          </c:extLst>
        </c:ser>
        <c:ser>
          <c:idx val="3"/>
          <c:order val="3"/>
          <c:tx>
            <c:v>Pair 4</c:v>
          </c:tx>
          <c:spPr>
            <a:ln w="25400">
              <a:solidFill>
                <a:srgbClr val="993300"/>
              </a:solidFill>
              <a:prstDash val="solid"/>
            </a:ln>
          </c:spPr>
          <c:marker>
            <c:symbol val="none"/>
          </c:marker>
          <c:xVal>
            <c:numRef>
              <c:f>Result1!$C$63:$C$68</c:f>
              <c:numCache>
                <c:formatCode>General</c:formatCode>
                <c:ptCount val="6"/>
                <c:pt idx="0">
                  <c:v>4</c:v>
                </c:pt>
                <c:pt idx="1">
                  <c:v>16</c:v>
                </c:pt>
                <c:pt idx="2">
                  <c:v>31</c:v>
                </c:pt>
                <c:pt idx="3">
                  <c:v>55</c:v>
                </c:pt>
                <c:pt idx="4">
                  <c:v>76</c:v>
                </c:pt>
                <c:pt idx="5">
                  <c:v>88</c:v>
                </c:pt>
              </c:numCache>
            </c:numRef>
          </c:xVal>
          <c:yVal>
            <c:numRef>
              <c:f>Result1!$AB$63:$AB$68</c:f>
              <c:numCache>
                <c:formatCode>General</c:formatCode>
                <c:ptCount val="6"/>
                <c:pt idx="0">
                  <c:v>-2.2999999999999998</c:v>
                </c:pt>
                <c:pt idx="1">
                  <c:v>-2.2000000000000002</c:v>
                </c:pt>
                <c:pt idx="2">
                  <c:v>-2.2000000000000002</c:v>
                </c:pt>
                <c:pt idx="3">
                  <c:v>-2.2999999999999998</c:v>
                </c:pt>
                <c:pt idx="4">
                  <c:v>-2.6</c:v>
                </c:pt>
                <c:pt idx="5">
                  <c:v>-2.5</c:v>
                </c:pt>
              </c:numCache>
            </c:numRef>
          </c:yVal>
          <c:smooth val="1"/>
          <c:extLst>
            <c:ext xmlns:c16="http://schemas.microsoft.com/office/drawing/2014/chart" uri="{C3380CC4-5D6E-409C-BE32-E72D297353CC}">
              <c16:uniqueId val="{00000003-B5DF-4F4A-90EF-E6CBF2BF0C73}"/>
            </c:ext>
          </c:extLst>
        </c:ser>
        <c:ser>
          <c:idx val="4"/>
          <c:order val="4"/>
          <c:tx>
            <c:v>Red Limit</c:v>
          </c:tx>
          <c:spPr>
            <a:ln w="25400">
              <a:solidFill>
                <a:srgbClr val="FF7C80"/>
              </a:solidFill>
              <a:prstDash val="solid"/>
            </a:ln>
            <a:effectLst>
              <a:outerShdw blurRad="50800" dist="38100" dir="16200000" rotWithShape="0">
                <a:srgbClr val="FF7C80">
                  <a:alpha val="40000"/>
                </a:srgbClr>
              </a:outerShdw>
            </a:effectLst>
          </c:spPr>
          <c:marker>
            <c:symbol val="none"/>
          </c:marker>
          <c:xVal>
            <c:numRef>
              <c:f>Result1!$C$63:$C$68</c:f>
              <c:numCache>
                <c:formatCode>General</c:formatCode>
                <c:ptCount val="6"/>
                <c:pt idx="0">
                  <c:v>4</c:v>
                </c:pt>
                <c:pt idx="1">
                  <c:v>16</c:v>
                </c:pt>
                <c:pt idx="2">
                  <c:v>31</c:v>
                </c:pt>
                <c:pt idx="3">
                  <c:v>55</c:v>
                </c:pt>
                <c:pt idx="4">
                  <c:v>76</c:v>
                </c:pt>
                <c:pt idx="5">
                  <c:v>88</c:v>
                </c:pt>
              </c:numCache>
            </c:numRef>
          </c:xVal>
          <c:yVal>
            <c:numRef>
              <c:f>Result1!$D$188:$D$193</c:f>
              <c:numCache>
                <c:formatCode>0.00</c:formatCode>
                <c:ptCount val="6"/>
                <c:pt idx="0">
                  <c:v>-1.55</c:v>
                </c:pt>
                <c:pt idx="1">
                  <c:v>-1.85</c:v>
                </c:pt>
                <c:pt idx="2">
                  <c:v>-2.2999999999999998</c:v>
                </c:pt>
                <c:pt idx="3">
                  <c:v>-2.95</c:v>
                </c:pt>
                <c:pt idx="4">
                  <c:v>-3.6</c:v>
                </c:pt>
                <c:pt idx="5">
                  <c:v>-3.9</c:v>
                </c:pt>
              </c:numCache>
            </c:numRef>
          </c:yVal>
          <c:smooth val="1"/>
          <c:extLst>
            <c:ext xmlns:c16="http://schemas.microsoft.com/office/drawing/2014/chart" uri="{C3380CC4-5D6E-409C-BE32-E72D297353CC}">
              <c16:uniqueId val="{00000004-B5DF-4F4A-90EF-E6CBF2BF0C73}"/>
            </c:ext>
          </c:extLst>
        </c:ser>
        <c:ser>
          <c:idx val="5"/>
          <c:order val="5"/>
          <c:tx>
            <c:v>Yellow Limit</c:v>
          </c:tx>
          <c:spPr>
            <a:ln w="25400">
              <a:solidFill>
                <a:srgbClr val="FFCC99"/>
              </a:solidFill>
              <a:prstDash val="solid"/>
            </a:ln>
            <a:effectLst>
              <a:outerShdw blurRad="50800" dist="38100" dir="16200000" rotWithShape="0">
                <a:srgbClr val="FFCC99">
                  <a:alpha val="40000"/>
                </a:srgbClr>
              </a:outerShdw>
            </a:effectLst>
          </c:spPr>
          <c:marker>
            <c:symbol val="none"/>
          </c:marker>
          <c:xVal>
            <c:numRef>
              <c:f>Result1!$C$63:$C$68</c:f>
              <c:numCache>
                <c:formatCode>General</c:formatCode>
                <c:ptCount val="6"/>
                <c:pt idx="0">
                  <c:v>4</c:v>
                </c:pt>
                <c:pt idx="1">
                  <c:v>16</c:v>
                </c:pt>
                <c:pt idx="2">
                  <c:v>31</c:v>
                </c:pt>
                <c:pt idx="3">
                  <c:v>55</c:v>
                </c:pt>
                <c:pt idx="4">
                  <c:v>76</c:v>
                </c:pt>
                <c:pt idx="5">
                  <c:v>88</c:v>
                </c:pt>
              </c:numCache>
            </c:numRef>
          </c:xVal>
          <c:yVal>
            <c:numRef>
              <c:f>Result1!$E$188:$E$193</c:f>
              <c:numCache>
                <c:formatCode>0.00</c:formatCode>
                <c:ptCount val="6"/>
                <c:pt idx="0">
                  <c:v>-1.3</c:v>
                </c:pt>
                <c:pt idx="1">
                  <c:v>-1.6</c:v>
                </c:pt>
                <c:pt idx="2">
                  <c:v>-2.0499999999999998</c:v>
                </c:pt>
                <c:pt idx="3">
                  <c:v>-2.7</c:v>
                </c:pt>
                <c:pt idx="4">
                  <c:v>-3.25</c:v>
                </c:pt>
                <c:pt idx="5">
                  <c:v>-3.4</c:v>
                </c:pt>
              </c:numCache>
            </c:numRef>
          </c:yVal>
          <c:smooth val="1"/>
          <c:extLst>
            <c:ext xmlns:c16="http://schemas.microsoft.com/office/drawing/2014/chart" uri="{C3380CC4-5D6E-409C-BE32-E72D297353CC}">
              <c16:uniqueId val="{00000005-B5DF-4F4A-90EF-E6CBF2BF0C73}"/>
            </c:ext>
          </c:extLst>
        </c:ser>
        <c:ser>
          <c:idx val="6"/>
          <c:order val="6"/>
          <c:tx>
            <c:v>Upper Limit</c:v>
          </c:tx>
          <c:spPr>
            <a:ln w="25400">
              <a:solidFill>
                <a:srgbClr val="FF7C80"/>
              </a:solidFill>
              <a:prstDash val="solid"/>
            </a:ln>
            <a:effectLst>
              <a:outerShdw blurRad="50800" dist="38100" dir="5400000" algn="t" rotWithShape="0">
                <a:srgbClr val="FF7C80">
                  <a:alpha val="40000"/>
                </a:srgbClr>
              </a:outerShdw>
            </a:effectLst>
          </c:spPr>
          <c:marker>
            <c:symbol val="none"/>
          </c:marker>
          <c:xVal>
            <c:numRef>
              <c:f>Result1!$C$63:$C$68</c:f>
              <c:numCache>
                <c:formatCode>General</c:formatCode>
                <c:ptCount val="6"/>
                <c:pt idx="0">
                  <c:v>4</c:v>
                </c:pt>
                <c:pt idx="1">
                  <c:v>16</c:v>
                </c:pt>
                <c:pt idx="2">
                  <c:v>31</c:v>
                </c:pt>
                <c:pt idx="3">
                  <c:v>55</c:v>
                </c:pt>
                <c:pt idx="4">
                  <c:v>76</c:v>
                </c:pt>
                <c:pt idx="5">
                  <c:v>88</c:v>
                </c:pt>
              </c:numCache>
            </c:numRef>
          </c:xVal>
          <c:yVal>
            <c:numRef>
              <c:f>Result1!$G$188:$G$193</c:f>
              <c:numCache>
                <c:formatCode>0.00</c:formatCode>
                <c:ptCount val="6"/>
                <c:pt idx="0">
                  <c:v>1.4</c:v>
                </c:pt>
                <c:pt idx="1">
                  <c:v>1.4</c:v>
                </c:pt>
                <c:pt idx="2">
                  <c:v>1.4</c:v>
                </c:pt>
                <c:pt idx="3">
                  <c:v>1.4</c:v>
                </c:pt>
                <c:pt idx="4">
                  <c:v>1.55</c:v>
                </c:pt>
                <c:pt idx="5">
                  <c:v>1.85</c:v>
                </c:pt>
              </c:numCache>
            </c:numRef>
          </c:yVal>
          <c:smooth val="1"/>
          <c:extLst>
            <c:ext xmlns:c16="http://schemas.microsoft.com/office/drawing/2014/chart" uri="{C3380CC4-5D6E-409C-BE32-E72D297353CC}">
              <c16:uniqueId val="{00000006-B5DF-4F4A-90EF-E6CBF2BF0C73}"/>
            </c:ext>
          </c:extLst>
        </c:ser>
        <c:dLbls>
          <c:showLegendKey val="0"/>
          <c:showVal val="0"/>
          <c:showCatName val="0"/>
          <c:showSerName val="0"/>
          <c:showPercent val="0"/>
          <c:showBubbleSize val="0"/>
        </c:dLbls>
        <c:axId val="139840128"/>
        <c:axId val="148054784"/>
      </c:scatterChart>
      <c:valAx>
        <c:axId val="139840128"/>
        <c:scaling>
          <c:orientation val="minMax"/>
          <c:max val="90"/>
          <c:min val="0"/>
        </c:scaling>
        <c:delete val="0"/>
        <c:axPos val="b"/>
        <c:majorGridlines>
          <c:spPr>
            <a:ln w="3175">
              <a:solidFill>
                <a:srgbClr val="808080"/>
              </a:solidFill>
              <a:prstDash val="solid"/>
            </a:ln>
          </c:spPr>
        </c:majorGridlines>
        <c:title>
          <c:tx>
            <c:rich>
              <a:bodyPr/>
              <a:lstStyle/>
              <a:p>
                <a:pPr algn="ctr" rtl="0">
                  <a:defRPr/>
                </a:pPr>
                <a:r>
                  <a:rPr lang="en-US" sz="1000"/>
                  <a:t>Frequency MHz</a:t>
                </a:r>
              </a:p>
            </c:rich>
          </c:tx>
          <c:layout>
            <c:manualLayout>
              <c:xMode val="edge"/>
              <c:yMode val="edge"/>
              <c:x val="0.72991753396756009"/>
              <c:y val="0.93633509418917571"/>
            </c:manualLayout>
          </c:layout>
          <c:overlay val="0"/>
          <c:spPr>
            <a:noFill/>
            <a:ln w="25400">
              <a:noFill/>
            </a:ln>
          </c:spPr>
        </c:title>
        <c:numFmt formatCode="General" sourceLinked="1"/>
        <c:majorTickMark val="out"/>
        <c:minorTickMark val="none"/>
        <c:tickLblPos val="nextTo"/>
        <c:spPr>
          <a:ln w="25400">
            <a:solidFill>
              <a:schemeClr val="tx2"/>
            </a:solidFill>
            <a:prstDash val="solid"/>
          </a:ln>
        </c:spPr>
        <c:txPr>
          <a:bodyPr rot="0" vert="horz"/>
          <a:lstStyle/>
          <a:p>
            <a:pPr>
              <a:defRPr/>
            </a:pPr>
            <a:endParaRPr lang="en-US"/>
          </a:p>
        </c:txPr>
        <c:crossAx val="148054784"/>
        <c:crossesAt val="-5"/>
        <c:crossBetween val="midCat"/>
        <c:majorUnit val="10"/>
      </c:valAx>
      <c:valAx>
        <c:axId val="148054784"/>
        <c:scaling>
          <c:orientation val="minMax"/>
          <c:max val="2"/>
          <c:min val="-5"/>
        </c:scaling>
        <c:delete val="0"/>
        <c:axPos val="l"/>
        <c:majorGridlines>
          <c:spPr>
            <a:ln w="3175">
              <a:solidFill>
                <a:srgbClr val="808080"/>
              </a:solidFill>
              <a:prstDash val="solid"/>
            </a:ln>
          </c:spPr>
        </c:majorGridlines>
        <c:title>
          <c:tx>
            <c:rich>
              <a:bodyPr/>
              <a:lstStyle/>
              <a:p>
                <a:pPr algn="ctr" rtl="0">
                  <a:defRPr/>
                </a:pPr>
                <a:r>
                  <a:rPr lang="en-US"/>
                  <a:t>dB</a:t>
                </a:r>
              </a:p>
            </c:rich>
          </c:tx>
          <c:layout>
            <c:manualLayout>
              <c:xMode val="edge"/>
              <c:yMode val="edge"/>
              <c:x val="9.6336430614983441E-4"/>
              <c:y val="0.47087012857570021"/>
            </c:manualLayout>
          </c:layout>
          <c:overlay val="0"/>
          <c:spPr>
            <a:noFill/>
            <a:ln w="25400">
              <a:noFill/>
            </a:ln>
          </c:spPr>
        </c:title>
        <c:numFmt formatCode="General" sourceLinked="1"/>
        <c:majorTickMark val="out"/>
        <c:minorTickMark val="none"/>
        <c:tickLblPos val="nextTo"/>
        <c:spPr>
          <a:ln w="25400">
            <a:solidFill>
              <a:schemeClr val="tx2"/>
            </a:solidFill>
            <a:prstDash val="solid"/>
          </a:ln>
        </c:spPr>
        <c:txPr>
          <a:bodyPr rot="0" vert="horz"/>
          <a:lstStyle/>
          <a:p>
            <a:pPr>
              <a:defRPr/>
            </a:pPr>
            <a:endParaRPr lang="en-US"/>
          </a:p>
        </c:txPr>
        <c:crossAx val="139840128"/>
        <c:crossesAt val="0"/>
        <c:crossBetween val="midCat"/>
      </c:valAx>
      <c:spPr>
        <a:solidFill>
          <a:schemeClr val="bg1"/>
        </a:solidFill>
        <a:ln w="12700">
          <a:solidFill>
            <a:srgbClr val="808080"/>
          </a:solidFill>
          <a:prstDash val="solid"/>
        </a:ln>
      </c:spPr>
    </c:plotArea>
    <c:plotVisOnly val="1"/>
    <c:dispBlanksAs val="gap"/>
    <c:showDLblsOverMax val="0"/>
  </c:chart>
  <c:spPr>
    <a:solidFill>
      <a:schemeClr val="bg2"/>
    </a:solidFill>
    <a:ln w="3175" cap="rnd">
      <a:solidFill>
        <a:schemeClr val="accent4"/>
      </a:solidFill>
      <a:prstDash val="solid"/>
      <a:beve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en-US" sz="1050" b="1">
                <a:solidFill>
                  <a:schemeClr val="tx2"/>
                </a:solidFill>
              </a:rPr>
              <a:t>Residual Distortion &amp; Noise</a:t>
            </a:r>
          </a:p>
        </c:rich>
      </c:tx>
      <c:layout>
        <c:manualLayout>
          <c:xMode val="edge"/>
          <c:yMode val="edge"/>
          <c:x val="0.29003145793216528"/>
          <c:y val="1.1072453152658221E-3"/>
        </c:manualLayout>
      </c:layout>
      <c:overlay val="0"/>
      <c:spPr>
        <a:noFill/>
        <a:ln w="25400">
          <a:noFill/>
        </a:ln>
      </c:spPr>
    </c:title>
    <c:autoTitleDeleted val="0"/>
    <c:plotArea>
      <c:layout>
        <c:manualLayout>
          <c:layoutTarget val="inner"/>
          <c:xMode val="edge"/>
          <c:yMode val="edge"/>
          <c:x val="0.11358052078636378"/>
          <c:y val="0.16071521993129145"/>
          <c:w val="0.85679218941017898"/>
          <c:h val="0.68452778859624142"/>
        </c:manualLayout>
      </c:layout>
      <c:barChart>
        <c:barDir val="col"/>
        <c:grouping val="stacked"/>
        <c:varyColors val="0"/>
        <c:ser>
          <c:idx val="0"/>
          <c:order val="0"/>
          <c:tx>
            <c:v>100BaseTR</c:v>
          </c:tx>
          <c:spPr>
            <a:gradFill rotWithShape="0">
              <a:gsLst>
                <a:gs pos="0">
                  <a:srgbClr val="FFCC99"/>
                </a:gs>
                <a:gs pos="100000">
                  <a:srgbClr val="FF7C80"/>
                </a:gs>
              </a:gsLst>
              <a:lin ang="5400000" scaled="1"/>
            </a:gradFill>
            <a:ln w="25400">
              <a:noFill/>
            </a:ln>
          </c:spPr>
          <c:invertIfNegative val="0"/>
          <c:cat>
            <c:strRef>
              <c:f>Result1!$D$142:$I$142</c:f>
              <c:strCache>
                <c:ptCount val="6"/>
                <c:pt idx="0">
                  <c:v>100  Pair 2</c:v>
                </c:pt>
                <c:pt idx="1">
                  <c:v>100  Pair 3</c:v>
                </c:pt>
                <c:pt idx="2">
                  <c:v>1000 Pair 1</c:v>
                </c:pt>
                <c:pt idx="3">
                  <c:v>1000 Pair 2</c:v>
                </c:pt>
                <c:pt idx="4">
                  <c:v>1000 Pair 3</c:v>
                </c:pt>
                <c:pt idx="5">
                  <c:v>1000 Pair 4</c:v>
                </c:pt>
              </c:strCache>
            </c:strRef>
          </c:cat>
          <c:val>
            <c:numRef>
              <c:f>Result1!$D$143:$I$143</c:f>
              <c:numCache>
                <c:formatCode>General</c:formatCode>
                <c:ptCount val="6"/>
                <c:pt idx="0">
                  <c:v>27</c:v>
                </c:pt>
                <c:pt idx="1">
                  <c:v>27</c:v>
                </c:pt>
                <c:pt idx="2">
                  <c:v>16</c:v>
                </c:pt>
                <c:pt idx="3">
                  <c:v>16</c:v>
                </c:pt>
                <c:pt idx="4">
                  <c:v>16</c:v>
                </c:pt>
                <c:pt idx="5">
                  <c:v>16</c:v>
                </c:pt>
              </c:numCache>
            </c:numRef>
          </c:val>
          <c:extLst>
            <c:ext xmlns:c16="http://schemas.microsoft.com/office/drawing/2014/chart" uri="{C3380CC4-5D6E-409C-BE32-E72D297353CC}">
              <c16:uniqueId val="{00000000-CEE1-4D21-82E0-FB7A9995D1A1}"/>
            </c:ext>
          </c:extLst>
        </c:ser>
        <c:ser>
          <c:idx val="1"/>
          <c:order val="1"/>
          <c:tx>
            <c:v>100BaseTY</c:v>
          </c:tx>
          <c:spPr>
            <a:gradFill rotWithShape="0">
              <a:gsLst>
                <a:gs pos="0">
                  <a:schemeClr val="tx2">
                    <a:lumMod val="10000"/>
                    <a:lumOff val="90000"/>
                  </a:schemeClr>
                </a:gs>
                <a:gs pos="100000">
                  <a:srgbClr val="FFCC99"/>
                </a:gs>
              </a:gsLst>
              <a:lin ang="5400000" scaled="1"/>
            </a:gradFill>
            <a:ln w="25400">
              <a:noFill/>
            </a:ln>
          </c:spPr>
          <c:invertIfNegative val="0"/>
          <c:cat>
            <c:strRef>
              <c:f>Result1!$D$142:$I$142</c:f>
              <c:strCache>
                <c:ptCount val="6"/>
                <c:pt idx="0">
                  <c:v>100  Pair 2</c:v>
                </c:pt>
                <c:pt idx="1">
                  <c:v>100  Pair 3</c:v>
                </c:pt>
                <c:pt idx="2">
                  <c:v>1000 Pair 1</c:v>
                </c:pt>
                <c:pt idx="3">
                  <c:v>1000 Pair 2</c:v>
                </c:pt>
                <c:pt idx="4">
                  <c:v>1000 Pair 3</c:v>
                </c:pt>
                <c:pt idx="5">
                  <c:v>1000 Pair 4</c:v>
                </c:pt>
              </c:strCache>
            </c:strRef>
          </c:cat>
          <c:val>
            <c:numRef>
              <c:f>Result1!$D$144:$I$144</c:f>
              <c:numCache>
                <c:formatCode>General</c:formatCode>
                <c:ptCount val="6"/>
                <c:pt idx="0">
                  <c:v>4</c:v>
                </c:pt>
                <c:pt idx="1">
                  <c:v>4</c:v>
                </c:pt>
              </c:numCache>
            </c:numRef>
          </c:val>
          <c:extLst>
            <c:ext xmlns:c16="http://schemas.microsoft.com/office/drawing/2014/chart" uri="{C3380CC4-5D6E-409C-BE32-E72D297353CC}">
              <c16:uniqueId val="{00000001-CEE1-4D21-82E0-FB7A9995D1A1}"/>
            </c:ext>
          </c:extLst>
        </c:ser>
        <c:ser>
          <c:idx val="2"/>
          <c:order val="2"/>
          <c:tx>
            <c:v>100BaseTG</c:v>
          </c:tx>
          <c:spPr>
            <a:gradFill rotWithShape="0">
              <a:gsLst>
                <a:gs pos="0">
                  <a:schemeClr val="tx2">
                    <a:lumMod val="25000"/>
                    <a:lumOff val="75000"/>
                  </a:schemeClr>
                </a:gs>
                <a:gs pos="100000">
                  <a:schemeClr val="tx2">
                    <a:lumMod val="10000"/>
                    <a:lumOff val="90000"/>
                  </a:schemeClr>
                </a:gs>
              </a:gsLst>
              <a:lin ang="5400000" scaled="1"/>
            </a:gradFill>
            <a:ln w="25400">
              <a:noFill/>
            </a:ln>
          </c:spPr>
          <c:invertIfNegative val="0"/>
          <c:cat>
            <c:strRef>
              <c:f>Result1!$D$142:$I$142</c:f>
              <c:strCache>
                <c:ptCount val="6"/>
                <c:pt idx="0">
                  <c:v>100  Pair 2</c:v>
                </c:pt>
                <c:pt idx="1">
                  <c:v>100  Pair 3</c:v>
                </c:pt>
                <c:pt idx="2">
                  <c:v>1000 Pair 1</c:v>
                </c:pt>
                <c:pt idx="3">
                  <c:v>1000 Pair 2</c:v>
                </c:pt>
                <c:pt idx="4">
                  <c:v>1000 Pair 3</c:v>
                </c:pt>
                <c:pt idx="5">
                  <c:v>1000 Pair 4</c:v>
                </c:pt>
              </c:strCache>
            </c:strRef>
          </c:cat>
          <c:val>
            <c:numRef>
              <c:f>Result1!$D$145:$I$145</c:f>
              <c:numCache>
                <c:formatCode>General</c:formatCode>
                <c:ptCount val="6"/>
                <c:pt idx="0">
                  <c:v>5</c:v>
                </c:pt>
                <c:pt idx="1">
                  <c:v>5</c:v>
                </c:pt>
              </c:numCache>
            </c:numRef>
          </c:val>
          <c:extLst>
            <c:ext xmlns:c16="http://schemas.microsoft.com/office/drawing/2014/chart" uri="{C3380CC4-5D6E-409C-BE32-E72D297353CC}">
              <c16:uniqueId val="{00000002-CEE1-4D21-82E0-FB7A9995D1A1}"/>
            </c:ext>
          </c:extLst>
        </c:ser>
        <c:ser>
          <c:idx val="3"/>
          <c:order val="3"/>
          <c:tx>
            <c:v>1000BaseTR</c:v>
          </c:tx>
          <c:spPr>
            <a:gradFill rotWithShape="0">
              <a:gsLst>
                <a:gs pos="0">
                  <a:srgbClr val="FFCC99"/>
                </a:gs>
                <a:gs pos="100000">
                  <a:srgbClr val="FF7C80"/>
                </a:gs>
              </a:gsLst>
              <a:lin ang="5400000" scaled="1"/>
            </a:gradFill>
            <a:ln w="25400">
              <a:noFill/>
            </a:ln>
          </c:spPr>
          <c:invertIfNegative val="0"/>
          <c:cat>
            <c:strRef>
              <c:f>Result1!$D$142:$I$142</c:f>
              <c:strCache>
                <c:ptCount val="6"/>
                <c:pt idx="0">
                  <c:v>100  Pair 2</c:v>
                </c:pt>
                <c:pt idx="1">
                  <c:v>100  Pair 3</c:v>
                </c:pt>
                <c:pt idx="2">
                  <c:v>1000 Pair 1</c:v>
                </c:pt>
                <c:pt idx="3">
                  <c:v>1000 Pair 2</c:v>
                </c:pt>
                <c:pt idx="4">
                  <c:v>1000 Pair 3</c:v>
                </c:pt>
                <c:pt idx="5">
                  <c:v>1000 Pair 4</c:v>
                </c:pt>
              </c:strCache>
            </c:strRef>
          </c:cat>
          <c:val>
            <c:numRef>
              <c:f>Result1!$D$146:$I$146</c:f>
              <c:numCache>
                <c:formatCode>General</c:formatCode>
                <c:ptCount val="6"/>
                <c:pt idx="2">
                  <c:v>11</c:v>
                </c:pt>
                <c:pt idx="3">
                  <c:v>11</c:v>
                </c:pt>
                <c:pt idx="4">
                  <c:v>11</c:v>
                </c:pt>
                <c:pt idx="5">
                  <c:v>11</c:v>
                </c:pt>
              </c:numCache>
            </c:numRef>
          </c:val>
          <c:extLst>
            <c:ext xmlns:c16="http://schemas.microsoft.com/office/drawing/2014/chart" uri="{C3380CC4-5D6E-409C-BE32-E72D297353CC}">
              <c16:uniqueId val="{00000003-CEE1-4D21-82E0-FB7A9995D1A1}"/>
            </c:ext>
          </c:extLst>
        </c:ser>
        <c:ser>
          <c:idx val="4"/>
          <c:order val="4"/>
          <c:tx>
            <c:v>1000BaseTY</c:v>
          </c:tx>
          <c:spPr>
            <a:gradFill rotWithShape="0">
              <a:gsLst>
                <a:gs pos="0">
                  <a:schemeClr val="tx2">
                    <a:lumMod val="10000"/>
                    <a:lumOff val="90000"/>
                  </a:schemeClr>
                </a:gs>
                <a:gs pos="100000">
                  <a:srgbClr val="FFCC99"/>
                </a:gs>
              </a:gsLst>
              <a:lin ang="5400000" scaled="1"/>
            </a:gradFill>
            <a:ln w="25400">
              <a:noFill/>
            </a:ln>
          </c:spPr>
          <c:invertIfNegative val="0"/>
          <c:cat>
            <c:strRef>
              <c:f>Result1!$D$142:$I$142</c:f>
              <c:strCache>
                <c:ptCount val="6"/>
                <c:pt idx="0">
                  <c:v>100  Pair 2</c:v>
                </c:pt>
                <c:pt idx="1">
                  <c:v>100  Pair 3</c:v>
                </c:pt>
                <c:pt idx="2">
                  <c:v>1000 Pair 1</c:v>
                </c:pt>
                <c:pt idx="3">
                  <c:v>1000 Pair 2</c:v>
                </c:pt>
                <c:pt idx="4">
                  <c:v>1000 Pair 3</c:v>
                </c:pt>
                <c:pt idx="5">
                  <c:v>1000 Pair 4</c:v>
                </c:pt>
              </c:strCache>
            </c:strRef>
          </c:cat>
          <c:val>
            <c:numRef>
              <c:f>Result1!$D$147:$I$147</c:f>
              <c:numCache>
                <c:formatCode>General</c:formatCode>
                <c:ptCount val="6"/>
                <c:pt idx="2">
                  <c:v>4</c:v>
                </c:pt>
                <c:pt idx="3">
                  <c:v>4</c:v>
                </c:pt>
                <c:pt idx="4">
                  <c:v>4</c:v>
                </c:pt>
                <c:pt idx="5">
                  <c:v>4</c:v>
                </c:pt>
              </c:numCache>
            </c:numRef>
          </c:val>
          <c:extLst>
            <c:ext xmlns:c16="http://schemas.microsoft.com/office/drawing/2014/chart" uri="{C3380CC4-5D6E-409C-BE32-E72D297353CC}">
              <c16:uniqueId val="{00000004-CEE1-4D21-82E0-FB7A9995D1A1}"/>
            </c:ext>
          </c:extLst>
        </c:ser>
        <c:ser>
          <c:idx val="5"/>
          <c:order val="5"/>
          <c:tx>
            <c:v>1000BaseTG</c:v>
          </c:tx>
          <c:spPr>
            <a:gradFill rotWithShape="0">
              <a:gsLst>
                <a:gs pos="0">
                  <a:schemeClr val="tx2">
                    <a:lumMod val="25000"/>
                    <a:lumOff val="75000"/>
                  </a:schemeClr>
                </a:gs>
                <a:gs pos="100000">
                  <a:schemeClr val="tx2">
                    <a:lumMod val="10000"/>
                    <a:lumOff val="90000"/>
                  </a:schemeClr>
                </a:gs>
              </a:gsLst>
              <a:lin ang="5400000" scaled="1"/>
            </a:gradFill>
            <a:ln w="25400">
              <a:noFill/>
            </a:ln>
          </c:spPr>
          <c:invertIfNegative val="0"/>
          <c:cat>
            <c:strRef>
              <c:f>Result1!$D$142:$I$142</c:f>
              <c:strCache>
                <c:ptCount val="6"/>
                <c:pt idx="0">
                  <c:v>100  Pair 2</c:v>
                </c:pt>
                <c:pt idx="1">
                  <c:v>100  Pair 3</c:v>
                </c:pt>
                <c:pt idx="2">
                  <c:v>1000 Pair 1</c:v>
                </c:pt>
                <c:pt idx="3">
                  <c:v>1000 Pair 2</c:v>
                </c:pt>
                <c:pt idx="4">
                  <c:v>1000 Pair 3</c:v>
                </c:pt>
                <c:pt idx="5">
                  <c:v>1000 Pair 4</c:v>
                </c:pt>
              </c:strCache>
            </c:strRef>
          </c:cat>
          <c:val>
            <c:numRef>
              <c:f>Result1!$D$148:$I$148</c:f>
              <c:numCache>
                <c:formatCode>General</c:formatCode>
                <c:ptCount val="6"/>
                <c:pt idx="2">
                  <c:v>3.2000000000000028</c:v>
                </c:pt>
                <c:pt idx="3">
                  <c:v>5</c:v>
                </c:pt>
                <c:pt idx="4">
                  <c:v>5</c:v>
                </c:pt>
                <c:pt idx="5">
                  <c:v>5</c:v>
                </c:pt>
              </c:numCache>
            </c:numRef>
          </c:val>
          <c:extLst>
            <c:ext xmlns:c16="http://schemas.microsoft.com/office/drawing/2014/chart" uri="{C3380CC4-5D6E-409C-BE32-E72D297353CC}">
              <c16:uniqueId val="{00000005-CEE1-4D21-82E0-FB7A9995D1A1}"/>
            </c:ext>
          </c:extLst>
        </c:ser>
        <c:dLbls>
          <c:showLegendKey val="0"/>
          <c:showVal val="0"/>
          <c:showCatName val="0"/>
          <c:showSerName val="0"/>
          <c:showPercent val="0"/>
          <c:showBubbleSize val="0"/>
        </c:dLbls>
        <c:gapWidth val="60"/>
        <c:overlap val="100"/>
        <c:axId val="148099840"/>
        <c:axId val="148101376"/>
      </c:barChart>
      <c:catAx>
        <c:axId val="148099840"/>
        <c:scaling>
          <c:orientation val="minMax"/>
        </c:scaling>
        <c:delete val="0"/>
        <c:axPos val="b"/>
        <c:numFmt formatCode="General" sourceLinked="1"/>
        <c:majorTickMark val="none"/>
        <c:minorTickMark val="none"/>
        <c:tickLblPos val="none"/>
        <c:spPr>
          <a:ln w="25400">
            <a:solidFill>
              <a:schemeClr val="tx2"/>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8101376"/>
        <c:crossesAt val="16"/>
        <c:auto val="1"/>
        <c:lblAlgn val="ctr"/>
        <c:lblOffset val="100"/>
        <c:tickLblSkip val="1"/>
        <c:tickMarkSkip val="1"/>
        <c:noMultiLvlLbl val="0"/>
      </c:catAx>
      <c:valAx>
        <c:axId val="148101376"/>
        <c:scaling>
          <c:orientation val="minMax"/>
          <c:max val="36"/>
          <c:min val="16"/>
        </c:scaling>
        <c:delete val="0"/>
        <c:axPos val="l"/>
        <c:majorGridlines>
          <c:spPr>
            <a:ln w="9525">
              <a:solidFill>
                <a:schemeClr val="accent4">
                  <a:lumMod val="20000"/>
                  <a:lumOff val="80000"/>
                </a:schemeClr>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SNR (dB)</a:t>
                </a:r>
              </a:p>
            </c:rich>
          </c:tx>
          <c:layout>
            <c:manualLayout>
              <c:xMode val="edge"/>
              <c:yMode val="edge"/>
              <c:x val="1.8025889967637543E-2"/>
              <c:y val="0.37717910261217352"/>
            </c:manualLayout>
          </c:layout>
          <c:overlay val="0"/>
          <c:spPr>
            <a:noFill/>
            <a:ln w="25400">
              <a:noFill/>
            </a:ln>
          </c:spPr>
        </c:title>
        <c:numFmt formatCode="General" sourceLinked="1"/>
        <c:majorTickMark val="out"/>
        <c:minorTickMark val="none"/>
        <c:tickLblPos val="nextTo"/>
        <c:spPr>
          <a:ln w="25400">
            <a:solidFill>
              <a:schemeClr val="tx2"/>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8099840"/>
        <c:crosses val="autoZero"/>
        <c:crossBetween val="between"/>
        <c:majorUnit val="4"/>
      </c:valAx>
      <c:spPr>
        <a:solidFill>
          <a:schemeClr val="accent4">
            <a:lumMod val="75000"/>
          </a:schemeClr>
        </a:solidFill>
        <a:ln w="12700">
          <a:solidFill>
            <a:srgbClr val="808080"/>
          </a:solidFill>
          <a:prstDash val="solid"/>
        </a:ln>
      </c:spPr>
    </c:plotArea>
    <c:plotVisOnly val="1"/>
    <c:dispBlanksAs val="gap"/>
    <c:showDLblsOverMax val="0"/>
  </c:chart>
  <c:spPr>
    <a:solidFill>
      <a:schemeClr val="bg2"/>
    </a:solidFill>
    <a:ln w="12700" cap="rnd">
      <a:solidFill>
        <a:schemeClr val="accent4"/>
      </a:solidFill>
      <a:prstDash val="solid"/>
      <a:bevel/>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050" b="1" i="0" u="none" strike="noStrike" kern="1200" baseline="0">
                <a:solidFill>
                  <a:schemeClr val="tx2"/>
                </a:solidFill>
                <a:latin typeface="Arial"/>
                <a:ea typeface="Arial"/>
                <a:cs typeface="Arial"/>
              </a:defRPr>
            </a:pPr>
            <a:r>
              <a:rPr lang="en-US" sz="1050" b="1" i="0" u="none" strike="noStrike" kern="1200" baseline="0">
                <a:solidFill>
                  <a:schemeClr val="tx2"/>
                </a:solidFill>
                <a:latin typeface="Arial"/>
                <a:ea typeface="Arial"/>
                <a:cs typeface="Arial"/>
              </a:rPr>
              <a:t>Wideband Return Loss</a:t>
            </a:r>
          </a:p>
        </c:rich>
      </c:tx>
      <c:layout>
        <c:manualLayout>
          <c:xMode val="edge"/>
          <c:yMode val="edge"/>
          <c:x val="0.31623736389386969"/>
          <c:y val="5.602235204470409E-3"/>
        </c:manualLayout>
      </c:layout>
      <c:overlay val="0"/>
      <c:spPr>
        <a:noFill/>
        <a:ln w="25400">
          <a:noFill/>
        </a:ln>
      </c:spPr>
    </c:title>
    <c:autoTitleDeleted val="0"/>
    <c:plotArea>
      <c:layout>
        <c:manualLayout>
          <c:layoutTarget val="inner"/>
          <c:xMode val="edge"/>
          <c:yMode val="edge"/>
          <c:x val="0.15654431629650792"/>
          <c:y val="9.5980695961391943E-2"/>
          <c:w val="0.82121608548987768"/>
          <c:h val="0.77886309372618745"/>
        </c:manualLayout>
      </c:layout>
      <c:barChart>
        <c:barDir val="col"/>
        <c:grouping val="stacked"/>
        <c:varyColors val="0"/>
        <c:ser>
          <c:idx val="3"/>
          <c:order val="0"/>
          <c:tx>
            <c:v>1000BaseTR</c:v>
          </c:tx>
          <c:spPr>
            <a:gradFill rotWithShape="0">
              <a:gsLst>
                <a:gs pos="0">
                  <a:srgbClr val="FF7C80"/>
                </a:gs>
                <a:gs pos="100000">
                  <a:srgbClr val="FFB191"/>
                </a:gs>
              </a:gsLst>
              <a:lin ang="5400000" scaled="1"/>
            </a:gradFill>
            <a:ln w="25400">
              <a:noFill/>
            </a:ln>
          </c:spPr>
          <c:invertIfNegative val="0"/>
          <c:cat>
            <c:strRef>
              <c:f>Result1!$D$151:$G$151</c:f>
              <c:strCache>
                <c:ptCount val="4"/>
                <c:pt idx="0">
                  <c:v>Pair 1</c:v>
                </c:pt>
                <c:pt idx="1">
                  <c:v>Pair 2</c:v>
                </c:pt>
                <c:pt idx="2">
                  <c:v>Pair 3</c:v>
                </c:pt>
                <c:pt idx="3">
                  <c:v>Pair 4</c:v>
                </c:pt>
              </c:strCache>
            </c:strRef>
          </c:cat>
          <c:val>
            <c:numRef>
              <c:f>Result1!$D$152:$G$152</c:f>
              <c:numCache>
                <c:formatCode>General</c:formatCode>
                <c:ptCount val="4"/>
                <c:pt idx="0">
                  <c:v>-19</c:v>
                </c:pt>
                <c:pt idx="1">
                  <c:v>-19</c:v>
                </c:pt>
                <c:pt idx="2">
                  <c:v>-19</c:v>
                </c:pt>
                <c:pt idx="3">
                  <c:v>-19</c:v>
                </c:pt>
              </c:numCache>
            </c:numRef>
          </c:val>
          <c:extLst>
            <c:ext xmlns:c16="http://schemas.microsoft.com/office/drawing/2014/chart" uri="{C3380CC4-5D6E-409C-BE32-E72D297353CC}">
              <c16:uniqueId val="{00000000-7AA5-4E3F-B5E7-D28AF134378B}"/>
            </c:ext>
          </c:extLst>
        </c:ser>
        <c:ser>
          <c:idx val="4"/>
          <c:order val="1"/>
          <c:tx>
            <c:v>1000BaseTY</c:v>
          </c:tx>
          <c:spPr>
            <a:gradFill rotWithShape="0">
              <a:gsLst>
                <a:gs pos="0">
                  <a:srgbClr val="FFAF91"/>
                </a:gs>
                <a:gs pos="100000">
                  <a:srgbClr val="FFCC99"/>
                </a:gs>
              </a:gsLst>
              <a:lin ang="5400000" scaled="1"/>
            </a:gradFill>
            <a:ln w="25400">
              <a:noFill/>
            </a:ln>
          </c:spPr>
          <c:invertIfNegative val="0"/>
          <c:cat>
            <c:strRef>
              <c:f>Result1!$D$151:$G$151</c:f>
              <c:strCache>
                <c:ptCount val="4"/>
                <c:pt idx="0">
                  <c:v>Pair 1</c:v>
                </c:pt>
                <c:pt idx="1">
                  <c:v>Pair 2</c:v>
                </c:pt>
                <c:pt idx="2">
                  <c:v>Pair 3</c:v>
                </c:pt>
                <c:pt idx="3">
                  <c:v>Pair 4</c:v>
                </c:pt>
              </c:strCache>
            </c:strRef>
          </c:cat>
          <c:val>
            <c:numRef>
              <c:f>Result1!$D$153:$G$153</c:f>
              <c:numCache>
                <c:formatCode>General</c:formatCode>
                <c:ptCount val="4"/>
                <c:pt idx="0">
                  <c:v>-1.5</c:v>
                </c:pt>
                <c:pt idx="1">
                  <c:v>-1.5</c:v>
                </c:pt>
                <c:pt idx="2">
                  <c:v>-1.5</c:v>
                </c:pt>
                <c:pt idx="3">
                  <c:v>-1.5</c:v>
                </c:pt>
              </c:numCache>
            </c:numRef>
          </c:val>
          <c:extLst>
            <c:ext xmlns:c16="http://schemas.microsoft.com/office/drawing/2014/chart" uri="{C3380CC4-5D6E-409C-BE32-E72D297353CC}">
              <c16:uniqueId val="{00000001-7AA5-4E3F-B5E7-D28AF134378B}"/>
            </c:ext>
          </c:extLst>
        </c:ser>
        <c:ser>
          <c:idx val="5"/>
          <c:order val="2"/>
          <c:tx>
            <c:v>1000BaseTG</c:v>
          </c:tx>
          <c:spPr>
            <a:gradFill rotWithShape="0">
              <a:gsLst>
                <a:gs pos="0">
                  <a:srgbClr val="FFCC99"/>
                </a:gs>
                <a:gs pos="100000">
                  <a:schemeClr val="tx2">
                    <a:lumMod val="25000"/>
                    <a:lumOff val="75000"/>
                  </a:schemeClr>
                </a:gs>
              </a:gsLst>
              <a:lin ang="5400000" scaled="1"/>
            </a:gradFill>
            <a:ln w="25400">
              <a:noFill/>
            </a:ln>
          </c:spPr>
          <c:invertIfNegative val="0"/>
          <c:cat>
            <c:strRef>
              <c:f>Result1!$D$151:$G$151</c:f>
              <c:strCache>
                <c:ptCount val="4"/>
                <c:pt idx="0">
                  <c:v>Pair 1</c:v>
                </c:pt>
                <c:pt idx="1">
                  <c:v>Pair 2</c:v>
                </c:pt>
                <c:pt idx="2">
                  <c:v>Pair 3</c:v>
                </c:pt>
                <c:pt idx="3">
                  <c:v>Pair 4</c:v>
                </c:pt>
              </c:strCache>
            </c:strRef>
          </c:cat>
          <c:val>
            <c:numRef>
              <c:f>Result1!$D$154:$G$154</c:f>
              <c:numCache>
                <c:formatCode>0.0</c:formatCode>
                <c:ptCount val="4"/>
                <c:pt idx="0">
                  <c:v>-5.5</c:v>
                </c:pt>
                <c:pt idx="1">
                  <c:v>-4.8999999999999986</c:v>
                </c:pt>
                <c:pt idx="2">
                  <c:v>-5.3000000000000007</c:v>
                </c:pt>
                <c:pt idx="3">
                  <c:v>-5</c:v>
                </c:pt>
              </c:numCache>
            </c:numRef>
          </c:val>
          <c:extLst>
            <c:ext xmlns:c16="http://schemas.microsoft.com/office/drawing/2014/chart" uri="{C3380CC4-5D6E-409C-BE32-E72D297353CC}">
              <c16:uniqueId val="{00000002-7AA5-4E3F-B5E7-D28AF134378B}"/>
            </c:ext>
          </c:extLst>
        </c:ser>
        <c:dLbls>
          <c:showLegendKey val="0"/>
          <c:showVal val="0"/>
          <c:showCatName val="0"/>
          <c:showSerName val="0"/>
          <c:showPercent val="0"/>
          <c:showBubbleSize val="0"/>
        </c:dLbls>
        <c:gapWidth val="60"/>
        <c:overlap val="100"/>
        <c:axId val="157198592"/>
        <c:axId val="157204480"/>
      </c:barChart>
      <c:catAx>
        <c:axId val="157198592"/>
        <c:scaling>
          <c:orientation val="minMax"/>
        </c:scaling>
        <c:delete val="0"/>
        <c:axPos val="b"/>
        <c:numFmt formatCode="General" sourceLinked="1"/>
        <c:majorTickMark val="none"/>
        <c:minorTickMark val="none"/>
        <c:tickLblPos val="none"/>
        <c:spPr>
          <a:ln w="25400">
            <a:solidFill>
              <a:schemeClr val="tx2"/>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7204480"/>
        <c:crossesAt val="-26"/>
        <c:auto val="1"/>
        <c:lblAlgn val="ctr"/>
        <c:lblOffset val="100"/>
        <c:tickLblSkip val="1"/>
        <c:tickMarkSkip val="1"/>
        <c:noMultiLvlLbl val="0"/>
      </c:catAx>
      <c:valAx>
        <c:axId val="157204480"/>
        <c:scaling>
          <c:orientation val="minMax"/>
          <c:max val="-6"/>
          <c:min val="-26"/>
        </c:scaling>
        <c:delete val="0"/>
        <c:axPos val="l"/>
        <c:majorGridlines>
          <c:spPr>
            <a:ln w="9525">
              <a:solidFill>
                <a:schemeClr val="accent4">
                  <a:lumMod val="20000"/>
                  <a:lumOff val="80000"/>
                </a:schemeClr>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Return Loss (dB)</a:t>
                </a:r>
              </a:p>
            </c:rich>
          </c:tx>
          <c:layout>
            <c:manualLayout>
              <c:xMode val="edge"/>
              <c:yMode val="edge"/>
              <c:x val="1.2831584637528249E-2"/>
              <c:y val="0.25295200794201245"/>
            </c:manualLayout>
          </c:layout>
          <c:overlay val="0"/>
          <c:spPr>
            <a:noFill/>
            <a:ln w="25400">
              <a:noFill/>
            </a:ln>
          </c:spPr>
        </c:title>
        <c:numFmt formatCode="General" sourceLinked="1"/>
        <c:majorTickMark val="out"/>
        <c:minorTickMark val="none"/>
        <c:tickLblPos val="nextTo"/>
        <c:spPr>
          <a:ln w="25400">
            <a:solidFill>
              <a:schemeClr val="tx2"/>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7198592"/>
        <c:crosses val="autoZero"/>
        <c:crossBetween val="between"/>
        <c:majorUnit val="4"/>
      </c:valAx>
      <c:spPr>
        <a:solidFill>
          <a:schemeClr val="accent4">
            <a:lumMod val="75000"/>
          </a:schemeClr>
        </a:solidFill>
        <a:ln w="12700">
          <a:solidFill>
            <a:srgbClr val="808080"/>
          </a:solidFill>
          <a:prstDash val="solid"/>
        </a:ln>
      </c:spPr>
    </c:plotArea>
    <c:plotVisOnly val="1"/>
    <c:dispBlanksAs val="gap"/>
    <c:showDLblsOverMax val="0"/>
  </c:chart>
  <c:spPr>
    <a:solidFill>
      <a:schemeClr val="bg2"/>
    </a:solidFill>
    <a:ln w="3175" cap="rnd">
      <a:solidFill>
        <a:schemeClr val="accent4"/>
      </a:solidFill>
      <a:prstDash val="solid"/>
      <a:beve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050" b="1" i="0" u="none" strike="noStrike" kern="1200" baseline="0">
                <a:solidFill>
                  <a:schemeClr val="tx2"/>
                </a:solidFill>
                <a:latin typeface="Arial"/>
                <a:ea typeface="Arial"/>
                <a:cs typeface="Arial"/>
              </a:defRPr>
            </a:pPr>
            <a:r>
              <a:rPr lang="en-US" sz="1050" b="1" i="0" u="none" strike="noStrike" kern="1200" baseline="0">
                <a:solidFill>
                  <a:schemeClr val="tx2"/>
                </a:solidFill>
                <a:latin typeface="Arial"/>
                <a:ea typeface="Arial"/>
                <a:cs typeface="Arial"/>
              </a:rPr>
              <a:t>Wideband Crosstalk</a:t>
            </a:r>
          </a:p>
        </c:rich>
      </c:tx>
      <c:layout>
        <c:manualLayout>
          <c:xMode val="edge"/>
          <c:yMode val="edge"/>
          <c:x val="0.3377805909309568"/>
          <c:y val="6.4185960978390133E-3"/>
        </c:manualLayout>
      </c:layout>
      <c:overlay val="0"/>
      <c:spPr>
        <a:noFill/>
        <a:ln w="25400">
          <a:noFill/>
        </a:ln>
      </c:spPr>
    </c:title>
    <c:autoTitleDeleted val="0"/>
    <c:plotArea>
      <c:layout>
        <c:manualLayout>
          <c:layoutTarget val="inner"/>
          <c:xMode val="edge"/>
          <c:yMode val="edge"/>
          <c:x val="0.11910684406361961"/>
          <c:y val="0.10299319430693132"/>
          <c:w val="0.85111765653794846"/>
          <c:h val="0.76947105383340297"/>
        </c:manualLayout>
      </c:layout>
      <c:barChart>
        <c:barDir val="col"/>
        <c:grouping val="stacked"/>
        <c:varyColors val="0"/>
        <c:ser>
          <c:idx val="3"/>
          <c:order val="0"/>
          <c:tx>
            <c:v>1000BaseTR</c:v>
          </c:tx>
          <c:spPr>
            <a:gradFill rotWithShape="0">
              <a:gsLst>
                <a:gs pos="0">
                  <a:srgbClr val="FF7C80"/>
                </a:gs>
                <a:gs pos="100000">
                  <a:srgbClr val="FFAF91"/>
                </a:gs>
              </a:gsLst>
              <a:lin ang="5400000" scaled="1"/>
            </a:gradFill>
            <a:ln w="25400">
              <a:noFill/>
            </a:ln>
          </c:spPr>
          <c:invertIfNegative val="0"/>
          <c:cat>
            <c:strRef>
              <c:f>Result1!$D$157:$I$157</c:f>
              <c:strCache>
                <c:ptCount val="6"/>
                <c:pt idx="0">
                  <c:v>Pairs 1-2</c:v>
                </c:pt>
                <c:pt idx="1">
                  <c:v>Pairs 1-3</c:v>
                </c:pt>
                <c:pt idx="2">
                  <c:v>Pairs 1-4</c:v>
                </c:pt>
                <c:pt idx="3">
                  <c:v>Pairs 2-3</c:v>
                </c:pt>
                <c:pt idx="4">
                  <c:v>Pairs 2-4</c:v>
                </c:pt>
                <c:pt idx="5">
                  <c:v>Pairs 3-4</c:v>
                </c:pt>
              </c:strCache>
            </c:strRef>
          </c:cat>
          <c:val>
            <c:numRef>
              <c:f>Result1!$D$158:$I$158</c:f>
              <c:numCache>
                <c:formatCode>General</c:formatCode>
                <c:ptCount val="6"/>
                <c:pt idx="0">
                  <c:v>-31</c:v>
                </c:pt>
                <c:pt idx="1">
                  <c:v>-31</c:v>
                </c:pt>
                <c:pt idx="2">
                  <c:v>-31</c:v>
                </c:pt>
                <c:pt idx="3">
                  <c:v>-31</c:v>
                </c:pt>
                <c:pt idx="4">
                  <c:v>-31</c:v>
                </c:pt>
                <c:pt idx="5">
                  <c:v>-31</c:v>
                </c:pt>
              </c:numCache>
            </c:numRef>
          </c:val>
          <c:extLst>
            <c:ext xmlns:c16="http://schemas.microsoft.com/office/drawing/2014/chart" uri="{C3380CC4-5D6E-409C-BE32-E72D297353CC}">
              <c16:uniqueId val="{00000000-1ABA-4751-AC23-FEEC8CB5674B}"/>
            </c:ext>
          </c:extLst>
        </c:ser>
        <c:ser>
          <c:idx val="4"/>
          <c:order val="1"/>
          <c:tx>
            <c:v>1000BaseTY</c:v>
          </c:tx>
          <c:spPr>
            <a:gradFill rotWithShape="0">
              <a:gsLst>
                <a:gs pos="0">
                  <a:srgbClr val="FFAF91"/>
                </a:gs>
                <a:gs pos="100000">
                  <a:srgbClr val="FFCC99"/>
                </a:gs>
              </a:gsLst>
              <a:lin ang="5400000" scaled="1"/>
            </a:gradFill>
            <a:ln w="25400">
              <a:noFill/>
            </a:ln>
          </c:spPr>
          <c:invertIfNegative val="0"/>
          <c:cat>
            <c:strRef>
              <c:f>Result1!$D$157:$I$157</c:f>
              <c:strCache>
                <c:ptCount val="6"/>
                <c:pt idx="0">
                  <c:v>Pairs 1-2</c:v>
                </c:pt>
                <c:pt idx="1">
                  <c:v>Pairs 1-3</c:v>
                </c:pt>
                <c:pt idx="2">
                  <c:v>Pairs 1-4</c:v>
                </c:pt>
                <c:pt idx="3">
                  <c:v>Pairs 2-3</c:v>
                </c:pt>
                <c:pt idx="4">
                  <c:v>Pairs 2-4</c:v>
                </c:pt>
                <c:pt idx="5">
                  <c:v>Pairs 3-4</c:v>
                </c:pt>
              </c:strCache>
            </c:strRef>
          </c:cat>
          <c:val>
            <c:numRef>
              <c:f>Result1!$D$159:$I$159</c:f>
              <c:numCache>
                <c:formatCode>General</c:formatCode>
                <c:ptCount val="6"/>
                <c:pt idx="0">
                  <c:v>-3</c:v>
                </c:pt>
                <c:pt idx="1">
                  <c:v>-3</c:v>
                </c:pt>
                <c:pt idx="2">
                  <c:v>-3</c:v>
                </c:pt>
                <c:pt idx="3">
                  <c:v>-3</c:v>
                </c:pt>
                <c:pt idx="4">
                  <c:v>-3</c:v>
                </c:pt>
                <c:pt idx="5">
                  <c:v>-3</c:v>
                </c:pt>
              </c:numCache>
            </c:numRef>
          </c:val>
          <c:extLst>
            <c:ext xmlns:c16="http://schemas.microsoft.com/office/drawing/2014/chart" uri="{C3380CC4-5D6E-409C-BE32-E72D297353CC}">
              <c16:uniqueId val="{00000001-1ABA-4751-AC23-FEEC8CB5674B}"/>
            </c:ext>
          </c:extLst>
        </c:ser>
        <c:ser>
          <c:idx val="5"/>
          <c:order val="2"/>
          <c:tx>
            <c:v>1000BaseTG</c:v>
          </c:tx>
          <c:spPr>
            <a:gradFill rotWithShape="0">
              <a:gsLst>
                <a:gs pos="0">
                  <a:srgbClr val="FFCC99"/>
                </a:gs>
                <a:gs pos="100000">
                  <a:schemeClr val="tx2">
                    <a:lumMod val="25000"/>
                    <a:lumOff val="75000"/>
                  </a:schemeClr>
                </a:gs>
              </a:gsLst>
              <a:lin ang="5400000" scaled="1"/>
            </a:gradFill>
            <a:ln w="25400">
              <a:noFill/>
            </a:ln>
          </c:spPr>
          <c:invertIfNegative val="0"/>
          <c:cat>
            <c:strRef>
              <c:f>Result1!$D$157:$I$157</c:f>
              <c:strCache>
                <c:ptCount val="6"/>
                <c:pt idx="0">
                  <c:v>Pairs 1-2</c:v>
                </c:pt>
                <c:pt idx="1">
                  <c:v>Pairs 1-3</c:v>
                </c:pt>
                <c:pt idx="2">
                  <c:v>Pairs 1-4</c:v>
                </c:pt>
                <c:pt idx="3">
                  <c:v>Pairs 2-3</c:v>
                </c:pt>
                <c:pt idx="4">
                  <c:v>Pairs 2-4</c:v>
                </c:pt>
                <c:pt idx="5">
                  <c:v>Pairs 3-4</c:v>
                </c:pt>
              </c:strCache>
            </c:strRef>
          </c:cat>
          <c:val>
            <c:numRef>
              <c:f>Result1!$D$160:$I$160</c:f>
              <c:numCache>
                <c:formatCode>0.0</c:formatCode>
                <c:ptCount val="6"/>
                <c:pt idx="0">
                  <c:v>-5</c:v>
                </c:pt>
                <c:pt idx="1">
                  <c:v>-5</c:v>
                </c:pt>
                <c:pt idx="2">
                  <c:v>-5</c:v>
                </c:pt>
                <c:pt idx="3">
                  <c:v>-5</c:v>
                </c:pt>
                <c:pt idx="4">
                  <c:v>-5</c:v>
                </c:pt>
                <c:pt idx="5">
                  <c:v>-5</c:v>
                </c:pt>
              </c:numCache>
            </c:numRef>
          </c:val>
          <c:extLst>
            <c:ext xmlns:c16="http://schemas.microsoft.com/office/drawing/2014/chart" uri="{C3380CC4-5D6E-409C-BE32-E72D297353CC}">
              <c16:uniqueId val="{00000002-1ABA-4751-AC23-FEEC8CB5674B}"/>
            </c:ext>
          </c:extLst>
        </c:ser>
        <c:dLbls>
          <c:showLegendKey val="0"/>
          <c:showVal val="0"/>
          <c:showCatName val="0"/>
          <c:showSerName val="0"/>
          <c:showPercent val="0"/>
          <c:showBubbleSize val="0"/>
        </c:dLbls>
        <c:gapWidth val="60"/>
        <c:overlap val="100"/>
        <c:axId val="157234688"/>
        <c:axId val="157236224"/>
      </c:barChart>
      <c:catAx>
        <c:axId val="157234688"/>
        <c:scaling>
          <c:orientation val="minMax"/>
        </c:scaling>
        <c:delete val="0"/>
        <c:axPos val="b"/>
        <c:numFmt formatCode="General" sourceLinked="1"/>
        <c:majorTickMark val="none"/>
        <c:minorTickMark val="none"/>
        <c:tickLblPos val="none"/>
        <c:spPr>
          <a:ln w="25400">
            <a:solidFill>
              <a:schemeClr val="tx2"/>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7236224"/>
        <c:crossesAt val="-39"/>
        <c:auto val="1"/>
        <c:lblAlgn val="ctr"/>
        <c:lblOffset val="100"/>
        <c:tickLblSkip val="1"/>
        <c:tickMarkSkip val="1"/>
        <c:noMultiLvlLbl val="0"/>
      </c:catAx>
      <c:valAx>
        <c:axId val="157236224"/>
        <c:scaling>
          <c:orientation val="minMax"/>
          <c:max val="-14"/>
          <c:min val="-39"/>
        </c:scaling>
        <c:delete val="0"/>
        <c:axPos val="l"/>
        <c:majorGridlines>
          <c:spPr>
            <a:ln w="9525">
              <a:solidFill>
                <a:schemeClr val="accent4">
                  <a:lumMod val="20000"/>
                  <a:lumOff val="80000"/>
                </a:schemeClr>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Crosstalk (dB)</a:t>
                </a:r>
              </a:p>
            </c:rich>
          </c:tx>
          <c:layout>
            <c:manualLayout>
              <c:xMode val="edge"/>
              <c:yMode val="edge"/>
              <c:x val="1.3824979194673837E-2"/>
              <c:y val="0.3035419541629461"/>
            </c:manualLayout>
          </c:layout>
          <c:overlay val="0"/>
          <c:spPr>
            <a:noFill/>
            <a:ln w="25400">
              <a:noFill/>
            </a:ln>
          </c:spPr>
        </c:title>
        <c:numFmt formatCode="General" sourceLinked="1"/>
        <c:majorTickMark val="out"/>
        <c:minorTickMark val="none"/>
        <c:tickLblPos val="nextTo"/>
        <c:spPr>
          <a:ln w="25400">
            <a:solidFill>
              <a:schemeClr val="tx2"/>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7234688"/>
        <c:crosses val="autoZero"/>
        <c:crossBetween val="between"/>
      </c:valAx>
      <c:spPr>
        <a:solidFill>
          <a:schemeClr val="accent4">
            <a:lumMod val="75000"/>
          </a:schemeClr>
        </a:solidFill>
        <a:ln w="12700">
          <a:solidFill>
            <a:srgbClr val="808080"/>
          </a:solidFill>
          <a:prstDash val="solid"/>
        </a:ln>
      </c:spPr>
    </c:plotArea>
    <c:plotVisOnly val="1"/>
    <c:dispBlanksAs val="gap"/>
    <c:showDLblsOverMax val="0"/>
  </c:chart>
  <c:spPr>
    <a:solidFill>
      <a:schemeClr val="bg2"/>
    </a:solidFill>
    <a:ln w="3175" cap="rnd">
      <a:solidFill>
        <a:schemeClr val="accent4"/>
      </a:solidFill>
      <a:prstDash val="solid"/>
      <a:miter lim="800000"/>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n-US" sz="1050">
                <a:solidFill>
                  <a:schemeClr val="tx2"/>
                </a:solidFill>
              </a:rPr>
              <a:t>Transmit Power Levels</a:t>
            </a:r>
          </a:p>
        </c:rich>
      </c:tx>
      <c:layout>
        <c:manualLayout>
          <c:xMode val="edge"/>
          <c:yMode val="edge"/>
          <c:x val="0.30705273909726799"/>
          <c:y val="8.5777940548129178E-3"/>
        </c:manualLayout>
      </c:layout>
      <c:overlay val="0"/>
      <c:spPr>
        <a:noFill/>
        <a:ln w="25400">
          <a:noFill/>
        </a:ln>
      </c:spPr>
    </c:title>
    <c:autoTitleDeleted val="0"/>
    <c:plotArea>
      <c:layout>
        <c:manualLayout>
          <c:layoutTarget val="inner"/>
          <c:xMode val="edge"/>
          <c:yMode val="edge"/>
          <c:x val="0.13347590704945445"/>
          <c:y val="0.1442599035585668"/>
          <c:w val="0.83704003639089464"/>
          <c:h val="0.701896478056522"/>
        </c:manualLayout>
      </c:layout>
      <c:barChart>
        <c:barDir val="col"/>
        <c:grouping val="stacked"/>
        <c:varyColors val="0"/>
        <c:ser>
          <c:idx val="0"/>
          <c:order val="0"/>
          <c:tx>
            <c:v>100_Mid_Low</c:v>
          </c:tx>
          <c:spPr>
            <a:gradFill rotWithShape="0">
              <a:gsLst>
                <a:gs pos="0">
                  <a:schemeClr val="tx2">
                    <a:lumMod val="25000"/>
                    <a:lumOff val="75000"/>
                  </a:schemeClr>
                </a:gs>
                <a:gs pos="100000">
                  <a:srgbClr val="FFCC99"/>
                </a:gs>
              </a:gsLst>
              <a:lin ang="5400000" scaled="1"/>
            </a:gradFill>
            <a:ln w="25400">
              <a:noFill/>
            </a:ln>
          </c:spPr>
          <c:invertIfNegative val="0"/>
          <c:cat>
            <c:strRef>
              <c:f>Result1!$D$127:$I$127</c:f>
              <c:strCache>
                <c:ptCount val="6"/>
                <c:pt idx="0">
                  <c:v>100  Pair 2</c:v>
                </c:pt>
                <c:pt idx="1">
                  <c:v>100  Pair 3</c:v>
                </c:pt>
                <c:pt idx="2">
                  <c:v>1000 Pair 1</c:v>
                </c:pt>
                <c:pt idx="3">
                  <c:v>1000 Pair 2</c:v>
                </c:pt>
                <c:pt idx="4">
                  <c:v>1000 Pair 3</c:v>
                </c:pt>
                <c:pt idx="5">
                  <c:v>1000 Pair 4</c:v>
                </c:pt>
              </c:strCache>
            </c:strRef>
          </c:cat>
          <c:val>
            <c:numRef>
              <c:f>Result1!$D$131:$I$131</c:f>
              <c:numCache>
                <c:formatCode>General</c:formatCode>
                <c:ptCount val="6"/>
                <c:pt idx="0">
                  <c:v>0</c:v>
                </c:pt>
                <c:pt idx="1">
                  <c:v>0</c:v>
                </c:pt>
              </c:numCache>
            </c:numRef>
          </c:val>
          <c:extLst>
            <c:ext xmlns:c16="http://schemas.microsoft.com/office/drawing/2014/chart" uri="{C3380CC4-5D6E-409C-BE32-E72D297353CC}">
              <c16:uniqueId val="{00000000-5917-4B8F-9A38-32438BFF4AEF}"/>
            </c:ext>
          </c:extLst>
        </c:ser>
        <c:ser>
          <c:idx val="1"/>
          <c:order val="1"/>
          <c:tx>
            <c:v>100_Low</c:v>
          </c:tx>
          <c:spPr>
            <a:gradFill rotWithShape="0">
              <a:gsLst>
                <a:gs pos="0">
                  <a:srgbClr val="FFCC99"/>
                </a:gs>
                <a:gs pos="100000">
                  <a:srgbClr val="FF7C80"/>
                </a:gs>
              </a:gsLst>
              <a:lin ang="5400000" scaled="1"/>
            </a:gradFill>
            <a:ln w="25400">
              <a:noFill/>
            </a:ln>
          </c:spPr>
          <c:invertIfNegative val="0"/>
          <c:val>
            <c:numRef>
              <c:f>Result1!$D$132:$I$132</c:f>
              <c:numCache>
                <c:formatCode>General</c:formatCode>
                <c:ptCount val="6"/>
                <c:pt idx="0">
                  <c:v>0</c:v>
                </c:pt>
                <c:pt idx="1">
                  <c:v>0</c:v>
                </c:pt>
              </c:numCache>
            </c:numRef>
          </c:val>
          <c:extLst>
            <c:ext xmlns:c16="http://schemas.microsoft.com/office/drawing/2014/chart" uri="{C3380CC4-5D6E-409C-BE32-E72D297353CC}">
              <c16:uniqueId val="{00000001-5917-4B8F-9A38-32438BFF4AEF}"/>
            </c:ext>
          </c:extLst>
        </c:ser>
        <c:ser>
          <c:idx val="2"/>
          <c:order val="2"/>
          <c:tx>
            <c:v>100_Mid_High</c:v>
          </c:tx>
          <c:spPr>
            <a:gradFill rotWithShape="0">
              <a:gsLst>
                <a:gs pos="0">
                  <a:srgbClr val="FFCC99"/>
                </a:gs>
                <a:gs pos="100000">
                  <a:schemeClr val="tx2">
                    <a:lumMod val="25000"/>
                    <a:lumOff val="75000"/>
                  </a:schemeClr>
                </a:gs>
              </a:gsLst>
              <a:lin ang="5400000" scaled="1"/>
            </a:gradFill>
            <a:ln w="25400">
              <a:noFill/>
            </a:ln>
          </c:spPr>
          <c:invertIfNegative val="0"/>
          <c:val>
            <c:numRef>
              <c:f>Result1!$D$133:$I$133</c:f>
              <c:numCache>
                <c:formatCode>General</c:formatCode>
                <c:ptCount val="6"/>
                <c:pt idx="0">
                  <c:v>0</c:v>
                </c:pt>
                <c:pt idx="1">
                  <c:v>0</c:v>
                </c:pt>
              </c:numCache>
            </c:numRef>
          </c:val>
          <c:extLst>
            <c:ext xmlns:c16="http://schemas.microsoft.com/office/drawing/2014/chart" uri="{C3380CC4-5D6E-409C-BE32-E72D297353CC}">
              <c16:uniqueId val="{00000002-5917-4B8F-9A38-32438BFF4AEF}"/>
            </c:ext>
          </c:extLst>
        </c:ser>
        <c:ser>
          <c:idx val="3"/>
          <c:order val="3"/>
          <c:tx>
            <c:v>100_High</c:v>
          </c:tx>
          <c:spPr>
            <a:gradFill rotWithShape="0">
              <a:gsLst>
                <a:gs pos="0">
                  <a:srgbClr val="FF7C80"/>
                </a:gs>
                <a:gs pos="100000">
                  <a:srgbClr val="FFCC99"/>
                </a:gs>
              </a:gsLst>
              <a:lin ang="5400000" scaled="1"/>
            </a:gradFill>
            <a:ln w="25400">
              <a:noFill/>
            </a:ln>
          </c:spPr>
          <c:invertIfNegative val="0"/>
          <c:val>
            <c:numRef>
              <c:f>Result1!$D$134:$I$134</c:f>
              <c:numCache>
                <c:formatCode>General</c:formatCode>
                <c:ptCount val="6"/>
                <c:pt idx="0">
                  <c:v>0</c:v>
                </c:pt>
                <c:pt idx="1">
                  <c:v>0</c:v>
                </c:pt>
              </c:numCache>
            </c:numRef>
          </c:val>
          <c:extLst>
            <c:ext xmlns:c16="http://schemas.microsoft.com/office/drawing/2014/chart" uri="{C3380CC4-5D6E-409C-BE32-E72D297353CC}">
              <c16:uniqueId val="{00000003-5917-4B8F-9A38-32438BFF4AEF}"/>
            </c:ext>
          </c:extLst>
        </c:ser>
        <c:ser>
          <c:idx val="4"/>
          <c:order val="4"/>
          <c:tx>
            <c:v>1000_Mid_Low</c:v>
          </c:tx>
          <c:spPr>
            <a:gradFill rotWithShape="0">
              <a:gsLst>
                <a:gs pos="0">
                  <a:schemeClr val="tx2">
                    <a:lumMod val="25000"/>
                    <a:lumOff val="75000"/>
                  </a:schemeClr>
                </a:gs>
                <a:gs pos="100000">
                  <a:srgbClr val="FFCC99"/>
                </a:gs>
              </a:gsLst>
              <a:lin ang="5400000" scaled="1"/>
            </a:gradFill>
            <a:ln w="25400">
              <a:noFill/>
            </a:ln>
          </c:spPr>
          <c:invertIfNegative val="0"/>
          <c:val>
            <c:numRef>
              <c:f>Result1!$D$136:$I$136</c:f>
              <c:numCache>
                <c:formatCode>General</c:formatCode>
                <c:ptCount val="6"/>
                <c:pt idx="2">
                  <c:v>-1.4797292138174716</c:v>
                </c:pt>
                <c:pt idx="3">
                  <c:v>-1.4797292138174716</c:v>
                </c:pt>
                <c:pt idx="4">
                  <c:v>-1.4797292138174716</c:v>
                </c:pt>
                <c:pt idx="5">
                  <c:v>-1.4797292138174716</c:v>
                </c:pt>
              </c:numCache>
            </c:numRef>
          </c:val>
          <c:extLst>
            <c:ext xmlns:c16="http://schemas.microsoft.com/office/drawing/2014/chart" uri="{C3380CC4-5D6E-409C-BE32-E72D297353CC}">
              <c16:uniqueId val="{00000004-5917-4B8F-9A38-32438BFF4AEF}"/>
            </c:ext>
          </c:extLst>
        </c:ser>
        <c:ser>
          <c:idx val="5"/>
          <c:order val="5"/>
          <c:tx>
            <c:v>1000_Low</c:v>
          </c:tx>
          <c:spPr>
            <a:gradFill rotWithShape="0">
              <a:gsLst>
                <a:gs pos="0">
                  <a:srgbClr val="FFCC99"/>
                </a:gs>
                <a:gs pos="100000">
                  <a:srgbClr val="FF7C80"/>
                </a:gs>
              </a:gsLst>
              <a:lin ang="5400000" scaled="1"/>
            </a:gradFill>
            <a:ln w="25400">
              <a:noFill/>
            </a:ln>
          </c:spPr>
          <c:invertIfNegative val="0"/>
          <c:val>
            <c:numRef>
              <c:f>Result1!$D$137:$I$137</c:f>
              <c:numCache>
                <c:formatCode>General</c:formatCode>
                <c:ptCount val="6"/>
                <c:pt idx="2">
                  <c:v>-1.1202707861825285</c:v>
                </c:pt>
                <c:pt idx="3">
                  <c:v>-1.3202707861825282</c:v>
                </c:pt>
                <c:pt idx="4">
                  <c:v>-1.1202707861825285</c:v>
                </c:pt>
                <c:pt idx="5">
                  <c:v>-1.0202707861825284</c:v>
                </c:pt>
              </c:numCache>
            </c:numRef>
          </c:val>
          <c:extLst>
            <c:ext xmlns:c16="http://schemas.microsoft.com/office/drawing/2014/chart" uri="{C3380CC4-5D6E-409C-BE32-E72D297353CC}">
              <c16:uniqueId val="{00000005-5917-4B8F-9A38-32438BFF4AEF}"/>
            </c:ext>
          </c:extLst>
        </c:ser>
        <c:ser>
          <c:idx val="6"/>
          <c:order val="6"/>
          <c:tx>
            <c:v>1000_Mid_High</c:v>
          </c:tx>
          <c:spPr>
            <a:gradFill rotWithShape="0">
              <a:gsLst>
                <a:gs pos="0">
                  <a:srgbClr val="FFCC99"/>
                </a:gs>
                <a:gs pos="100000">
                  <a:schemeClr val="tx2">
                    <a:lumMod val="25000"/>
                    <a:lumOff val="75000"/>
                  </a:schemeClr>
                </a:gs>
              </a:gsLst>
              <a:lin ang="5400000" scaled="1"/>
            </a:gradFill>
            <a:ln w="25400">
              <a:noFill/>
            </a:ln>
          </c:spPr>
          <c:invertIfNegative val="0"/>
          <c:val>
            <c:numRef>
              <c:f>Result1!$D$138:$I$138</c:f>
              <c:numCache>
                <c:formatCode>General</c:formatCode>
                <c:ptCount val="6"/>
                <c:pt idx="2">
                  <c:v>0</c:v>
                </c:pt>
                <c:pt idx="3">
                  <c:v>0</c:v>
                </c:pt>
                <c:pt idx="4">
                  <c:v>0</c:v>
                </c:pt>
                <c:pt idx="5">
                  <c:v>0</c:v>
                </c:pt>
              </c:numCache>
            </c:numRef>
          </c:val>
          <c:extLst>
            <c:ext xmlns:c16="http://schemas.microsoft.com/office/drawing/2014/chart" uri="{C3380CC4-5D6E-409C-BE32-E72D297353CC}">
              <c16:uniqueId val="{00000006-5917-4B8F-9A38-32438BFF4AEF}"/>
            </c:ext>
          </c:extLst>
        </c:ser>
        <c:ser>
          <c:idx val="7"/>
          <c:order val="7"/>
          <c:tx>
            <c:v>1000_High</c:v>
          </c:tx>
          <c:spPr>
            <a:gradFill rotWithShape="0">
              <a:gsLst>
                <a:gs pos="0">
                  <a:srgbClr val="FF7C80"/>
                </a:gs>
                <a:gs pos="100000">
                  <a:srgbClr val="FFCC99"/>
                </a:gs>
              </a:gsLst>
              <a:lin ang="5400000" scaled="1"/>
            </a:gradFill>
            <a:ln w="25400">
              <a:noFill/>
            </a:ln>
          </c:spPr>
          <c:invertIfNegative val="0"/>
          <c:val>
            <c:numRef>
              <c:f>Result1!$D$139:$I$139</c:f>
              <c:numCache>
                <c:formatCode>General</c:formatCode>
                <c:ptCount val="6"/>
                <c:pt idx="2">
                  <c:v>0</c:v>
                </c:pt>
                <c:pt idx="3">
                  <c:v>0</c:v>
                </c:pt>
                <c:pt idx="4">
                  <c:v>0</c:v>
                </c:pt>
                <c:pt idx="5">
                  <c:v>0</c:v>
                </c:pt>
              </c:numCache>
            </c:numRef>
          </c:val>
          <c:extLst>
            <c:ext xmlns:c16="http://schemas.microsoft.com/office/drawing/2014/chart" uri="{C3380CC4-5D6E-409C-BE32-E72D297353CC}">
              <c16:uniqueId val="{00000007-5917-4B8F-9A38-32438BFF4AEF}"/>
            </c:ext>
          </c:extLst>
        </c:ser>
        <c:ser>
          <c:idx val="8"/>
          <c:order val="8"/>
          <c:tx>
            <c:v>100_zero</c:v>
          </c:tx>
          <c:spPr>
            <a:solidFill>
              <a:schemeClr val="tx2">
                <a:lumMod val="25000"/>
                <a:lumOff val="75000"/>
              </a:schemeClr>
            </a:solidFill>
            <a:ln w="25400">
              <a:noFill/>
            </a:ln>
          </c:spPr>
          <c:invertIfNegative val="0"/>
          <c:val>
            <c:numRef>
              <c:f>Result1!$D$130:$I$130</c:f>
              <c:numCache>
                <c:formatCode>General</c:formatCode>
                <c:ptCount val="6"/>
                <c:pt idx="0">
                  <c:v>0.1</c:v>
                </c:pt>
                <c:pt idx="1">
                  <c:v>0.2</c:v>
                </c:pt>
              </c:numCache>
            </c:numRef>
          </c:val>
          <c:extLst>
            <c:ext xmlns:c16="http://schemas.microsoft.com/office/drawing/2014/chart" uri="{C3380CC4-5D6E-409C-BE32-E72D297353CC}">
              <c16:uniqueId val="{00000008-5917-4B8F-9A38-32438BFF4AEF}"/>
            </c:ext>
          </c:extLst>
        </c:ser>
        <c:ser>
          <c:idx val="9"/>
          <c:order val="9"/>
          <c:tx>
            <c:v>1000_zero</c:v>
          </c:tx>
          <c:spPr>
            <a:solidFill>
              <a:schemeClr val="tx2">
                <a:lumMod val="25000"/>
                <a:lumOff val="75000"/>
              </a:schemeClr>
            </a:solidFill>
            <a:ln w="25400">
              <a:noFill/>
            </a:ln>
          </c:spPr>
          <c:invertIfNegative val="0"/>
          <c:val>
            <c:numRef>
              <c:f>Result1!$D$135:$I$135</c:f>
              <c:numCache>
                <c:formatCode>General</c:formatCode>
                <c:ptCount val="6"/>
                <c:pt idx="2">
                  <c:v>0</c:v>
                </c:pt>
                <c:pt idx="3">
                  <c:v>0</c:v>
                </c:pt>
                <c:pt idx="4">
                  <c:v>0</c:v>
                </c:pt>
                <c:pt idx="5">
                  <c:v>0</c:v>
                </c:pt>
              </c:numCache>
            </c:numRef>
          </c:val>
          <c:extLst>
            <c:ext xmlns:c16="http://schemas.microsoft.com/office/drawing/2014/chart" uri="{C3380CC4-5D6E-409C-BE32-E72D297353CC}">
              <c16:uniqueId val="{00000009-5917-4B8F-9A38-32438BFF4AEF}"/>
            </c:ext>
          </c:extLst>
        </c:ser>
        <c:dLbls>
          <c:showLegendKey val="0"/>
          <c:showVal val="0"/>
          <c:showCatName val="0"/>
          <c:showSerName val="0"/>
          <c:showPercent val="0"/>
          <c:showBubbleSize val="0"/>
        </c:dLbls>
        <c:gapWidth val="60"/>
        <c:overlap val="100"/>
        <c:axId val="157330048"/>
        <c:axId val="157340032"/>
      </c:barChart>
      <c:catAx>
        <c:axId val="157330048"/>
        <c:scaling>
          <c:orientation val="minMax"/>
        </c:scaling>
        <c:delete val="0"/>
        <c:axPos val="b"/>
        <c:numFmt formatCode="General" sourceLinked="1"/>
        <c:majorTickMark val="none"/>
        <c:minorTickMark val="none"/>
        <c:tickLblPos val="none"/>
        <c:spPr>
          <a:ln w="25400">
            <a:solidFill>
              <a:schemeClr val="tx2"/>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57340032"/>
        <c:crossesAt val="-3"/>
        <c:auto val="1"/>
        <c:lblAlgn val="ctr"/>
        <c:lblOffset val="100"/>
        <c:tickLblSkip val="1"/>
        <c:tickMarkSkip val="1"/>
        <c:noMultiLvlLbl val="0"/>
      </c:catAx>
      <c:valAx>
        <c:axId val="157340032"/>
        <c:scaling>
          <c:orientation val="minMax"/>
          <c:max val="0.4"/>
          <c:min val="-3"/>
        </c:scaling>
        <c:delete val="0"/>
        <c:axPos val="l"/>
        <c:majorGridlines>
          <c:spPr>
            <a:ln w="9525">
              <a:solidFill>
                <a:schemeClr val="accent4">
                  <a:lumMod val="20000"/>
                  <a:lumOff val="80000"/>
                </a:schemeClr>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Level (dBnom)</a:t>
                </a:r>
              </a:p>
            </c:rich>
          </c:tx>
          <c:layout>
            <c:manualLayout>
              <c:xMode val="edge"/>
              <c:yMode val="edge"/>
              <c:x val="1.8026117105732153E-2"/>
              <c:y val="0.37717910261217352"/>
            </c:manualLayout>
          </c:layout>
          <c:overlay val="0"/>
          <c:spPr>
            <a:noFill/>
            <a:ln w="25400">
              <a:noFill/>
            </a:ln>
          </c:spPr>
        </c:title>
        <c:numFmt formatCode="#,##0.00" sourceLinked="0"/>
        <c:majorTickMark val="out"/>
        <c:minorTickMark val="none"/>
        <c:tickLblPos val="nextTo"/>
        <c:spPr>
          <a:ln w="25400">
            <a:solidFill>
              <a:schemeClr val="tx2"/>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7330048"/>
        <c:crosses val="autoZero"/>
        <c:crossBetween val="between"/>
      </c:valAx>
      <c:spPr>
        <a:solidFill>
          <a:schemeClr val="accent4">
            <a:lumMod val="75000"/>
          </a:schemeClr>
        </a:solidFill>
        <a:ln w="12700">
          <a:solidFill>
            <a:srgbClr val="808080"/>
          </a:solidFill>
          <a:prstDash val="solid"/>
        </a:ln>
      </c:spPr>
    </c:plotArea>
    <c:plotVisOnly val="1"/>
    <c:dispBlanksAs val="gap"/>
    <c:showDLblsOverMax val="0"/>
  </c:chart>
  <c:spPr>
    <a:solidFill>
      <a:schemeClr val="bg2"/>
    </a:solidFill>
    <a:ln w="12700" cap="rnd">
      <a:solidFill>
        <a:schemeClr val="accent4"/>
      </a:solidFill>
      <a:prstDash val="solid"/>
      <a:bevel/>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142875</xdr:colOff>
      <xdr:row>34</xdr:row>
      <xdr:rowOff>0</xdr:rowOff>
    </xdr:from>
    <xdr:to>
      <xdr:col>16</xdr:col>
      <xdr:colOff>28575</xdr:colOff>
      <xdr:row>52</xdr:row>
      <xdr:rowOff>66675</xdr:rowOff>
    </xdr:to>
    <xdr:graphicFrame macro="">
      <xdr:nvGraphicFramePr>
        <xdr:cNvPr id="493563" name="Chart 2">
          <a:extLst>
            <a:ext uri="{FF2B5EF4-FFF2-40B4-BE49-F238E27FC236}">
              <a16:creationId xmlns:a16="http://schemas.microsoft.com/office/drawing/2014/main" id="{00000000-0008-0000-0000-0000FB87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114300</xdr:colOff>
      <xdr:row>34</xdr:row>
      <xdr:rowOff>0</xdr:rowOff>
    </xdr:from>
    <xdr:to>
      <xdr:col>21</xdr:col>
      <xdr:colOff>787400</xdr:colOff>
      <xdr:row>52</xdr:row>
      <xdr:rowOff>66675</xdr:rowOff>
    </xdr:to>
    <xdr:graphicFrame macro="">
      <xdr:nvGraphicFramePr>
        <xdr:cNvPr id="493564" name="Chart 3">
          <a:extLst>
            <a:ext uri="{FF2B5EF4-FFF2-40B4-BE49-F238E27FC236}">
              <a16:creationId xmlns:a16="http://schemas.microsoft.com/office/drawing/2014/main" id="{00000000-0008-0000-0000-0000FC87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142875</xdr:colOff>
      <xdr:row>55</xdr:row>
      <xdr:rowOff>0</xdr:rowOff>
    </xdr:from>
    <xdr:to>
      <xdr:col>16</xdr:col>
      <xdr:colOff>28575</xdr:colOff>
      <xdr:row>73</xdr:row>
      <xdr:rowOff>101600</xdr:rowOff>
    </xdr:to>
    <xdr:graphicFrame macro="">
      <xdr:nvGraphicFramePr>
        <xdr:cNvPr id="493565" name="Chart 4">
          <a:extLst>
            <a:ext uri="{FF2B5EF4-FFF2-40B4-BE49-F238E27FC236}">
              <a16:creationId xmlns:a16="http://schemas.microsoft.com/office/drawing/2014/main" id="{00000000-0008-0000-0000-0000FD87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114300</xdr:colOff>
      <xdr:row>55</xdr:row>
      <xdr:rowOff>0</xdr:rowOff>
    </xdr:from>
    <xdr:to>
      <xdr:col>21</xdr:col>
      <xdr:colOff>787400</xdr:colOff>
      <xdr:row>73</xdr:row>
      <xdr:rowOff>101600</xdr:rowOff>
    </xdr:to>
    <xdr:graphicFrame macro="">
      <xdr:nvGraphicFramePr>
        <xdr:cNvPr id="493566" name="Chart 5">
          <a:extLst>
            <a:ext uri="{FF2B5EF4-FFF2-40B4-BE49-F238E27FC236}">
              <a16:creationId xmlns:a16="http://schemas.microsoft.com/office/drawing/2014/main" id="{00000000-0008-0000-0000-0000FE87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114300</xdr:colOff>
      <xdr:row>20</xdr:row>
      <xdr:rowOff>0</xdr:rowOff>
    </xdr:from>
    <xdr:to>
      <xdr:col>21</xdr:col>
      <xdr:colOff>787400</xdr:colOff>
      <xdr:row>31</xdr:row>
      <xdr:rowOff>12700</xdr:rowOff>
    </xdr:to>
    <xdr:graphicFrame macro="">
      <xdr:nvGraphicFramePr>
        <xdr:cNvPr id="493567" name="Chart 22">
          <a:extLst>
            <a:ext uri="{FF2B5EF4-FFF2-40B4-BE49-F238E27FC236}">
              <a16:creationId xmlns:a16="http://schemas.microsoft.com/office/drawing/2014/main" id="{00000000-0008-0000-0000-0000FF87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142875</xdr:colOff>
      <xdr:row>74</xdr:row>
      <xdr:rowOff>241300</xdr:rowOff>
    </xdr:from>
    <xdr:to>
      <xdr:col>16</xdr:col>
      <xdr:colOff>28575</xdr:colOff>
      <xdr:row>88</xdr:row>
      <xdr:rowOff>12700</xdr:rowOff>
    </xdr:to>
    <xdr:graphicFrame macro="">
      <xdr:nvGraphicFramePr>
        <xdr:cNvPr id="961536" name="Chart 25">
          <a:extLst>
            <a:ext uri="{FF2B5EF4-FFF2-40B4-BE49-F238E27FC236}">
              <a16:creationId xmlns:a16="http://schemas.microsoft.com/office/drawing/2014/main" id="{00000000-0008-0000-0000-000000AC0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114300</xdr:colOff>
      <xdr:row>74</xdr:row>
      <xdr:rowOff>241300</xdr:rowOff>
    </xdr:from>
    <xdr:to>
      <xdr:col>21</xdr:col>
      <xdr:colOff>787400</xdr:colOff>
      <xdr:row>88</xdr:row>
      <xdr:rowOff>12699</xdr:rowOff>
    </xdr:to>
    <xdr:graphicFrame macro="">
      <xdr:nvGraphicFramePr>
        <xdr:cNvPr id="961537" name="Chart 26">
          <a:extLst>
            <a:ext uri="{FF2B5EF4-FFF2-40B4-BE49-F238E27FC236}">
              <a16:creationId xmlns:a16="http://schemas.microsoft.com/office/drawing/2014/main" id="{00000000-0008-0000-0000-000001AC0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9525</xdr:colOff>
      <xdr:row>121</xdr:row>
      <xdr:rowOff>22225</xdr:rowOff>
    </xdr:from>
    <xdr:to>
      <xdr:col>9</xdr:col>
      <xdr:colOff>323850</xdr:colOff>
      <xdr:row>205</xdr:row>
      <xdr:rowOff>12700</xdr:rowOff>
    </xdr:to>
    <xdr:sp macro="" textlink="">
      <xdr:nvSpPr>
        <xdr:cNvPr id="492553" name="Rectangle 27">
          <a:extLst>
            <a:ext uri="{FF2B5EF4-FFF2-40B4-BE49-F238E27FC236}">
              <a16:creationId xmlns:a16="http://schemas.microsoft.com/office/drawing/2014/main" id="{00000000-0008-0000-0000-000009840700}"/>
            </a:ext>
          </a:extLst>
        </xdr:cNvPr>
        <xdr:cNvSpPr>
          <a:spLocks noChangeArrowheads="1"/>
        </xdr:cNvSpPr>
      </xdr:nvSpPr>
      <xdr:spPr bwMode="auto">
        <a:xfrm>
          <a:off x="352425" y="18869025"/>
          <a:ext cx="6981825" cy="138588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0" anchor="t"/>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000" b="0" i="0" u="none" strike="noStrike" baseline="0">
              <a:solidFill>
                <a:srgbClr val="FF9900"/>
              </a:solidFill>
              <a:latin typeface="Arial"/>
              <a:cs typeface="Arial"/>
            </a:rPr>
            <a:t>Sifos Template Workspace</a:t>
          </a:r>
        </a:p>
        <a:p>
          <a:pPr algn="ctr" rtl="0">
            <a:defRPr sz="1000"/>
          </a:pPr>
          <a:r>
            <a:rPr lang="en-US" sz="1000" b="0" i="0" u="none" strike="noStrike" baseline="0">
              <a:solidFill>
                <a:srgbClr val="FF9900"/>
              </a:solidFill>
              <a:latin typeface="Arial"/>
              <a:cs typeface="Arial"/>
            </a:rPr>
            <a:t>Do Not Edit!</a:t>
          </a:r>
          <a:endParaRPr lang="en-US"/>
        </a:p>
      </xdr:txBody>
    </xdr:sp>
    <xdr:clientData/>
  </xdr:twoCellAnchor>
  <xdr:twoCellAnchor>
    <xdr:from>
      <xdr:col>38</xdr:col>
      <xdr:colOff>123825</xdr:colOff>
      <xdr:row>74</xdr:row>
      <xdr:rowOff>0</xdr:rowOff>
    </xdr:from>
    <xdr:to>
      <xdr:col>39</xdr:col>
      <xdr:colOff>161925</xdr:colOff>
      <xdr:row>74</xdr:row>
      <xdr:rowOff>0</xdr:rowOff>
    </xdr:to>
    <xdr:sp macro="" textlink="">
      <xdr:nvSpPr>
        <xdr:cNvPr id="961539" name="Line 38">
          <a:extLst>
            <a:ext uri="{FF2B5EF4-FFF2-40B4-BE49-F238E27FC236}">
              <a16:creationId xmlns:a16="http://schemas.microsoft.com/office/drawing/2014/main" id="{00000000-0008-0000-0000-000003AC0E00}"/>
            </a:ext>
          </a:extLst>
        </xdr:cNvPr>
        <xdr:cNvSpPr>
          <a:spLocks noChangeShapeType="1"/>
        </xdr:cNvSpPr>
      </xdr:nvSpPr>
      <xdr:spPr bwMode="auto">
        <a:xfrm>
          <a:off x="26203275" y="11068050"/>
          <a:ext cx="647700" cy="0"/>
        </a:xfrm>
        <a:prstGeom prst="line">
          <a:avLst/>
        </a:prstGeom>
        <a:noFill/>
        <a:ln w="9525">
          <a:solidFill>
            <a:srgbClr val="FF99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32</xdr:row>
      <xdr:rowOff>0</xdr:rowOff>
    </xdr:from>
    <xdr:to>
      <xdr:col>21</xdr:col>
      <xdr:colOff>790575</xdr:colOff>
      <xdr:row>52</xdr:row>
      <xdr:rowOff>76200</xdr:rowOff>
    </xdr:to>
    <xdr:sp macro="" textlink="">
      <xdr:nvSpPr>
        <xdr:cNvPr id="961541" name="Rectangle 59">
          <a:extLst>
            <a:ext uri="{FF2B5EF4-FFF2-40B4-BE49-F238E27FC236}">
              <a16:creationId xmlns:a16="http://schemas.microsoft.com/office/drawing/2014/main" id="{00000000-0008-0000-0000-000005AC0E00}"/>
            </a:ext>
          </a:extLst>
        </xdr:cNvPr>
        <xdr:cNvSpPr>
          <a:spLocks noChangeArrowheads="1"/>
        </xdr:cNvSpPr>
      </xdr:nvSpPr>
      <xdr:spPr bwMode="auto">
        <a:xfrm>
          <a:off x="342900" y="4505325"/>
          <a:ext cx="16211550" cy="3133725"/>
        </a:xfrm>
        <a:prstGeom prst="rect">
          <a:avLst/>
        </a:prstGeom>
        <a:noFill/>
        <a:ln w="9525">
          <a:solidFill>
            <a:schemeClr val="accent4"/>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53</xdr:row>
      <xdr:rowOff>0</xdr:rowOff>
    </xdr:from>
    <xdr:to>
      <xdr:col>21</xdr:col>
      <xdr:colOff>790575</xdr:colOff>
      <xdr:row>73</xdr:row>
      <xdr:rowOff>104775</xdr:rowOff>
    </xdr:to>
    <xdr:sp macro="" textlink="">
      <xdr:nvSpPr>
        <xdr:cNvPr id="961542" name="Rectangle 60">
          <a:extLst>
            <a:ext uri="{FF2B5EF4-FFF2-40B4-BE49-F238E27FC236}">
              <a16:creationId xmlns:a16="http://schemas.microsoft.com/office/drawing/2014/main" id="{00000000-0008-0000-0000-000006AC0E00}"/>
            </a:ext>
          </a:extLst>
        </xdr:cNvPr>
        <xdr:cNvSpPr>
          <a:spLocks noChangeArrowheads="1"/>
        </xdr:cNvSpPr>
      </xdr:nvSpPr>
      <xdr:spPr bwMode="auto">
        <a:xfrm>
          <a:off x="342900" y="7829550"/>
          <a:ext cx="16211550" cy="3181350"/>
        </a:xfrm>
        <a:prstGeom prst="rect">
          <a:avLst/>
        </a:prstGeom>
        <a:noFill/>
        <a:ln w="9525">
          <a:solidFill>
            <a:schemeClr val="accent4"/>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74</xdr:row>
      <xdr:rowOff>238125</xdr:rowOff>
    </xdr:from>
    <xdr:to>
      <xdr:col>21</xdr:col>
      <xdr:colOff>790575</xdr:colOff>
      <xdr:row>88</xdr:row>
      <xdr:rowOff>9525</xdr:rowOff>
    </xdr:to>
    <xdr:sp macro="" textlink="">
      <xdr:nvSpPr>
        <xdr:cNvPr id="961544" name="Rectangle 62">
          <a:extLst>
            <a:ext uri="{FF2B5EF4-FFF2-40B4-BE49-F238E27FC236}">
              <a16:creationId xmlns:a16="http://schemas.microsoft.com/office/drawing/2014/main" id="{00000000-0008-0000-0000-000008AC0E00}"/>
            </a:ext>
          </a:extLst>
        </xdr:cNvPr>
        <xdr:cNvSpPr>
          <a:spLocks noChangeArrowheads="1"/>
        </xdr:cNvSpPr>
      </xdr:nvSpPr>
      <xdr:spPr bwMode="auto">
        <a:xfrm>
          <a:off x="342900" y="11490325"/>
          <a:ext cx="16259175" cy="1968500"/>
        </a:xfrm>
        <a:prstGeom prst="rect">
          <a:avLst/>
        </a:prstGeom>
        <a:noFill/>
        <a:ln w="9525">
          <a:solidFill>
            <a:schemeClr val="accent4"/>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9525</xdr:colOff>
      <xdr:row>26</xdr:row>
      <xdr:rowOff>3175</xdr:rowOff>
    </xdr:from>
    <xdr:to>
      <xdr:col>29</xdr:col>
      <xdr:colOff>9525</xdr:colOff>
      <xdr:row>73</xdr:row>
      <xdr:rowOff>3175</xdr:rowOff>
    </xdr:to>
    <xdr:sp macro="" textlink="">
      <xdr:nvSpPr>
        <xdr:cNvPr id="492560" name="Rectangle 815">
          <a:extLst>
            <a:ext uri="{FF2B5EF4-FFF2-40B4-BE49-F238E27FC236}">
              <a16:creationId xmlns:a16="http://schemas.microsoft.com/office/drawing/2014/main" id="{00000000-0008-0000-0000-000010840700}"/>
            </a:ext>
          </a:extLst>
        </xdr:cNvPr>
        <xdr:cNvSpPr>
          <a:spLocks noChangeArrowheads="1"/>
        </xdr:cNvSpPr>
      </xdr:nvSpPr>
      <xdr:spPr bwMode="auto">
        <a:xfrm>
          <a:off x="17751425" y="3622675"/>
          <a:ext cx="3048000" cy="7467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lnSpc>
              <a:spcPts val="1100"/>
            </a:lnSpc>
            <a:defRPr sz="1000"/>
          </a:pPr>
          <a:r>
            <a:rPr lang="en-US" sz="1000" b="0" i="0" u="none" strike="noStrike" baseline="0">
              <a:solidFill>
                <a:srgbClr val="FF7C80"/>
              </a:solidFill>
              <a:latin typeface="Arial"/>
              <a:cs typeface="Arial"/>
            </a:rPr>
            <a:t>Sifos Template Workspace</a:t>
          </a:r>
        </a:p>
        <a:p>
          <a:pPr algn="ctr" rtl="0">
            <a:lnSpc>
              <a:spcPts val="1100"/>
            </a:lnSpc>
            <a:defRPr sz="1000"/>
          </a:pPr>
          <a:r>
            <a:rPr lang="en-US" sz="1000" b="0" i="0" u="none" strike="noStrike" baseline="0">
              <a:solidFill>
                <a:srgbClr val="FF7C80"/>
              </a:solidFill>
              <a:latin typeface="Arial"/>
              <a:cs typeface="Arial"/>
            </a:rPr>
            <a:t>Do Not Edit!</a:t>
          </a:r>
          <a:endParaRPr lang="en-US">
            <a:solidFill>
              <a:srgbClr val="FF7C80"/>
            </a:solidFill>
          </a:endParaRPr>
        </a:p>
      </xdr:txBody>
    </xdr:sp>
    <xdr:clientData/>
  </xdr:twoCellAnchor>
  <xdr:twoCellAnchor>
    <xdr:from>
      <xdr:col>1</xdr:col>
      <xdr:colOff>0</xdr:colOff>
      <xdr:row>20</xdr:row>
      <xdr:rowOff>0</xdr:rowOff>
    </xdr:from>
    <xdr:to>
      <xdr:col>21</xdr:col>
      <xdr:colOff>787400</xdr:colOff>
      <xdr:row>31</xdr:row>
      <xdr:rowOff>9525</xdr:rowOff>
    </xdr:to>
    <xdr:sp macro="" textlink="">
      <xdr:nvSpPr>
        <xdr:cNvPr id="961546" name="Rectangle 59">
          <a:extLst>
            <a:ext uri="{FF2B5EF4-FFF2-40B4-BE49-F238E27FC236}">
              <a16:creationId xmlns:a16="http://schemas.microsoft.com/office/drawing/2014/main" id="{00000000-0008-0000-0000-00000AAC0E00}"/>
            </a:ext>
          </a:extLst>
        </xdr:cNvPr>
        <xdr:cNvSpPr>
          <a:spLocks noChangeArrowheads="1"/>
        </xdr:cNvSpPr>
      </xdr:nvSpPr>
      <xdr:spPr bwMode="auto">
        <a:xfrm>
          <a:off x="342900" y="2806700"/>
          <a:ext cx="16332200" cy="1647825"/>
        </a:xfrm>
        <a:prstGeom prst="rect">
          <a:avLst/>
        </a:prstGeom>
        <a:noFill/>
        <a:ln w="9525">
          <a:solidFill>
            <a:schemeClr val="accent4"/>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139699</xdr:colOff>
      <xdr:row>20</xdr:row>
      <xdr:rowOff>0</xdr:rowOff>
    </xdr:from>
    <xdr:to>
      <xdr:col>16</xdr:col>
      <xdr:colOff>28574</xdr:colOff>
      <xdr:row>31</xdr:row>
      <xdr:rowOff>12700</xdr:rowOff>
    </xdr:to>
    <xdr:graphicFrame macro="">
      <xdr:nvGraphicFramePr>
        <xdr:cNvPr id="961547" name="Chart 18">
          <a:extLst>
            <a:ext uri="{FF2B5EF4-FFF2-40B4-BE49-F238E27FC236}">
              <a16:creationId xmlns:a16="http://schemas.microsoft.com/office/drawing/2014/main" id="{00000000-0008-0000-0000-00000BAC0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xdr:col>
      <xdr:colOff>9525</xdr:colOff>
      <xdr:row>92</xdr:row>
      <xdr:rowOff>0</xdr:rowOff>
    </xdr:from>
    <xdr:to>
      <xdr:col>27</xdr:col>
      <xdr:colOff>514350</xdr:colOff>
      <xdr:row>120</xdr:row>
      <xdr:rowOff>152400</xdr:rowOff>
    </xdr:to>
    <xdr:sp macro="" textlink="">
      <xdr:nvSpPr>
        <xdr:cNvPr id="492563" name="Rectangle 815">
          <a:extLst>
            <a:ext uri="{FF2B5EF4-FFF2-40B4-BE49-F238E27FC236}">
              <a16:creationId xmlns:a16="http://schemas.microsoft.com/office/drawing/2014/main" id="{00000000-0008-0000-0000-000013840700}"/>
            </a:ext>
          </a:extLst>
        </xdr:cNvPr>
        <xdr:cNvSpPr>
          <a:spLocks noChangeArrowheads="1"/>
        </xdr:cNvSpPr>
      </xdr:nvSpPr>
      <xdr:spPr bwMode="auto">
        <a:xfrm>
          <a:off x="17675225" y="14058900"/>
          <a:ext cx="2333625" cy="47752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22860" anchor="ctr"/>
        <a:lstStyle/>
        <a:p>
          <a:pPr algn="ctr" rtl="0">
            <a:lnSpc>
              <a:spcPts val="1100"/>
            </a:lnSpc>
            <a:defRPr sz="1000"/>
          </a:pPr>
          <a:r>
            <a:rPr lang="en-US" sz="1000" b="0" i="0" u="none" strike="noStrike" baseline="0">
              <a:solidFill>
                <a:srgbClr val="FF7C80"/>
              </a:solidFill>
              <a:latin typeface="Arial"/>
              <a:cs typeface="Arial"/>
            </a:rPr>
            <a:t>Sifos Template Workspace</a:t>
          </a:r>
        </a:p>
        <a:p>
          <a:pPr algn="ctr" rtl="0">
            <a:lnSpc>
              <a:spcPts val="1100"/>
            </a:lnSpc>
            <a:defRPr sz="1000"/>
          </a:pPr>
          <a:r>
            <a:rPr lang="en-US" sz="1000" b="0" i="0" u="none" strike="noStrike" baseline="0">
              <a:solidFill>
                <a:srgbClr val="FF7C80"/>
              </a:solidFill>
              <a:latin typeface="Arial"/>
              <a:cs typeface="Arial"/>
            </a:rPr>
            <a:t>Do Not Edit!</a:t>
          </a:r>
          <a:endParaRPr lang="en-US">
            <a:solidFill>
              <a:srgbClr val="FF7C80"/>
            </a:solidFill>
          </a:endParaRPr>
        </a:p>
      </xdr:txBody>
    </xdr:sp>
    <xdr:clientData/>
  </xdr:twoCellAnchor>
  <xdr:twoCellAnchor editAs="oneCell">
    <xdr:from>
      <xdr:col>20</xdr:col>
      <xdr:colOff>571500</xdr:colOff>
      <xdr:row>0</xdr:row>
      <xdr:rowOff>63499</xdr:rowOff>
    </xdr:from>
    <xdr:to>
      <xdr:col>22</xdr:col>
      <xdr:colOff>329907</xdr:colOff>
      <xdr:row>3</xdr:row>
      <xdr:rowOff>31066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5646400" y="63499"/>
          <a:ext cx="1295107" cy="577167"/>
        </a:xfrm>
        <a:prstGeom prst="rect">
          <a:avLst/>
        </a:prstGeom>
      </xdr:spPr>
    </xdr:pic>
    <xdr:clientData/>
  </xdr:twoCellAnchor>
  <xdr:twoCellAnchor>
    <xdr:from>
      <xdr:col>11</xdr:col>
      <xdr:colOff>0</xdr:colOff>
      <xdr:row>0</xdr:row>
      <xdr:rowOff>88900</xdr:rowOff>
    </xdr:from>
    <xdr:to>
      <xdr:col>11</xdr:col>
      <xdr:colOff>698500</xdr:colOff>
      <xdr:row>1</xdr:row>
      <xdr:rowOff>38100</xdr:rowOff>
    </xdr:to>
    <xdr:sp macro="" textlink="">
      <xdr:nvSpPr>
        <xdr:cNvPr id="4" name="Rectangle 3">
          <a:extLst>
            <a:ext uri="{FF2B5EF4-FFF2-40B4-BE49-F238E27FC236}">
              <a16:creationId xmlns:a16="http://schemas.microsoft.com/office/drawing/2014/main" id="{00000000-0008-0000-0000-000004000000}"/>
            </a:ext>
          </a:extLst>
        </xdr:cNvPr>
        <xdr:cNvSpPr/>
      </xdr:nvSpPr>
      <xdr:spPr bwMode="auto">
        <a:xfrm>
          <a:off x="8648700" y="88900"/>
          <a:ext cx="698500" cy="241300"/>
        </a:xfrm>
        <a:prstGeom prst="rect">
          <a:avLst/>
        </a:prstGeom>
        <a:solidFill>
          <a:schemeClr val="tx2">
            <a:lumMod val="10000"/>
            <a:lumOff val="9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lang="en-US" sz="1100" b="0"/>
            <a:t>  </a:t>
          </a:r>
          <a:r>
            <a:rPr lang="en-US" sz="1200" b="0"/>
            <a:t>Nominal</a:t>
          </a:r>
        </a:p>
      </xdr:txBody>
    </xdr:sp>
    <xdr:clientData/>
  </xdr:twoCellAnchor>
  <xdr:twoCellAnchor>
    <xdr:from>
      <xdr:col>12</xdr:col>
      <xdr:colOff>25400</xdr:colOff>
      <xdr:row>0</xdr:row>
      <xdr:rowOff>88900</xdr:rowOff>
    </xdr:from>
    <xdr:to>
      <xdr:col>12</xdr:col>
      <xdr:colOff>723900</xdr:colOff>
      <xdr:row>1</xdr:row>
      <xdr:rowOff>38100</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bwMode="auto">
        <a:xfrm>
          <a:off x="9398000" y="88900"/>
          <a:ext cx="698500" cy="241300"/>
        </a:xfrm>
        <a:prstGeom prst="rect">
          <a:avLst/>
        </a:prstGeom>
        <a:solidFill>
          <a:srgbClr val="FFCC99"/>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lang="en-US" sz="1100" b="0"/>
            <a:t>  </a:t>
          </a:r>
          <a:r>
            <a:rPr lang="en-US" sz="1200" b="0"/>
            <a:t>Marginal</a:t>
          </a:r>
        </a:p>
      </xdr:txBody>
    </xdr:sp>
    <xdr:clientData/>
  </xdr:twoCellAnchor>
  <xdr:twoCellAnchor>
    <xdr:from>
      <xdr:col>12</xdr:col>
      <xdr:colOff>774700</xdr:colOff>
      <xdr:row>0</xdr:row>
      <xdr:rowOff>88900</xdr:rowOff>
    </xdr:from>
    <xdr:to>
      <xdr:col>13</xdr:col>
      <xdr:colOff>444500</xdr:colOff>
      <xdr:row>1</xdr:row>
      <xdr:rowOff>38100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bwMode="auto">
        <a:xfrm>
          <a:off x="10147300" y="88900"/>
          <a:ext cx="698500" cy="241300"/>
        </a:xfrm>
        <a:prstGeom prst="rect">
          <a:avLst/>
        </a:prstGeom>
        <a:solidFill>
          <a:srgbClr val="FF7C80"/>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lang="en-US" sz="1100"/>
            <a:t>  </a:t>
          </a:r>
          <a:r>
            <a:rPr lang="en-US" sz="1200" b="1"/>
            <a:t>Failure</a:t>
          </a:r>
        </a:p>
      </xdr:txBody>
    </xdr:sp>
    <xdr:clientData/>
  </xdr:twoCellAnchor>
  <xdr:twoCellAnchor>
    <xdr:from>
      <xdr:col>12</xdr:col>
      <xdr:colOff>114300</xdr:colOff>
      <xdr:row>86</xdr:row>
      <xdr:rowOff>101600</xdr:rowOff>
    </xdr:from>
    <xdr:to>
      <xdr:col>15</xdr:col>
      <xdr:colOff>635000</xdr:colOff>
      <xdr:row>87</xdr:row>
      <xdr:rowOff>127000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9486900" y="13220700"/>
          <a:ext cx="30226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0033CC"/>
              </a:solidFill>
              <a:latin typeface="Arial" panose="020B0604020202020204" pitchFamily="34" charset="0"/>
              <a:cs typeface="Arial" panose="020B0604020202020204" pitchFamily="34" charset="0"/>
            </a:rPr>
            <a:t>Pair 1          </a:t>
          </a:r>
          <a:r>
            <a:rPr lang="en-US" sz="1100" b="1">
              <a:solidFill>
                <a:srgbClr val="FF6600"/>
              </a:solidFill>
              <a:latin typeface="Arial" panose="020B0604020202020204" pitchFamily="34" charset="0"/>
              <a:cs typeface="Arial" panose="020B0604020202020204" pitchFamily="34" charset="0"/>
            </a:rPr>
            <a:t>Pair 2            </a:t>
          </a:r>
          <a:r>
            <a:rPr lang="en-US" sz="1100" b="1">
              <a:solidFill>
                <a:srgbClr val="006600"/>
              </a:solidFill>
              <a:latin typeface="Arial" panose="020B0604020202020204" pitchFamily="34" charset="0"/>
              <a:cs typeface="Arial" panose="020B0604020202020204" pitchFamily="34" charset="0"/>
            </a:rPr>
            <a:t>Pair 3</a:t>
          </a:r>
          <a:r>
            <a:rPr lang="en-US" sz="1100" b="1">
              <a:solidFill>
                <a:srgbClr val="FF6600"/>
              </a:solidFill>
              <a:latin typeface="Arial" panose="020B0604020202020204" pitchFamily="34" charset="0"/>
              <a:cs typeface="Arial" panose="020B0604020202020204" pitchFamily="34" charset="0"/>
            </a:rPr>
            <a:t>          </a:t>
          </a:r>
          <a:r>
            <a:rPr lang="en-US" sz="1100" b="1">
              <a:solidFill>
                <a:srgbClr val="663300"/>
              </a:solidFill>
              <a:latin typeface="Arial" panose="020B0604020202020204" pitchFamily="34" charset="0"/>
              <a:cs typeface="Arial" panose="020B0604020202020204" pitchFamily="34" charset="0"/>
            </a:rPr>
            <a:t>Pair 4</a:t>
          </a:r>
        </a:p>
      </xdr:txBody>
    </xdr:sp>
    <xdr:clientData/>
  </xdr:twoCellAnchor>
  <xdr:twoCellAnchor>
    <xdr:from>
      <xdr:col>16</xdr:col>
      <xdr:colOff>546100</xdr:colOff>
      <xdr:row>86</xdr:row>
      <xdr:rowOff>114300</xdr:rowOff>
    </xdr:from>
    <xdr:to>
      <xdr:col>21</xdr:col>
      <xdr:colOff>762000</xdr:colOff>
      <xdr:row>87</xdr:row>
      <xdr:rowOff>152400</xdr:rowOff>
    </xdr:to>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13157200" y="13233400"/>
          <a:ext cx="3568700" cy="20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900" b="1">
              <a:solidFill>
                <a:sysClr val="windowText" lastClr="000000"/>
              </a:solidFill>
              <a:latin typeface="Arial" panose="020B0604020202020204" pitchFamily="34" charset="0"/>
              <a:cs typeface="Arial" panose="020B0604020202020204" pitchFamily="34" charset="0"/>
            </a:rPr>
            <a:t>Pairs</a:t>
          </a:r>
          <a:r>
            <a:rPr lang="en-US" sz="900" b="1">
              <a:solidFill>
                <a:srgbClr val="0033CC"/>
              </a:solidFill>
              <a:latin typeface="Arial" panose="020B0604020202020204" pitchFamily="34" charset="0"/>
              <a:cs typeface="Arial" panose="020B0604020202020204" pitchFamily="34" charset="0"/>
            </a:rPr>
            <a:t> 1</a:t>
          </a:r>
          <a:r>
            <a:rPr lang="en-US" sz="900" b="1">
              <a:solidFill>
                <a:sysClr val="windowText" lastClr="000000"/>
              </a:solidFill>
              <a:latin typeface="Arial" panose="020B0604020202020204" pitchFamily="34" charset="0"/>
              <a:cs typeface="Arial" panose="020B0604020202020204" pitchFamily="34" charset="0"/>
            </a:rPr>
            <a:t>-</a:t>
          </a:r>
          <a:r>
            <a:rPr lang="en-US" sz="900" b="1">
              <a:solidFill>
                <a:srgbClr val="FF6600"/>
              </a:solidFill>
              <a:latin typeface="Arial" panose="020B0604020202020204" pitchFamily="34" charset="0"/>
              <a:cs typeface="Arial" panose="020B0604020202020204" pitchFamily="34" charset="0"/>
            </a:rPr>
            <a:t>2  </a:t>
          </a:r>
          <a:r>
            <a:rPr lang="en-US" sz="900" b="1">
              <a:solidFill>
                <a:srgbClr val="0033CC"/>
              </a:solidFill>
              <a:latin typeface="Arial" panose="020B0604020202020204" pitchFamily="34" charset="0"/>
              <a:cs typeface="Arial" panose="020B0604020202020204" pitchFamily="34" charset="0"/>
            </a:rPr>
            <a:t> </a:t>
          </a:r>
          <a:r>
            <a:rPr lang="en-US" sz="900" b="1">
              <a:solidFill>
                <a:schemeClr val="dk1"/>
              </a:solidFill>
              <a:effectLst/>
              <a:latin typeface="Arial" panose="020B0604020202020204" pitchFamily="34" charset="0"/>
              <a:ea typeface="+mn-ea"/>
              <a:cs typeface="Arial" panose="020B0604020202020204" pitchFamily="34" charset="0"/>
            </a:rPr>
            <a:t>Pairs </a:t>
          </a:r>
          <a:r>
            <a:rPr lang="en-US" sz="900" b="1">
              <a:solidFill>
                <a:srgbClr val="0033CC"/>
              </a:solidFill>
              <a:effectLst/>
              <a:latin typeface="Arial" panose="020B0604020202020204" pitchFamily="34" charset="0"/>
              <a:ea typeface="+mn-ea"/>
              <a:cs typeface="Arial" panose="020B0604020202020204" pitchFamily="34" charset="0"/>
            </a:rPr>
            <a:t>1</a:t>
          </a:r>
          <a:r>
            <a:rPr lang="en-US" sz="900" b="1">
              <a:solidFill>
                <a:schemeClr val="dk1"/>
              </a:solidFill>
              <a:effectLst/>
              <a:latin typeface="Arial" panose="020B0604020202020204" pitchFamily="34" charset="0"/>
              <a:ea typeface="+mn-ea"/>
              <a:cs typeface="Arial" panose="020B0604020202020204" pitchFamily="34" charset="0"/>
            </a:rPr>
            <a:t>-</a:t>
          </a:r>
          <a:r>
            <a:rPr lang="en-US" sz="900" b="1">
              <a:solidFill>
                <a:srgbClr val="006600"/>
              </a:solidFill>
              <a:effectLst/>
              <a:latin typeface="Arial" panose="020B0604020202020204" pitchFamily="34" charset="0"/>
              <a:ea typeface="+mn-ea"/>
              <a:cs typeface="Arial" panose="020B0604020202020204" pitchFamily="34" charset="0"/>
            </a:rPr>
            <a:t>3</a:t>
          </a:r>
          <a:r>
            <a:rPr lang="en-US" sz="900" b="1">
              <a:solidFill>
                <a:schemeClr val="dk1"/>
              </a:solidFill>
              <a:effectLst/>
              <a:latin typeface="Arial" panose="020B0604020202020204" pitchFamily="34" charset="0"/>
              <a:ea typeface="+mn-ea"/>
              <a:cs typeface="Arial" panose="020B0604020202020204" pitchFamily="34" charset="0"/>
            </a:rPr>
            <a:t>   Pairs </a:t>
          </a:r>
          <a:r>
            <a:rPr lang="en-US" sz="900" b="1">
              <a:solidFill>
                <a:srgbClr val="0033CC"/>
              </a:solidFill>
              <a:effectLst/>
              <a:latin typeface="Arial" panose="020B0604020202020204" pitchFamily="34" charset="0"/>
              <a:ea typeface="+mn-ea"/>
              <a:cs typeface="Arial" panose="020B0604020202020204" pitchFamily="34" charset="0"/>
            </a:rPr>
            <a:t>1</a:t>
          </a:r>
          <a:r>
            <a:rPr lang="en-US" sz="900" b="1">
              <a:solidFill>
                <a:schemeClr val="dk1"/>
              </a:solidFill>
              <a:effectLst/>
              <a:latin typeface="Arial" panose="020B0604020202020204" pitchFamily="34" charset="0"/>
              <a:ea typeface="+mn-ea"/>
              <a:cs typeface="Arial" panose="020B0604020202020204" pitchFamily="34" charset="0"/>
            </a:rPr>
            <a:t>-</a:t>
          </a:r>
          <a:r>
            <a:rPr lang="en-US" sz="900" b="1">
              <a:solidFill>
                <a:srgbClr val="663300"/>
              </a:solidFill>
              <a:effectLst/>
              <a:latin typeface="Arial" panose="020B0604020202020204" pitchFamily="34" charset="0"/>
              <a:ea typeface="+mn-ea"/>
              <a:cs typeface="Arial" panose="020B0604020202020204" pitchFamily="34" charset="0"/>
            </a:rPr>
            <a:t>4</a:t>
          </a:r>
          <a:r>
            <a:rPr lang="en-US" sz="900" b="1">
              <a:solidFill>
                <a:schemeClr val="dk1"/>
              </a:solidFill>
              <a:effectLst/>
              <a:latin typeface="Arial" panose="020B0604020202020204" pitchFamily="34" charset="0"/>
              <a:ea typeface="+mn-ea"/>
              <a:cs typeface="Arial" panose="020B0604020202020204" pitchFamily="34" charset="0"/>
            </a:rPr>
            <a:t>   Pairs </a:t>
          </a:r>
          <a:r>
            <a:rPr lang="en-US" sz="900" b="1">
              <a:solidFill>
                <a:srgbClr val="FF6600"/>
              </a:solidFill>
              <a:effectLst/>
              <a:latin typeface="Arial" panose="020B0604020202020204" pitchFamily="34" charset="0"/>
              <a:ea typeface="+mn-ea"/>
              <a:cs typeface="Arial" panose="020B0604020202020204" pitchFamily="34" charset="0"/>
            </a:rPr>
            <a:t>2</a:t>
          </a:r>
          <a:r>
            <a:rPr lang="en-US" sz="900" b="1">
              <a:solidFill>
                <a:schemeClr val="dk1"/>
              </a:solidFill>
              <a:effectLst/>
              <a:latin typeface="Arial" panose="020B0604020202020204" pitchFamily="34" charset="0"/>
              <a:ea typeface="+mn-ea"/>
              <a:cs typeface="Arial" panose="020B0604020202020204" pitchFamily="34" charset="0"/>
            </a:rPr>
            <a:t>-</a:t>
          </a:r>
          <a:r>
            <a:rPr lang="en-US" sz="900" b="1">
              <a:solidFill>
                <a:srgbClr val="006600"/>
              </a:solidFill>
              <a:effectLst/>
              <a:latin typeface="Arial" panose="020B0604020202020204" pitchFamily="34" charset="0"/>
              <a:ea typeface="+mn-ea"/>
              <a:cs typeface="Arial" panose="020B0604020202020204" pitchFamily="34" charset="0"/>
            </a:rPr>
            <a:t>3 </a:t>
          </a:r>
          <a:r>
            <a:rPr lang="en-US" sz="900" b="1">
              <a:solidFill>
                <a:schemeClr val="dk1"/>
              </a:solidFill>
              <a:effectLst/>
              <a:latin typeface="Arial" panose="020B0604020202020204" pitchFamily="34" charset="0"/>
              <a:ea typeface="+mn-ea"/>
              <a:cs typeface="Arial" panose="020B0604020202020204" pitchFamily="34" charset="0"/>
            </a:rPr>
            <a:t>  Pairs </a:t>
          </a:r>
          <a:r>
            <a:rPr lang="en-US" sz="900" b="1">
              <a:solidFill>
                <a:srgbClr val="FF6600"/>
              </a:solidFill>
              <a:effectLst/>
              <a:latin typeface="Arial" panose="020B0604020202020204" pitchFamily="34" charset="0"/>
              <a:ea typeface="+mn-ea"/>
              <a:cs typeface="Arial" panose="020B0604020202020204" pitchFamily="34" charset="0"/>
            </a:rPr>
            <a:t>2</a:t>
          </a:r>
          <a:r>
            <a:rPr lang="en-US" sz="900" b="1">
              <a:solidFill>
                <a:schemeClr val="dk1"/>
              </a:solidFill>
              <a:effectLst/>
              <a:latin typeface="Arial" panose="020B0604020202020204" pitchFamily="34" charset="0"/>
              <a:ea typeface="+mn-ea"/>
              <a:cs typeface="Arial" panose="020B0604020202020204" pitchFamily="34" charset="0"/>
            </a:rPr>
            <a:t>-</a:t>
          </a:r>
          <a:r>
            <a:rPr lang="en-US" sz="900" b="1">
              <a:solidFill>
                <a:srgbClr val="663300"/>
              </a:solidFill>
              <a:effectLst/>
              <a:latin typeface="Arial" panose="020B0604020202020204" pitchFamily="34" charset="0"/>
              <a:ea typeface="+mn-ea"/>
              <a:cs typeface="Arial" panose="020B0604020202020204" pitchFamily="34" charset="0"/>
            </a:rPr>
            <a:t>4</a:t>
          </a:r>
          <a:r>
            <a:rPr lang="en-US" sz="900" b="1">
              <a:solidFill>
                <a:schemeClr val="dk1"/>
              </a:solidFill>
              <a:effectLst/>
              <a:latin typeface="Arial" panose="020B0604020202020204" pitchFamily="34" charset="0"/>
              <a:ea typeface="+mn-ea"/>
              <a:cs typeface="Arial" panose="020B0604020202020204" pitchFamily="34" charset="0"/>
            </a:rPr>
            <a:t>   Pairs </a:t>
          </a:r>
          <a:r>
            <a:rPr lang="en-US" sz="900" b="1">
              <a:solidFill>
                <a:srgbClr val="006600"/>
              </a:solidFill>
              <a:effectLst/>
              <a:latin typeface="Arial" panose="020B0604020202020204" pitchFamily="34" charset="0"/>
              <a:ea typeface="+mn-ea"/>
              <a:cs typeface="Arial" panose="020B0604020202020204" pitchFamily="34" charset="0"/>
            </a:rPr>
            <a:t>3</a:t>
          </a:r>
          <a:r>
            <a:rPr lang="en-US" sz="900" b="1">
              <a:solidFill>
                <a:schemeClr val="dk1"/>
              </a:solidFill>
              <a:effectLst/>
              <a:latin typeface="Arial" panose="020B0604020202020204" pitchFamily="34" charset="0"/>
              <a:ea typeface="+mn-ea"/>
              <a:cs typeface="Arial" panose="020B0604020202020204" pitchFamily="34" charset="0"/>
            </a:rPr>
            <a:t>-</a:t>
          </a:r>
          <a:r>
            <a:rPr lang="en-US" sz="900" b="1">
              <a:solidFill>
                <a:srgbClr val="663300"/>
              </a:solidFill>
              <a:effectLst/>
              <a:latin typeface="Arial" panose="020B0604020202020204" pitchFamily="34" charset="0"/>
              <a:ea typeface="+mn-ea"/>
              <a:cs typeface="Arial" panose="020B0604020202020204" pitchFamily="34" charset="0"/>
            </a:rPr>
            <a:t>4</a:t>
          </a:r>
          <a:endParaRPr lang="en-US" sz="900">
            <a:solidFill>
              <a:srgbClr val="663300"/>
            </a:solidFill>
            <a:effectLst/>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9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9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900">
            <a:effectLst/>
          </a:endParaRPr>
        </a:p>
        <a:p>
          <a:endParaRPr lang="en-US" sz="900" b="1">
            <a:solidFill>
              <a:srgbClr val="663300"/>
            </a:solidFill>
            <a:latin typeface="Arial" panose="020B0604020202020204" pitchFamily="34" charset="0"/>
            <a:cs typeface="Arial" panose="020B0604020202020204" pitchFamily="34" charset="0"/>
          </a:endParaRPr>
        </a:p>
      </xdr:txBody>
    </xdr:sp>
    <xdr:clientData/>
  </xdr:twoCellAnchor>
  <xdr:twoCellAnchor>
    <xdr:from>
      <xdr:col>11</xdr:col>
      <xdr:colOff>698500</xdr:colOff>
      <xdr:row>29</xdr:row>
      <xdr:rowOff>101600</xdr:rowOff>
    </xdr:from>
    <xdr:to>
      <xdr:col>15</xdr:col>
      <xdr:colOff>685800</xdr:colOff>
      <xdr:row>31</xdr:row>
      <xdr:rowOff>63500</xdr:rowOff>
    </xdr:to>
    <xdr:grpSp>
      <xdr:nvGrpSpPr>
        <xdr:cNvPr id="8" name="Group 7">
          <a:extLst>
            <a:ext uri="{FF2B5EF4-FFF2-40B4-BE49-F238E27FC236}">
              <a16:creationId xmlns:a16="http://schemas.microsoft.com/office/drawing/2014/main" id="{00000000-0008-0000-0000-000008000000}"/>
            </a:ext>
          </a:extLst>
        </xdr:cNvPr>
        <xdr:cNvGrpSpPr/>
      </xdr:nvGrpSpPr>
      <xdr:grpSpPr>
        <a:xfrm>
          <a:off x="9372600" y="4216400"/>
          <a:ext cx="3263900" cy="292100"/>
          <a:chOff x="9347200" y="4229100"/>
          <a:chExt cx="3213100" cy="292100"/>
        </a:xfrm>
      </xdr:grpSpPr>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9372600" y="4229100"/>
            <a:ext cx="3187700"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900" b="1">
                <a:solidFill>
                  <a:srgbClr val="FF6600"/>
                </a:solidFill>
                <a:latin typeface="Arial" panose="020B0604020202020204" pitchFamily="34" charset="0"/>
                <a:cs typeface="Arial" panose="020B0604020202020204" pitchFamily="34" charset="0"/>
              </a:rPr>
              <a:t>Pair 2       </a:t>
            </a:r>
            <a:r>
              <a:rPr lang="en-US" sz="900" b="1">
                <a:solidFill>
                  <a:srgbClr val="006600"/>
                </a:solidFill>
                <a:latin typeface="Arial" panose="020B0604020202020204" pitchFamily="34" charset="0"/>
                <a:cs typeface="Arial" panose="020B0604020202020204" pitchFamily="34" charset="0"/>
              </a:rPr>
              <a:t>Pair  3       </a:t>
            </a:r>
            <a:r>
              <a:rPr lang="en-US" sz="900" b="1">
                <a:solidFill>
                  <a:srgbClr val="0033CC"/>
                </a:solidFill>
                <a:latin typeface="Arial" panose="020B0604020202020204" pitchFamily="34" charset="0"/>
                <a:cs typeface="Arial" panose="020B0604020202020204" pitchFamily="34" charset="0"/>
              </a:rPr>
              <a:t>Pair</a:t>
            </a:r>
            <a:r>
              <a:rPr lang="en-US" sz="900" b="1" baseline="0">
                <a:solidFill>
                  <a:srgbClr val="0033CC"/>
                </a:solidFill>
                <a:latin typeface="Arial" panose="020B0604020202020204" pitchFamily="34" charset="0"/>
                <a:cs typeface="Arial" panose="020B0604020202020204" pitchFamily="34" charset="0"/>
              </a:rPr>
              <a:t> 1       </a:t>
            </a:r>
            <a:r>
              <a:rPr lang="en-US" sz="900" b="1" baseline="0">
                <a:solidFill>
                  <a:srgbClr val="FF6600"/>
                </a:solidFill>
                <a:latin typeface="Arial" panose="020B0604020202020204" pitchFamily="34" charset="0"/>
                <a:cs typeface="Arial" panose="020B0604020202020204" pitchFamily="34" charset="0"/>
              </a:rPr>
              <a:t>Pair 2       </a:t>
            </a:r>
            <a:r>
              <a:rPr lang="en-US" sz="900" b="1" baseline="0">
                <a:solidFill>
                  <a:srgbClr val="006600"/>
                </a:solidFill>
                <a:latin typeface="Arial" panose="020B0604020202020204" pitchFamily="34" charset="0"/>
                <a:cs typeface="Arial" panose="020B0604020202020204" pitchFamily="34" charset="0"/>
              </a:rPr>
              <a:t>Pair 3       </a:t>
            </a:r>
            <a:r>
              <a:rPr lang="en-US" sz="900" b="1" baseline="0">
                <a:solidFill>
                  <a:srgbClr val="663300"/>
                </a:solidFill>
                <a:latin typeface="Arial" panose="020B0604020202020204" pitchFamily="34" charset="0"/>
                <a:cs typeface="Arial" panose="020B0604020202020204" pitchFamily="34" charset="0"/>
              </a:rPr>
              <a:t>Pair 4</a:t>
            </a:r>
            <a:endParaRPr lang="en-US" sz="9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9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900">
              <a:effectLst/>
            </a:endParaRPr>
          </a:p>
          <a:p>
            <a:endParaRPr lang="en-US" sz="900" b="1">
              <a:solidFill>
                <a:srgbClr val="663300"/>
              </a:solidFill>
              <a:latin typeface="Arial" panose="020B0604020202020204" pitchFamily="34" charset="0"/>
              <a:cs typeface="Arial" panose="020B0604020202020204" pitchFamily="34" charset="0"/>
            </a:endParaRPr>
          </a:p>
        </xdr:txBody>
      </xdr:sp>
      <xdr:sp macro="" textlink="">
        <xdr:nvSpPr>
          <xdr:cNvPr id="30" name="TextBox 29">
            <a:extLst>
              <a:ext uri="{FF2B5EF4-FFF2-40B4-BE49-F238E27FC236}">
                <a16:creationId xmlns:a16="http://schemas.microsoft.com/office/drawing/2014/main" id="{00000000-0008-0000-0000-00001E000000}"/>
              </a:ext>
            </a:extLst>
          </xdr:cNvPr>
          <xdr:cNvSpPr txBox="1"/>
        </xdr:nvSpPr>
        <xdr:spPr>
          <a:xfrm>
            <a:off x="9347200" y="4343400"/>
            <a:ext cx="3149600" cy="177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ysClr val="windowText" lastClr="000000"/>
                </a:solidFill>
                <a:effectLst/>
                <a:latin typeface="Arial" panose="020B0604020202020204" pitchFamily="34" charset="0"/>
                <a:cs typeface="Arial" panose="020B0604020202020204" pitchFamily="34" charset="0"/>
              </a:rPr>
              <a:t> ---  100Base-Tx ---        ----------------- -  1000BaseT  ------------------</a:t>
            </a:r>
            <a:endParaRPr lang="en-US" sz="800">
              <a:solidFill>
                <a:srgbClr val="663300"/>
              </a:solidFill>
              <a:effectLst/>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9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9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900">
              <a:effectLst/>
            </a:endParaRPr>
          </a:p>
          <a:p>
            <a:endParaRPr lang="en-US" sz="900" b="1">
              <a:solidFill>
                <a:srgbClr val="663300"/>
              </a:solidFill>
              <a:latin typeface="Arial" panose="020B0604020202020204" pitchFamily="34" charset="0"/>
              <a:cs typeface="Arial" panose="020B0604020202020204" pitchFamily="34" charset="0"/>
            </a:endParaRPr>
          </a:p>
        </xdr:txBody>
      </xdr:sp>
    </xdr:grpSp>
    <xdr:clientData/>
  </xdr:twoCellAnchor>
  <xdr:twoCellAnchor>
    <xdr:from>
      <xdr:col>16</xdr:col>
      <xdr:colOff>673100</xdr:colOff>
      <xdr:row>29</xdr:row>
      <xdr:rowOff>101600</xdr:rowOff>
    </xdr:from>
    <xdr:to>
      <xdr:col>21</xdr:col>
      <xdr:colOff>533400</xdr:colOff>
      <xdr:row>31</xdr:row>
      <xdr:rowOff>63500</xdr:rowOff>
    </xdr:to>
    <xdr:grpSp>
      <xdr:nvGrpSpPr>
        <xdr:cNvPr id="32" name="Group 31">
          <a:extLst>
            <a:ext uri="{FF2B5EF4-FFF2-40B4-BE49-F238E27FC236}">
              <a16:creationId xmlns:a16="http://schemas.microsoft.com/office/drawing/2014/main" id="{00000000-0008-0000-0000-000020000000}"/>
            </a:ext>
          </a:extLst>
        </xdr:cNvPr>
        <xdr:cNvGrpSpPr/>
      </xdr:nvGrpSpPr>
      <xdr:grpSpPr>
        <a:xfrm>
          <a:off x="13360400" y="4216400"/>
          <a:ext cx="3213100" cy="292100"/>
          <a:chOff x="9347200" y="4229100"/>
          <a:chExt cx="3213100" cy="292100"/>
        </a:xfrm>
      </xdr:grpSpPr>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9372600" y="4229100"/>
            <a:ext cx="3187700"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900" b="1">
                <a:solidFill>
                  <a:srgbClr val="FF6600"/>
                </a:solidFill>
                <a:latin typeface="Arial" panose="020B0604020202020204" pitchFamily="34" charset="0"/>
                <a:cs typeface="Arial" panose="020B0604020202020204" pitchFamily="34" charset="0"/>
              </a:rPr>
              <a:t>Pair 2        </a:t>
            </a:r>
            <a:r>
              <a:rPr lang="en-US" sz="900" b="1">
                <a:solidFill>
                  <a:srgbClr val="006600"/>
                </a:solidFill>
                <a:latin typeface="Arial" panose="020B0604020202020204" pitchFamily="34" charset="0"/>
                <a:cs typeface="Arial" panose="020B0604020202020204" pitchFamily="34" charset="0"/>
              </a:rPr>
              <a:t>Pair  3       </a:t>
            </a:r>
            <a:r>
              <a:rPr lang="en-US" sz="900" b="1">
                <a:solidFill>
                  <a:srgbClr val="0033CC"/>
                </a:solidFill>
                <a:latin typeface="Arial" panose="020B0604020202020204" pitchFamily="34" charset="0"/>
                <a:cs typeface="Arial" panose="020B0604020202020204" pitchFamily="34" charset="0"/>
              </a:rPr>
              <a:t>Pair</a:t>
            </a:r>
            <a:r>
              <a:rPr lang="en-US" sz="900" b="1" baseline="0">
                <a:solidFill>
                  <a:srgbClr val="0033CC"/>
                </a:solidFill>
                <a:latin typeface="Arial" panose="020B0604020202020204" pitchFamily="34" charset="0"/>
                <a:cs typeface="Arial" panose="020B0604020202020204" pitchFamily="34" charset="0"/>
              </a:rPr>
              <a:t> 1        </a:t>
            </a:r>
            <a:r>
              <a:rPr lang="en-US" sz="900" b="1" baseline="0">
                <a:solidFill>
                  <a:srgbClr val="FF6600"/>
                </a:solidFill>
                <a:latin typeface="Arial" panose="020B0604020202020204" pitchFamily="34" charset="0"/>
                <a:cs typeface="Arial" panose="020B0604020202020204" pitchFamily="34" charset="0"/>
              </a:rPr>
              <a:t>Pair 2        </a:t>
            </a:r>
            <a:r>
              <a:rPr lang="en-US" sz="900" b="1" baseline="0">
                <a:solidFill>
                  <a:srgbClr val="006600"/>
                </a:solidFill>
                <a:latin typeface="Arial" panose="020B0604020202020204" pitchFamily="34" charset="0"/>
                <a:cs typeface="Arial" panose="020B0604020202020204" pitchFamily="34" charset="0"/>
              </a:rPr>
              <a:t>Pair 3        </a:t>
            </a:r>
            <a:r>
              <a:rPr lang="en-US" sz="900" b="1" baseline="0">
                <a:solidFill>
                  <a:srgbClr val="663300"/>
                </a:solidFill>
                <a:latin typeface="Arial" panose="020B0604020202020204" pitchFamily="34" charset="0"/>
                <a:cs typeface="Arial" panose="020B0604020202020204" pitchFamily="34" charset="0"/>
              </a:rPr>
              <a:t>Pair 4</a:t>
            </a:r>
            <a:endParaRPr lang="en-US" sz="9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9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900">
              <a:effectLst/>
            </a:endParaRPr>
          </a:p>
          <a:p>
            <a:endParaRPr lang="en-US" sz="900" b="1">
              <a:solidFill>
                <a:srgbClr val="663300"/>
              </a:solidFill>
              <a:latin typeface="Arial" panose="020B0604020202020204" pitchFamily="34" charset="0"/>
              <a:cs typeface="Arial" panose="020B0604020202020204" pitchFamily="34" charset="0"/>
            </a:endParaRPr>
          </a:p>
        </xdr:txBody>
      </xdr:sp>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9347200" y="4343400"/>
            <a:ext cx="3149600" cy="177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ysClr val="windowText" lastClr="000000"/>
                </a:solidFill>
                <a:effectLst/>
                <a:latin typeface="Arial" panose="020B0604020202020204" pitchFamily="34" charset="0"/>
                <a:cs typeface="Arial" panose="020B0604020202020204" pitchFamily="34" charset="0"/>
              </a:rPr>
              <a:t> ---  100Base-Tx ---            ----------------- -  1000BaseT  ------------------</a:t>
            </a:r>
            <a:endParaRPr lang="en-US" sz="800">
              <a:solidFill>
                <a:srgbClr val="663300"/>
              </a:solidFill>
              <a:effectLst/>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9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9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900">
              <a:effectLst/>
            </a:endParaRPr>
          </a:p>
          <a:p>
            <a:endParaRPr lang="en-US" sz="900" b="1">
              <a:solidFill>
                <a:srgbClr val="663300"/>
              </a:solidFill>
              <a:latin typeface="Arial" panose="020B0604020202020204" pitchFamily="34" charset="0"/>
              <a:cs typeface="Arial" panose="020B0604020202020204" pitchFamily="34" charset="0"/>
            </a:endParaRPr>
          </a:p>
        </xdr:txBody>
      </xdr:sp>
    </xdr:grpSp>
    <xdr:clientData/>
  </xdr:twoCellAnchor>
  <xdr:twoCellAnchor>
    <xdr:from>
      <xdr:col>8</xdr:col>
      <xdr:colOff>50800</xdr:colOff>
      <xdr:row>46</xdr:row>
      <xdr:rowOff>139700</xdr:rowOff>
    </xdr:from>
    <xdr:to>
      <xdr:col>10</xdr:col>
      <xdr:colOff>811033</xdr:colOff>
      <xdr:row>52</xdr:row>
      <xdr:rowOff>1</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6235700" y="6832600"/>
          <a:ext cx="2411233" cy="850901"/>
          <a:chOff x="6223000" y="6858000"/>
          <a:chExt cx="2411233" cy="850901"/>
        </a:xfrm>
      </xdr:grpSpPr>
      <xdr:sp macro="" textlink="">
        <xdr:nvSpPr>
          <xdr:cNvPr id="47" name="TextBox 4">
            <a:extLst>
              <a:ext uri="{FF2B5EF4-FFF2-40B4-BE49-F238E27FC236}">
                <a16:creationId xmlns:a16="http://schemas.microsoft.com/office/drawing/2014/main" id="{00000000-0008-0000-0000-00002F000000}"/>
              </a:ext>
            </a:extLst>
          </xdr:cNvPr>
          <xdr:cNvSpPr txBox="1"/>
        </xdr:nvSpPr>
        <xdr:spPr>
          <a:xfrm>
            <a:off x="6273962" y="6887901"/>
            <a:ext cx="2360271" cy="821000"/>
          </a:xfrm>
          <a:prstGeom prst="rect">
            <a:avLst/>
          </a:prstGeom>
          <a:solidFill>
            <a:schemeClr val="accent4">
              <a:lumMod val="20000"/>
              <a:lumOff val="80000"/>
            </a:schemeClr>
          </a:solidFill>
          <a:ln>
            <a:solidFill>
              <a:srgbClr val="595959"/>
            </a:solidFill>
          </a:ln>
        </xdr:spPr>
        <xdr:txBody>
          <a:bodyPr wrap="square" rtlCol="0">
            <a:noAutofit/>
          </a:bodyPr>
          <a:lstStyle>
            <a:defPPr>
              <a:defRPr lang="en-US"/>
            </a:defPPr>
            <a:lvl1pPr marL="0" algn="l" defTabSz="914400" rtl="0" eaLnBrk="1" latinLnBrk="0" hangingPunct="1">
              <a:defRPr sz="1800" kern="1200">
                <a:solidFill>
                  <a:srgbClr val="000000"/>
                </a:solidFill>
                <a:latin typeface="Calibri"/>
                <a:ea typeface=""/>
                <a:cs typeface=""/>
              </a:defRPr>
            </a:lvl1pPr>
            <a:lvl2pPr marL="457200" algn="l" defTabSz="914400" rtl="0" eaLnBrk="1" latinLnBrk="0" hangingPunct="1">
              <a:defRPr sz="1800" kern="1200">
                <a:solidFill>
                  <a:srgbClr val="000000"/>
                </a:solidFill>
                <a:latin typeface="Calibri"/>
                <a:ea typeface=""/>
                <a:cs typeface=""/>
              </a:defRPr>
            </a:lvl2pPr>
            <a:lvl3pPr marL="914400" algn="l" defTabSz="914400" rtl="0" eaLnBrk="1" latinLnBrk="0" hangingPunct="1">
              <a:defRPr sz="1800" kern="1200">
                <a:solidFill>
                  <a:srgbClr val="000000"/>
                </a:solidFill>
                <a:latin typeface="Calibri"/>
                <a:ea typeface=""/>
                <a:cs typeface=""/>
              </a:defRPr>
            </a:lvl3pPr>
            <a:lvl4pPr marL="1371600" algn="l" defTabSz="914400" rtl="0" eaLnBrk="1" latinLnBrk="0" hangingPunct="1">
              <a:defRPr sz="1800" kern="1200">
                <a:solidFill>
                  <a:srgbClr val="000000"/>
                </a:solidFill>
                <a:latin typeface="Calibri"/>
                <a:ea typeface=""/>
                <a:cs typeface=""/>
              </a:defRPr>
            </a:lvl4pPr>
            <a:lvl5pPr marL="1828800" algn="l" defTabSz="914400" rtl="0" eaLnBrk="1" latinLnBrk="0" hangingPunct="1">
              <a:defRPr sz="1800" kern="1200">
                <a:solidFill>
                  <a:srgbClr val="000000"/>
                </a:solidFill>
                <a:latin typeface="Calibri"/>
                <a:ea typeface=""/>
                <a:cs typeface=""/>
              </a:defRPr>
            </a:lvl5pPr>
            <a:lvl6pPr marL="2286000" algn="l" defTabSz="914400" rtl="0" eaLnBrk="1" latinLnBrk="0" hangingPunct="1">
              <a:defRPr sz="1800" kern="1200">
                <a:solidFill>
                  <a:srgbClr val="000000"/>
                </a:solidFill>
                <a:latin typeface="Calibri"/>
                <a:ea typeface=""/>
                <a:cs typeface=""/>
              </a:defRPr>
            </a:lvl6pPr>
            <a:lvl7pPr marL="2743200" algn="l" defTabSz="914400" rtl="0" eaLnBrk="1" latinLnBrk="0" hangingPunct="1">
              <a:defRPr sz="1800" kern="1200">
                <a:solidFill>
                  <a:srgbClr val="000000"/>
                </a:solidFill>
                <a:latin typeface="Calibri"/>
                <a:ea typeface=""/>
                <a:cs typeface=""/>
              </a:defRPr>
            </a:lvl7pPr>
            <a:lvl8pPr marL="3200400" algn="l" defTabSz="914400" rtl="0" eaLnBrk="1" latinLnBrk="0" hangingPunct="1">
              <a:defRPr sz="1800" kern="1200">
                <a:solidFill>
                  <a:srgbClr val="000000"/>
                </a:solidFill>
                <a:latin typeface="Calibri"/>
                <a:ea typeface=""/>
                <a:cs typeface=""/>
              </a:defRPr>
            </a:lvl8pPr>
            <a:lvl9pPr marL="3657600" algn="l" defTabSz="914400" rtl="0" eaLnBrk="1" latinLnBrk="0" hangingPunct="1">
              <a:defRPr sz="1800" kern="1200">
                <a:solidFill>
                  <a:srgbClr val="000000"/>
                </a:solidFill>
                <a:latin typeface="Calibri"/>
                <a:ea typeface=""/>
                <a:cs typeface=""/>
              </a:defRPr>
            </a:lvl9pPr>
          </a:lstStyle>
          <a:p>
            <a:endParaRPr lang="en-US"/>
          </a:p>
        </xdr:txBody>
      </xdr:sp>
      <xdr:sp macro="" textlink="">
        <xdr:nvSpPr>
          <xdr:cNvPr id="48" name="Rectangle 47">
            <a:extLst>
              <a:ext uri="{FF2B5EF4-FFF2-40B4-BE49-F238E27FC236}">
                <a16:creationId xmlns:a16="http://schemas.microsoft.com/office/drawing/2014/main" id="{00000000-0008-0000-0000-000030000000}"/>
              </a:ext>
            </a:extLst>
          </xdr:cNvPr>
          <xdr:cNvSpPr/>
        </xdr:nvSpPr>
        <xdr:spPr>
          <a:xfrm>
            <a:off x="6318011" y="7137721"/>
            <a:ext cx="520860" cy="231494"/>
          </a:xfrm>
          <a:prstGeom prst="rect">
            <a:avLst/>
          </a:prstGeom>
          <a:solidFill>
            <a:srgbClr val="0000CC"/>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FFFFFF"/>
                </a:solidFill>
                <a:latin typeface="Calibri"/>
                <a:ea typeface=""/>
                <a:cs typeface=""/>
              </a:defRPr>
            </a:lvl1pPr>
            <a:lvl2pPr marL="457200" algn="l" defTabSz="914400" rtl="0" eaLnBrk="1" latinLnBrk="0" hangingPunct="1">
              <a:defRPr sz="1800" kern="1200">
                <a:solidFill>
                  <a:srgbClr val="FFFFFF"/>
                </a:solidFill>
                <a:latin typeface="Calibri"/>
                <a:ea typeface=""/>
                <a:cs typeface=""/>
              </a:defRPr>
            </a:lvl2pPr>
            <a:lvl3pPr marL="914400" algn="l" defTabSz="914400" rtl="0" eaLnBrk="1" latinLnBrk="0" hangingPunct="1">
              <a:defRPr sz="1800" kern="1200">
                <a:solidFill>
                  <a:srgbClr val="FFFFFF"/>
                </a:solidFill>
                <a:latin typeface="Calibri"/>
                <a:ea typeface=""/>
                <a:cs typeface=""/>
              </a:defRPr>
            </a:lvl3pPr>
            <a:lvl4pPr marL="1371600" algn="l" defTabSz="914400" rtl="0" eaLnBrk="1" latinLnBrk="0" hangingPunct="1">
              <a:defRPr sz="1800" kern="1200">
                <a:solidFill>
                  <a:srgbClr val="FFFFFF"/>
                </a:solidFill>
                <a:latin typeface="Calibri"/>
                <a:ea typeface=""/>
                <a:cs typeface=""/>
              </a:defRPr>
            </a:lvl4pPr>
            <a:lvl5pPr marL="1828800" algn="l" defTabSz="914400" rtl="0" eaLnBrk="1" latinLnBrk="0" hangingPunct="1">
              <a:defRPr sz="1800" kern="1200">
                <a:solidFill>
                  <a:srgbClr val="FFFFFF"/>
                </a:solidFill>
                <a:latin typeface="Calibri"/>
                <a:ea typeface=""/>
                <a:cs typeface=""/>
              </a:defRPr>
            </a:lvl5pPr>
            <a:lvl6pPr marL="2286000" algn="l" defTabSz="914400" rtl="0" eaLnBrk="1" latinLnBrk="0" hangingPunct="1">
              <a:defRPr sz="1800" kern="1200">
                <a:solidFill>
                  <a:srgbClr val="FFFFFF"/>
                </a:solidFill>
                <a:latin typeface="Calibri"/>
                <a:ea typeface=""/>
                <a:cs typeface=""/>
              </a:defRPr>
            </a:lvl6pPr>
            <a:lvl7pPr marL="2743200" algn="l" defTabSz="914400" rtl="0" eaLnBrk="1" latinLnBrk="0" hangingPunct="1">
              <a:defRPr sz="1800" kern="1200">
                <a:solidFill>
                  <a:srgbClr val="FFFFFF"/>
                </a:solidFill>
                <a:latin typeface="Calibri"/>
                <a:ea typeface=""/>
                <a:cs typeface=""/>
              </a:defRPr>
            </a:lvl7pPr>
            <a:lvl8pPr marL="3200400" algn="l" defTabSz="914400" rtl="0" eaLnBrk="1" latinLnBrk="0" hangingPunct="1">
              <a:defRPr sz="1800" kern="1200">
                <a:solidFill>
                  <a:srgbClr val="FFFFFF"/>
                </a:solidFill>
                <a:latin typeface="Calibri"/>
                <a:ea typeface=""/>
                <a:cs typeface=""/>
              </a:defRPr>
            </a:lvl8pPr>
            <a:lvl9pPr marL="3657600" algn="l" defTabSz="914400" rtl="0" eaLnBrk="1" latinLnBrk="0" hangingPunct="1">
              <a:defRPr sz="1800" kern="1200">
                <a:solidFill>
                  <a:srgbClr val="FFFFFF"/>
                </a:solidFill>
                <a:latin typeface="Calibri"/>
                <a:ea typeface=""/>
                <a:cs typeface=""/>
              </a:defRPr>
            </a:lvl9pPr>
          </a:lstStyle>
          <a:p>
            <a:pPr algn="ctr"/>
            <a:endParaRPr lang="en-US"/>
          </a:p>
        </xdr:txBody>
      </xdr:sp>
      <xdr:sp macro="" textlink="">
        <xdr:nvSpPr>
          <xdr:cNvPr id="49" name="TextBox 6">
            <a:extLst>
              <a:ext uri="{FF2B5EF4-FFF2-40B4-BE49-F238E27FC236}">
                <a16:creationId xmlns:a16="http://schemas.microsoft.com/office/drawing/2014/main" id="{00000000-0008-0000-0000-000031000000}"/>
              </a:ext>
            </a:extLst>
          </xdr:cNvPr>
          <xdr:cNvSpPr txBox="1"/>
        </xdr:nvSpPr>
        <xdr:spPr>
          <a:xfrm>
            <a:off x="6223000" y="6858000"/>
            <a:ext cx="1643399" cy="261610"/>
          </a:xfrm>
          <a:prstGeom prst="rect">
            <a:avLst/>
          </a:prstGeom>
          <a:noFill/>
        </xdr:spPr>
        <xdr:txBody>
          <a:bodyPr wrap="square" rtlCol="0">
            <a:spAutoFit/>
          </a:bodyPr>
          <a:lstStyle>
            <a:defPPr>
              <a:defRPr lang="en-US"/>
            </a:defPPr>
            <a:lvl1pPr marL="0" algn="l" defTabSz="914400" rtl="0" eaLnBrk="1" latinLnBrk="0" hangingPunct="1">
              <a:defRPr sz="1800" kern="1200">
                <a:solidFill>
                  <a:srgbClr val="000000"/>
                </a:solidFill>
                <a:latin typeface="Calibri"/>
                <a:ea typeface=""/>
                <a:cs typeface=""/>
              </a:defRPr>
            </a:lvl1pPr>
            <a:lvl2pPr marL="457200" algn="l" defTabSz="914400" rtl="0" eaLnBrk="1" latinLnBrk="0" hangingPunct="1">
              <a:defRPr sz="1800" kern="1200">
                <a:solidFill>
                  <a:srgbClr val="000000"/>
                </a:solidFill>
                <a:latin typeface="Calibri"/>
                <a:ea typeface=""/>
                <a:cs typeface=""/>
              </a:defRPr>
            </a:lvl2pPr>
            <a:lvl3pPr marL="914400" algn="l" defTabSz="914400" rtl="0" eaLnBrk="1" latinLnBrk="0" hangingPunct="1">
              <a:defRPr sz="1800" kern="1200">
                <a:solidFill>
                  <a:srgbClr val="000000"/>
                </a:solidFill>
                <a:latin typeface="Calibri"/>
                <a:ea typeface=""/>
                <a:cs typeface=""/>
              </a:defRPr>
            </a:lvl3pPr>
            <a:lvl4pPr marL="1371600" algn="l" defTabSz="914400" rtl="0" eaLnBrk="1" latinLnBrk="0" hangingPunct="1">
              <a:defRPr sz="1800" kern="1200">
                <a:solidFill>
                  <a:srgbClr val="000000"/>
                </a:solidFill>
                <a:latin typeface="Calibri"/>
                <a:ea typeface=""/>
                <a:cs typeface=""/>
              </a:defRPr>
            </a:lvl4pPr>
            <a:lvl5pPr marL="1828800" algn="l" defTabSz="914400" rtl="0" eaLnBrk="1" latinLnBrk="0" hangingPunct="1">
              <a:defRPr sz="1800" kern="1200">
                <a:solidFill>
                  <a:srgbClr val="000000"/>
                </a:solidFill>
                <a:latin typeface="Calibri"/>
                <a:ea typeface=""/>
                <a:cs typeface=""/>
              </a:defRPr>
            </a:lvl5pPr>
            <a:lvl6pPr marL="2286000" algn="l" defTabSz="914400" rtl="0" eaLnBrk="1" latinLnBrk="0" hangingPunct="1">
              <a:defRPr sz="1800" kern="1200">
                <a:solidFill>
                  <a:srgbClr val="000000"/>
                </a:solidFill>
                <a:latin typeface="Calibri"/>
                <a:ea typeface=""/>
                <a:cs typeface=""/>
              </a:defRPr>
            </a:lvl6pPr>
            <a:lvl7pPr marL="2743200" algn="l" defTabSz="914400" rtl="0" eaLnBrk="1" latinLnBrk="0" hangingPunct="1">
              <a:defRPr sz="1800" kern="1200">
                <a:solidFill>
                  <a:srgbClr val="000000"/>
                </a:solidFill>
                <a:latin typeface="Calibri"/>
                <a:ea typeface=""/>
                <a:cs typeface=""/>
              </a:defRPr>
            </a:lvl7pPr>
            <a:lvl8pPr marL="3200400" algn="l" defTabSz="914400" rtl="0" eaLnBrk="1" latinLnBrk="0" hangingPunct="1">
              <a:defRPr sz="1800" kern="1200">
                <a:solidFill>
                  <a:srgbClr val="000000"/>
                </a:solidFill>
                <a:latin typeface="Calibri"/>
                <a:ea typeface=""/>
                <a:cs typeface=""/>
              </a:defRPr>
            </a:lvl8pPr>
            <a:lvl9pPr marL="3657600" algn="l" defTabSz="914400" rtl="0" eaLnBrk="1" latinLnBrk="0" hangingPunct="1">
              <a:defRPr sz="1800" kern="1200">
                <a:solidFill>
                  <a:srgbClr val="000000"/>
                </a:solidFill>
                <a:latin typeface="Calibri"/>
                <a:ea typeface=""/>
                <a:cs typeface=""/>
              </a:defRPr>
            </a:lvl9pPr>
          </a:lstStyle>
          <a:p>
            <a:r>
              <a:rPr lang="en-US" sz="1100" b="1">
                <a:latin typeface="Arial" panose="020B0604020202020204" pitchFamily="34" charset="0"/>
                <a:cs typeface="Arial" panose="020B0604020202020204" pitchFamily="34" charset="0"/>
              </a:rPr>
              <a:t>PSD Trace Color Key:</a:t>
            </a:r>
          </a:p>
        </xdr:txBody>
      </xdr:sp>
      <xdr:sp macro="" textlink="">
        <xdr:nvSpPr>
          <xdr:cNvPr id="50" name="Rectangle 49">
            <a:extLst>
              <a:ext uri="{FF2B5EF4-FFF2-40B4-BE49-F238E27FC236}">
                <a16:creationId xmlns:a16="http://schemas.microsoft.com/office/drawing/2014/main" id="{00000000-0008-0000-0000-000032000000}"/>
              </a:ext>
            </a:extLst>
          </xdr:cNvPr>
          <xdr:cNvSpPr/>
        </xdr:nvSpPr>
        <xdr:spPr>
          <a:xfrm>
            <a:off x="6882277" y="7139652"/>
            <a:ext cx="520860" cy="231494"/>
          </a:xfrm>
          <a:prstGeom prst="rect">
            <a:avLst/>
          </a:prstGeom>
          <a:solidFill>
            <a:srgbClr val="FF6600"/>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FFFFFF"/>
                </a:solidFill>
                <a:latin typeface="Calibri"/>
                <a:ea typeface=""/>
                <a:cs typeface=""/>
              </a:defRPr>
            </a:lvl1pPr>
            <a:lvl2pPr marL="457200" algn="l" defTabSz="914400" rtl="0" eaLnBrk="1" latinLnBrk="0" hangingPunct="1">
              <a:defRPr sz="1800" kern="1200">
                <a:solidFill>
                  <a:srgbClr val="FFFFFF"/>
                </a:solidFill>
                <a:latin typeface="Calibri"/>
                <a:ea typeface=""/>
                <a:cs typeface=""/>
              </a:defRPr>
            </a:lvl2pPr>
            <a:lvl3pPr marL="914400" algn="l" defTabSz="914400" rtl="0" eaLnBrk="1" latinLnBrk="0" hangingPunct="1">
              <a:defRPr sz="1800" kern="1200">
                <a:solidFill>
                  <a:srgbClr val="FFFFFF"/>
                </a:solidFill>
                <a:latin typeface="Calibri"/>
                <a:ea typeface=""/>
                <a:cs typeface=""/>
              </a:defRPr>
            </a:lvl3pPr>
            <a:lvl4pPr marL="1371600" algn="l" defTabSz="914400" rtl="0" eaLnBrk="1" latinLnBrk="0" hangingPunct="1">
              <a:defRPr sz="1800" kern="1200">
                <a:solidFill>
                  <a:srgbClr val="FFFFFF"/>
                </a:solidFill>
                <a:latin typeface="Calibri"/>
                <a:ea typeface=""/>
                <a:cs typeface=""/>
              </a:defRPr>
            </a:lvl4pPr>
            <a:lvl5pPr marL="1828800" algn="l" defTabSz="914400" rtl="0" eaLnBrk="1" latinLnBrk="0" hangingPunct="1">
              <a:defRPr sz="1800" kern="1200">
                <a:solidFill>
                  <a:srgbClr val="FFFFFF"/>
                </a:solidFill>
                <a:latin typeface="Calibri"/>
                <a:ea typeface=""/>
                <a:cs typeface=""/>
              </a:defRPr>
            </a:lvl5pPr>
            <a:lvl6pPr marL="2286000" algn="l" defTabSz="914400" rtl="0" eaLnBrk="1" latinLnBrk="0" hangingPunct="1">
              <a:defRPr sz="1800" kern="1200">
                <a:solidFill>
                  <a:srgbClr val="FFFFFF"/>
                </a:solidFill>
                <a:latin typeface="Calibri"/>
                <a:ea typeface=""/>
                <a:cs typeface=""/>
              </a:defRPr>
            </a:lvl6pPr>
            <a:lvl7pPr marL="2743200" algn="l" defTabSz="914400" rtl="0" eaLnBrk="1" latinLnBrk="0" hangingPunct="1">
              <a:defRPr sz="1800" kern="1200">
                <a:solidFill>
                  <a:srgbClr val="FFFFFF"/>
                </a:solidFill>
                <a:latin typeface="Calibri"/>
                <a:ea typeface=""/>
                <a:cs typeface=""/>
              </a:defRPr>
            </a:lvl7pPr>
            <a:lvl8pPr marL="3200400" algn="l" defTabSz="914400" rtl="0" eaLnBrk="1" latinLnBrk="0" hangingPunct="1">
              <a:defRPr sz="1800" kern="1200">
                <a:solidFill>
                  <a:srgbClr val="FFFFFF"/>
                </a:solidFill>
                <a:latin typeface="Calibri"/>
                <a:ea typeface=""/>
                <a:cs typeface=""/>
              </a:defRPr>
            </a:lvl8pPr>
            <a:lvl9pPr marL="3657600" algn="l" defTabSz="914400" rtl="0" eaLnBrk="1" latinLnBrk="0" hangingPunct="1">
              <a:defRPr sz="1800" kern="1200">
                <a:solidFill>
                  <a:srgbClr val="FFFFFF"/>
                </a:solidFill>
                <a:latin typeface="Calibri"/>
                <a:ea typeface=""/>
                <a:cs typeface=""/>
              </a:defRPr>
            </a:lvl9pPr>
          </a:lstStyle>
          <a:p>
            <a:pPr algn="ctr"/>
            <a:endParaRPr lang="en-US"/>
          </a:p>
        </xdr:txBody>
      </xdr:sp>
      <xdr:sp macro="" textlink="">
        <xdr:nvSpPr>
          <xdr:cNvPr id="51" name="Rectangle 50">
            <a:extLst>
              <a:ext uri="{FF2B5EF4-FFF2-40B4-BE49-F238E27FC236}">
                <a16:creationId xmlns:a16="http://schemas.microsoft.com/office/drawing/2014/main" id="{00000000-0008-0000-0000-000033000000}"/>
              </a:ext>
            </a:extLst>
          </xdr:cNvPr>
          <xdr:cNvSpPr/>
        </xdr:nvSpPr>
        <xdr:spPr>
          <a:xfrm>
            <a:off x="7449437" y="7135790"/>
            <a:ext cx="520860" cy="231494"/>
          </a:xfrm>
          <a:prstGeom prst="rect">
            <a:avLst/>
          </a:prstGeom>
          <a:solidFill>
            <a:srgbClr val="006600"/>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FFFFFF"/>
                </a:solidFill>
                <a:latin typeface="Calibri"/>
                <a:ea typeface=""/>
                <a:cs typeface=""/>
              </a:defRPr>
            </a:lvl1pPr>
            <a:lvl2pPr marL="457200" algn="l" defTabSz="914400" rtl="0" eaLnBrk="1" latinLnBrk="0" hangingPunct="1">
              <a:defRPr sz="1800" kern="1200">
                <a:solidFill>
                  <a:srgbClr val="FFFFFF"/>
                </a:solidFill>
                <a:latin typeface="Calibri"/>
                <a:ea typeface=""/>
                <a:cs typeface=""/>
              </a:defRPr>
            </a:lvl2pPr>
            <a:lvl3pPr marL="914400" algn="l" defTabSz="914400" rtl="0" eaLnBrk="1" latinLnBrk="0" hangingPunct="1">
              <a:defRPr sz="1800" kern="1200">
                <a:solidFill>
                  <a:srgbClr val="FFFFFF"/>
                </a:solidFill>
                <a:latin typeface="Calibri"/>
                <a:ea typeface=""/>
                <a:cs typeface=""/>
              </a:defRPr>
            </a:lvl3pPr>
            <a:lvl4pPr marL="1371600" algn="l" defTabSz="914400" rtl="0" eaLnBrk="1" latinLnBrk="0" hangingPunct="1">
              <a:defRPr sz="1800" kern="1200">
                <a:solidFill>
                  <a:srgbClr val="FFFFFF"/>
                </a:solidFill>
                <a:latin typeface="Calibri"/>
                <a:ea typeface=""/>
                <a:cs typeface=""/>
              </a:defRPr>
            </a:lvl4pPr>
            <a:lvl5pPr marL="1828800" algn="l" defTabSz="914400" rtl="0" eaLnBrk="1" latinLnBrk="0" hangingPunct="1">
              <a:defRPr sz="1800" kern="1200">
                <a:solidFill>
                  <a:srgbClr val="FFFFFF"/>
                </a:solidFill>
                <a:latin typeface="Calibri"/>
                <a:ea typeface=""/>
                <a:cs typeface=""/>
              </a:defRPr>
            </a:lvl5pPr>
            <a:lvl6pPr marL="2286000" algn="l" defTabSz="914400" rtl="0" eaLnBrk="1" latinLnBrk="0" hangingPunct="1">
              <a:defRPr sz="1800" kern="1200">
                <a:solidFill>
                  <a:srgbClr val="FFFFFF"/>
                </a:solidFill>
                <a:latin typeface="Calibri"/>
                <a:ea typeface=""/>
                <a:cs typeface=""/>
              </a:defRPr>
            </a:lvl6pPr>
            <a:lvl7pPr marL="2743200" algn="l" defTabSz="914400" rtl="0" eaLnBrk="1" latinLnBrk="0" hangingPunct="1">
              <a:defRPr sz="1800" kern="1200">
                <a:solidFill>
                  <a:srgbClr val="FFFFFF"/>
                </a:solidFill>
                <a:latin typeface="Calibri"/>
                <a:ea typeface=""/>
                <a:cs typeface=""/>
              </a:defRPr>
            </a:lvl7pPr>
            <a:lvl8pPr marL="3200400" algn="l" defTabSz="914400" rtl="0" eaLnBrk="1" latinLnBrk="0" hangingPunct="1">
              <a:defRPr sz="1800" kern="1200">
                <a:solidFill>
                  <a:srgbClr val="FFFFFF"/>
                </a:solidFill>
                <a:latin typeface="Calibri"/>
                <a:ea typeface=""/>
                <a:cs typeface=""/>
              </a:defRPr>
            </a:lvl8pPr>
            <a:lvl9pPr marL="3657600" algn="l" defTabSz="914400" rtl="0" eaLnBrk="1" latinLnBrk="0" hangingPunct="1">
              <a:defRPr sz="1800" kern="1200">
                <a:solidFill>
                  <a:srgbClr val="FFFFFF"/>
                </a:solidFill>
                <a:latin typeface="Calibri"/>
                <a:ea typeface=""/>
                <a:cs typeface=""/>
              </a:defRPr>
            </a:lvl9pPr>
          </a:lstStyle>
          <a:p>
            <a:pPr algn="ctr"/>
            <a:endParaRPr lang="en-US"/>
          </a:p>
        </xdr:txBody>
      </xdr:sp>
      <xdr:sp macro="" textlink="">
        <xdr:nvSpPr>
          <xdr:cNvPr id="52" name="Rectangle 51">
            <a:extLst>
              <a:ext uri="{FF2B5EF4-FFF2-40B4-BE49-F238E27FC236}">
                <a16:creationId xmlns:a16="http://schemas.microsoft.com/office/drawing/2014/main" id="{00000000-0008-0000-0000-000034000000}"/>
              </a:ext>
            </a:extLst>
          </xdr:cNvPr>
          <xdr:cNvSpPr/>
        </xdr:nvSpPr>
        <xdr:spPr>
          <a:xfrm>
            <a:off x="8020452" y="7137721"/>
            <a:ext cx="520860" cy="231494"/>
          </a:xfrm>
          <a:prstGeom prst="rect">
            <a:avLst/>
          </a:prstGeom>
          <a:solidFill>
            <a:srgbClr val="663300"/>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FFFFFF"/>
                </a:solidFill>
                <a:latin typeface="Calibri"/>
                <a:ea typeface=""/>
                <a:cs typeface=""/>
              </a:defRPr>
            </a:lvl1pPr>
            <a:lvl2pPr marL="457200" algn="l" defTabSz="914400" rtl="0" eaLnBrk="1" latinLnBrk="0" hangingPunct="1">
              <a:defRPr sz="1800" kern="1200">
                <a:solidFill>
                  <a:srgbClr val="FFFFFF"/>
                </a:solidFill>
                <a:latin typeface="Calibri"/>
                <a:ea typeface=""/>
                <a:cs typeface=""/>
              </a:defRPr>
            </a:lvl2pPr>
            <a:lvl3pPr marL="914400" algn="l" defTabSz="914400" rtl="0" eaLnBrk="1" latinLnBrk="0" hangingPunct="1">
              <a:defRPr sz="1800" kern="1200">
                <a:solidFill>
                  <a:srgbClr val="FFFFFF"/>
                </a:solidFill>
                <a:latin typeface="Calibri"/>
                <a:ea typeface=""/>
                <a:cs typeface=""/>
              </a:defRPr>
            </a:lvl3pPr>
            <a:lvl4pPr marL="1371600" algn="l" defTabSz="914400" rtl="0" eaLnBrk="1" latinLnBrk="0" hangingPunct="1">
              <a:defRPr sz="1800" kern="1200">
                <a:solidFill>
                  <a:srgbClr val="FFFFFF"/>
                </a:solidFill>
                <a:latin typeface="Calibri"/>
                <a:ea typeface=""/>
                <a:cs typeface=""/>
              </a:defRPr>
            </a:lvl4pPr>
            <a:lvl5pPr marL="1828800" algn="l" defTabSz="914400" rtl="0" eaLnBrk="1" latinLnBrk="0" hangingPunct="1">
              <a:defRPr sz="1800" kern="1200">
                <a:solidFill>
                  <a:srgbClr val="FFFFFF"/>
                </a:solidFill>
                <a:latin typeface="Calibri"/>
                <a:ea typeface=""/>
                <a:cs typeface=""/>
              </a:defRPr>
            </a:lvl5pPr>
            <a:lvl6pPr marL="2286000" algn="l" defTabSz="914400" rtl="0" eaLnBrk="1" latinLnBrk="0" hangingPunct="1">
              <a:defRPr sz="1800" kern="1200">
                <a:solidFill>
                  <a:srgbClr val="FFFFFF"/>
                </a:solidFill>
                <a:latin typeface="Calibri"/>
                <a:ea typeface=""/>
                <a:cs typeface=""/>
              </a:defRPr>
            </a:lvl6pPr>
            <a:lvl7pPr marL="2743200" algn="l" defTabSz="914400" rtl="0" eaLnBrk="1" latinLnBrk="0" hangingPunct="1">
              <a:defRPr sz="1800" kern="1200">
                <a:solidFill>
                  <a:srgbClr val="FFFFFF"/>
                </a:solidFill>
                <a:latin typeface="Calibri"/>
                <a:ea typeface=""/>
                <a:cs typeface=""/>
              </a:defRPr>
            </a:lvl7pPr>
            <a:lvl8pPr marL="3200400" algn="l" defTabSz="914400" rtl="0" eaLnBrk="1" latinLnBrk="0" hangingPunct="1">
              <a:defRPr sz="1800" kern="1200">
                <a:solidFill>
                  <a:srgbClr val="FFFFFF"/>
                </a:solidFill>
                <a:latin typeface="Calibri"/>
                <a:ea typeface=""/>
                <a:cs typeface=""/>
              </a:defRPr>
            </a:lvl8pPr>
            <a:lvl9pPr marL="3657600" algn="l" defTabSz="914400" rtl="0" eaLnBrk="1" latinLnBrk="0" hangingPunct="1">
              <a:defRPr sz="1800" kern="1200">
                <a:solidFill>
                  <a:srgbClr val="FFFFFF"/>
                </a:solidFill>
                <a:latin typeface="Calibri"/>
                <a:ea typeface=""/>
                <a:cs typeface=""/>
              </a:defRPr>
            </a:lvl9pPr>
          </a:lstStyle>
          <a:p>
            <a:pPr algn="ctr"/>
            <a:endParaRPr lang="en-US"/>
          </a:p>
        </xdr:txBody>
      </xdr:sp>
      <xdr:sp macro="" textlink="">
        <xdr:nvSpPr>
          <xdr:cNvPr id="53" name="TextBox 10">
            <a:extLst>
              <a:ext uri="{FF2B5EF4-FFF2-40B4-BE49-F238E27FC236}">
                <a16:creationId xmlns:a16="http://schemas.microsoft.com/office/drawing/2014/main" id="{00000000-0008-0000-0000-000035000000}"/>
              </a:ext>
            </a:extLst>
          </xdr:cNvPr>
          <xdr:cNvSpPr txBox="1"/>
        </xdr:nvSpPr>
        <xdr:spPr>
          <a:xfrm>
            <a:off x="6333443" y="7475315"/>
            <a:ext cx="1115690" cy="175433"/>
          </a:xfrm>
          <a:prstGeom prst="rect">
            <a:avLst/>
          </a:prstGeom>
          <a:solidFill>
            <a:srgbClr val="FFCC99"/>
          </a:solidFill>
        </xdr:spPr>
        <xdr:txBody>
          <a:bodyPr wrap="square" lIns="0" tIns="18288" rIns="0" bIns="18288" rtlCol="0">
            <a:spAutoFit/>
          </a:bodyPr>
          <a:lstStyle>
            <a:defPPr>
              <a:defRPr lang="en-US"/>
            </a:defPPr>
            <a:lvl1pPr marL="0" algn="l" defTabSz="914400" rtl="0" eaLnBrk="1" latinLnBrk="0" hangingPunct="1">
              <a:defRPr sz="1800" kern="1200">
                <a:solidFill>
                  <a:srgbClr val="000000"/>
                </a:solidFill>
                <a:latin typeface="Calibri"/>
                <a:ea typeface=""/>
                <a:cs typeface=""/>
              </a:defRPr>
            </a:lvl1pPr>
            <a:lvl2pPr marL="457200" algn="l" defTabSz="914400" rtl="0" eaLnBrk="1" latinLnBrk="0" hangingPunct="1">
              <a:defRPr sz="1800" kern="1200">
                <a:solidFill>
                  <a:srgbClr val="000000"/>
                </a:solidFill>
                <a:latin typeface="Calibri"/>
                <a:ea typeface=""/>
                <a:cs typeface=""/>
              </a:defRPr>
            </a:lvl2pPr>
            <a:lvl3pPr marL="914400" algn="l" defTabSz="914400" rtl="0" eaLnBrk="1" latinLnBrk="0" hangingPunct="1">
              <a:defRPr sz="1800" kern="1200">
                <a:solidFill>
                  <a:srgbClr val="000000"/>
                </a:solidFill>
                <a:latin typeface="Calibri"/>
                <a:ea typeface=""/>
                <a:cs typeface=""/>
              </a:defRPr>
            </a:lvl3pPr>
            <a:lvl4pPr marL="1371600" algn="l" defTabSz="914400" rtl="0" eaLnBrk="1" latinLnBrk="0" hangingPunct="1">
              <a:defRPr sz="1800" kern="1200">
                <a:solidFill>
                  <a:srgbClr val="000000"/>
                </a:solidFill>
                <a:latin typeface="Calibri"/>
                <a:ea typeface=""/>
                <a:cs typeface=""/>
              </a:defRPr>
            </a:lvl4pPr>
            <a:lvl5pPr marL="1828800" algn="l" defTabSz="914400" rtl="0" eaLnBrk="1" latinLnBrk="0" hangingPunct="1">
              <a:defRPr sz="1800" kern="1200">
                <a:solidFill>
                  <a:srgbClr val="000000"/>
                </a:solidFill>
                <a:latin typeface="Calibri"/>
                <a:ea typeface=""/>
                <a:cs typeface=""/>
              </a:defRPr>
            </a:lvl5pPr>
            <a:lvl6pPr marL="2286000" algn="l" defTabSz="914400" rtl="0" eaLnBrk="1" latinLnBrk="0" hangingPunct="1">
              <a:defRPr sz="1800" kern="1200">
                <a:solidFill>
                  <a:srgbClr val="000000"/>
                </a:solidFill>
                <a:latin typeface="Calibri"/>
                <a:ea typeface=""/>
                <a:cs typeface=""/>
              </a:defRPr>
            </a:lvl6pPr>
            <a:lvl7pPr marL="2743200" algn="l" defTabSz="914400" rtl="0" eaLnBrk="1" latinLnBrk="0" hangingPunct="1">
              <a:defRPr sz="1800" kern="1200">
                <a:solidFill>
                  <a:srgbClr val="000000"/>
                </a:solidFill>
                <a:latin typeface="Calibri"/>
                <a:ea typeface=""/>
                <a:cs typeface=""/>
              </a:defRPr>
            </a:lvl7pPr>
            <a:lvl8pPr marL="3200400" algn="l" defTabSz="914400" rtl="0" eaLnBrk="1" latinLnBrk="0" hangingPunct="1">
              <a:defRPr sz="1800" kern="1200">
                <a:solidFill>
                  <a:srgbClr val="000000"/>
                </a:solidFill>
                <a:latin typeface="Calibri"/>
                <a:ea typeface=""/>
                <a:cs typeface=""/>
              </a:defRPr>
            </a:lvl8pPr>
            <a:lvl9pPr marL="3657600" algn="l" defTabSz="914400" rtl="0" eaLnBrk="1" latinLnBrk="0" hangingPunct="1">
              <a:defRPr sz="1800" kern="1200">
                <a:solidFill>
                  <a:srgbClr val="000000"/>
                </a:solidFill>
                <a:latin typeface="Calibri"/>
                <a:ea typeface=""/>
                <a:cs typeface=""/>
              </a:defRPr>
            </a:lvl9pPr>
          </a:lstStyle>
          <a:p>
            <a:r>
              <a:rPr lang="en-US" sz="900" b="1">
                <a:latin typeface="Arial" panose="020B0604020202020204" pitchFamily="34" charset="0"/>
                <a:cs typeface="Arial" panose="020B0604020202020204" pitchFamily="34" charset="0"/>
              </a:rPr>
              <a:t> Marginal Limit Line </a:t>
            </a:r>
          </a:p>
        </xdr:txBody>
      </xdr:sp>
      <xdr:sp macro="" textlink="">
        <xdr:nvSpPr>
          <xdr:cNvPr id="54" name="TextBox 11">
            <a:extLst>
              <a:ext uri="{FF2B5EF4-FFF2-40B4-BE49-F238E27FC236}">
                <a16:creationId xmlns:a16="http://schemas.microsoft.com/office/drawing/2014/main" id="{00000000-0008-0000-0000-000036000000}"/>
              </a:ext>
            </a:extLst>
          </xdr:cNvPr>
          <xdr:cNvSpPr txBox="1"/>
        </xdr:nvSpPr>
        <xdr:spPr>
          <a:xfrm>
            <a:off x="7521464" y="7472421"/>
            <a:ext cx="1013098" cy="175433"/>
          </a:xfrm>
          <a:prstGeom prst="rect">
            <a:avLst/>
          </a:prstGeom>
          <a:solidFill>
            <a:srgbClr val="FF7C80"/>
          </a:solidFill>
        </xdr:spPr>
        <xdr:txBody>
          <a:bodyPr wrap="square" lIns="0" tIns="18288" rIns="0" bIns="18288" rtlCol="0">
            <a:spAutoFit/>
          </a:bodyPr>
          <a:lstStyle>
            <a:defPPr>
              <a:defRPr lang="en-US"/>
            </a:defPPr>
            <a:lvl1pPr marL="0" algn="l" defTabSz="914400" rtl="0" eaLnBrk="1" latinLnBrk="0" hangingPunct="1">
              <a:defRPr sz="1800" kern="1200">
                <a:solidFill>
                  <a:srgbClr val="000000"/>
                </a:solidFill>
                <a:latin typeface="Calibri"/>
                <a:ea typeface=""/>
                <a:cs typeface=""/>
              </a:defRPr>
            </a:lvl1pPr>
            <a:lvl2pPr marL="457200" algn="l" defTabSz="914400" rtl="0" eaLnBrk="1" latinLnBrk="0" hangingPunct="1">
              <a:defRPr sz="1800" kern="1200">
                <a:solidFill>
                  <a:srgbClr val="000000"/>
                </a:solidFill>
                <a:latin typeface="Calibri"/>
                <a:ea typeface=""/>
                <a:cs typeface=""/>
              </a:defRPr>
            </a:lvl2pPr>
            <a:lvl3pPr marL="914400" algn="l" defTabSz="914400" rtl="0" eaLnBrk="1" latinLnBrk="0" hangingPunct="1">
              <a:defRPr sz="1800" kern="1200">
                <a:solidFill>
                  <a:srgbClr val="000000"/>
                </a:solidFill>
                <a:latin typeface="Calibri"/>
                <a:ea typeface=""/>
                <a:cs typeface=""/>
              </a:defRPr>
            </a:lvl3pPr>
            <a:lvl4pPr marL="1371600" algn="l" defTabSz="914400" rtl="0" eaLnBrk="1" latinLnBrk="0" hangingPunct="1">
              <a:defRPr sz="1800" kern="1200">
                <a:solidFill>
                  <a:srgbClr val="000000"/>
                </a:solidFill>
                <a:latin typeface="Calibri"/>
                <a:ea typeface=""/>
                <a:cs typeface=""/>
              </a:defRPr>
            </a:lvl4pPr>
            <a:lvl5pPr marL="1828800" algn="l" defTabSz="914400" rtl="0" eaLnBrk="1" latinLnBrk="0" hangingPunct="1">
              <a:defRPr sz="1800" kern="1200">
                <a:solidFill>
                  <a:srgbClr val="000000"/>
                </a:solidFill>
                <a:latin typeface="Calibri"/>
                <a:ea typeface=""/>
                <a:cs typeface=""/>
              </a:defRPr>
            </a:lvl5pPr>
            <a:lvl6pPr marL="2286000" algn="l" defTabSz="914400" rtl="0" eaLnBrk="1" latinLnBrk="0" hangingPunct="1">
              <a:defRPr sz="1800" kern="1200">
                <a:solidFill>
                  <a:srgbClr val="000000"/>
                </a:solidFill>
                <a:latin typeface="Calibri"/>
                <a:ea typeface=""/>
                <a:cs typeface=""/>
              </a:defRPr>
            </a:lvl6pPr>
            <a:lvl7pPr marL="2743200" algn="l" defTabSz="914400" rtl="0" eaLnBrk="1" latinLnBrk="0" hangingPunct="1">
              <a:defRPr sz="1800" kern="1200">
                <a:solidFill>
                  <a:srgbClr val="000000"/>
                </a:solidFill>
                <a:latin typeface="Calibri"/>
                <a:ea typeface=""/>
                <a:cs typeface=""/>
              </a:defRPr>
            </a:lvl7pPr>
            <a:lvl8pPr marL="3200400" algn="l" defTabSz="914400" rtl="0" eaLnBrk="1" latinLnBrk="0" hangingPunct="1">
              <a:defRPr sz="1800" kern="1200">
                <a:solidFill>
                  <a:srgbClr val="000000"/>
                </a:solidFill>
                <a:latin typeface="Calibri"/>
                <a:ea typeface=""/>
                <a:cs typeface=""/>
              </a:defRPr>
            </a:lvl8pPr>
            <a:lvl9pPr marL="3657600" algn="l" defTabSz="914400" rtl="0" eaLnBrk="1" latinLnBrk="0" hangingPunct="1">
              <a:defRPr sz="1800" kern="1200">
                <a:solidFill>
                  <a:srgbClr val="000000"/>
                </a:solidFill>
                <a:latin typeface="Calibri"/>
                <a:ea typeface=""/>
                <a:cs typeface=""/>
              </a:defRPr>
            </a:lvl9pPr>
          </a:lstStyle>
          <a:p>
            <a:r>
              <a:rPr lang="en-US" sz="900" b="1">
                <a:latin typeface="Arial" panose="020B0604020202020204" pitchFamily="34" charset="0"/>
                <a:cs typeface="Arial" panose="020B0604020202020204" pitchFamily="34" charset="0"/>
              </a:rPr>
              <a:t> Failing Limit Line </a:t>
            </a:r>
          </a:p>
        </xdr:txBody>
      </xdr:sp>
      <xdr:sp macro="" textlink="">
        <xdr:nvSpPr>
          <xdr:cNvPr id="55" name="TextBox 12">
            <a:extLst>
              <a:ext uri="{FF2B5EF4-FFF2-40B4-BE49-F238E27FC236}">
                <a16:creationId xmlns:a16="http://schemas.microsoft.com/office/drawing/2014/main" id="{00000000-0008-0000-0000-000037000000}"/>
              </a:ext>
            </a:extLst>
          </xdr:cNvPr>
          <xdr:cNvSpPr txBox="1"/>
        </xdr:nvSpPr>
        <xdr:spPr>
          <a:xfrm>
            <a:off x="6285215" y="7120359"/>
            <a:ext cx="567784" cy="261610"/>
          </a:xfrm>
          <a:prstGeom prst="rect">
            <a:avLst/>
          </a:prstGeom>
          <a:noFill/>
        </xdr:spPr>
        <xdr:txBody>
          <a:bodyPr wrap="square" rtlCol="0">
            <a:spAutoFit/>
          </a:bodyPr>
          <a:lstStyle>
            <a:defPPr>
              <a:defRPr lang="en-US"/>
            </a:defPPr>
            <a:lvl1pPr marL="0" algn="l" defTabSz="914400" rtl="0" eaLnBrk="1" latinLnBrk="0" hangingPunct="1">
              <a:defRPr sz="1800" kern="1200">
                <a:solidFill>
                  <a:srgbClr val="000000"/>
                </a:solidFill>
                <a:latin typeface="Calibri"/>
                <a:ea typeface=""/>
                <a:cs typeface=""/>
              </a:defRPr>
            </a:lvl1pPr>
            <a:lvl2pPr marL="457200" algn="l" defTabSz="914400" rtl="0" eaLnBrk="1" latinLnBrk="0" hangingPunct="1">
              <a:defRPr sz="1800" kern="1200">
                <a:solidFill>
                  <a:srgbClr val="000000"/>
                </a:solidFill>
                <a:latin typeface="Calibri"/>
                <a:ea typeface=""/>
                <a:cs typeface=""/>
              </a:defRPr>
            </a:lvl2pPr>
            <a:lvl3pPr marL="914400" algn="l" defTabSz="914400" rtl="0" eaLnBrk="1" latinLnBrk="0" hangingPunct="1">
              <a:defRPr sz="1800" kern="1200">
                <a:solidFill>
                  <a:srgbClr val="000000"/>
                </a:solidFill>
                <a:latin typeface="Calibri"/>
                <a:ea typeface=""/>
                <a:cs typeface=""/>
              </a:defRPr>
            </a:lvl3pPr>
            <a:lvl4pPr marL="1371600" algn="l" defTabSz="914400" rtl="0" eaLnBrk="1" latinLnBrk="0" hangingPunct="1">
              <a:defRPr sz="1800" kern="1200">
                <a:solidFill>
                  <a:srgbClr val="000000"/>
                </a:solidFill>
                <a:latin typeface="Calibri"/>
                <a:ea typeface=""/>
                <a:cs typeface=""/>
              </a:defRPr>
            </a:lvl4pPr>
            <a:lvl5pPr marL="1828800" algn="l" defTabSz="914400" rtl="0" eaLnBrk="1" latinLnBrk="0" hangingPunct="1">
              <a:defRPr sz="1800" kern="1200">
                <a:solidFill>
                  <a:srgbClr val="000000"/>
                </a:solidFill>
                <a:latin typeface="Calibri"/>
                <a:ea typeface=""/>
                <a:cs typeface=""/>
              </a:defRPr>
            </a:lvl5pPr>
            <a:lvl6pPr marL="2286000" algn="l" defTabSz="914400" rtl="0" eaLnBrk="1" latinLnBrk="0" hangingPunct="1">
              <a:defRPr sz="1800" kern="1200">
                <a:solidFill>
                  <a:srgbClr val="000000"/>
                </a:solidFill>
                <a:latin typeface="Calibri"/>
                <a:ea typeface=""/>
                <a:cs typeface=""/>
              </a:defRPr>
            </a:lvl6pPr>
            <a:lvl7pPr marL="2743200" algn="l" defTabSz="914400" rtl="0" eaLnBrk="1" latinLnBrk="0" hangingPunct="1">
              <a:defRPr sz="1800" kern="1200">
                <a:solidFill>
                  <a:srgbClr val="000000"/>
                </a:solidFill>
                <a:latin typeface="Calibri"/>
                <a:ea typeface=""/>
                <a:cs typeface=""/>
              </a:defRPr>
            </a:lvl7pPr>
            <a:lvl8pPr marL="3200400" algn="l" defTabSz="914400" rtl="0" eaLnBrk="1" latinLnBrk="0" hangingPunct="1">
              <a:defRPr sz="1800" kern="1200">
                <a:solidFill>
                  <a:srgbClr val="000000"/>
                </a:solidFill>
                <a:latin typeface="Calibri"/>
                <a:ea typeface=""/>
                <a:cs typeface=""/>
              </a:defRPr>
            </a:lvl8pPr>
            <a:lvl9pPr marL="3657600" algn="l" defTabSz="914400" rtl="0" eaLnBrk="1" latinLnBrk="0" hangingPunct="1">
              <a:defRPr sz="1800" kern="1200">
                <a:solidFill>
                  <a:srgbClr val="000000"/>
                </a:solidFill>
                <a:latin typeface="Calibri"/>
                <a:ea typeface=""/>
                <a:cs typeface=""/>
              </a:defRPr>
            </a:lvl9pPr>
          </a:lstStyle>
          <a:p>
            <a:r>
              <a:rPr lang="en-US" sz="1100" b="1">
                <a:solidFill>
                  <a:srgbClr val="FFFFFF"/>
                </a:solidFill>
                <a:latin typeface="Arial" panose="020B0604020202020204" pitchFamily="34" charset="0"/>
                <a:cs typeface="Arial" panose="020B0604020202020204" pitchFamily="34" charset="0"/>
              </a:rPr>
              <a:t>Pair 1</a:t>
            </a:r>
          </a:p>
        </xdr:txBody>
      </xdr:sp>
      <xdr:sp macro="" textlink="">
        <xdr:nvSpPr>
          <xdr:cNvPr id="56" name="TextBox 13">
            <a:extLst>
              <a:ext uri="{FF2B5EF4-FFF2-40B4-BE49-F238E27FC236}">
                <a16:creationId xmlns:a16="http://schemas.microsoft.com/office/drawing/2014/main" id="{00000000-0008-0000-0000-000038000000}"/>
              </a:ext>
            </a:extLst>
          </xdr:cNvPr>
          <xdr:cNvSpPr txBox="1"/>
        </xdr:nvSpPr>
        <xdr:spPr>
          <a:xfrm>
            <a:off x="6858162" y="7116500"/>
            <a:ext cx="567784" cy="261610"/>
          </a:xfrm>
          <a:prstGeom prst="rect">
            <a:avLst/>
          </a:prstGeom>
          <a:noFill/>
        </xdr:spPr>
        <xdr:txBody>
          <a:bodyPr wrap="square" rtlCol="0">
            <a:spAutoFit/>
          </a:bodyPr>
          <a:lstStyle>
            <a:defPPr>
              <a:defRPr lang="en-US"/>
            </a:defPPr>
            <a:lvl1pPr marL="0" algn="l" defTabSz="914400" rtl="0" eaLnBrk="1" latinLnBrk="0" hangingPunct="1">
              <a:defRPr sz="1800" kern="1200">
                <a:solidFill>
                  <a:srgbClr val="000000"/>
                </a:solidFill>
                <a:latin typeface="Calibri"/>
                <a:ea typeface=""/>
                <a:cs typeface=""/>
              </a:defRPr>
            </a:lvl1pPr>
            <a:lvl2pPr marL="457200" algn="l" defTabSz="914400" rtl="0" eaLnBrk="1" latinLnBrk="0" hangingPunct="1">
              <a:defRPr sz="1800" kern="1200">
                <a:solidFill>
                  <a:srgbClr val="000000"/>
                </a:solidFill>
                <a:latin typeface="Calibri"/>
                <a:ea typeface=""/>
                <a:cs typeface=""/>
              </a:defRPr>
            </a:lvl2pPr>
            <a:lvl3pPr marL="914400" algn="l" defTabSz="914400" rtl="0" eaLnBrk="1" latinLnBrk="0" hangingPunct="1">
              <a:defRPr sz="1800" kern="1200">
                <a:solidFill>
                  <a:srgbClr val="000000"/>
                </a:solidFill>
                <a:latin typeface="Calibri"/>
                <a:ea typeface=""/>
                <a:cs typeface=""/>
              </a:defRPr>
            </a:lvl3pPr>
            <a:lvl4pPr marL="1371600" algn="l" defTabSz="914400" rtl="0" eaLnBrk="1" latinLnBrk="0" hangingPunct="1">
              <a:defRPr sz="1800" kern="1200">
                <a:solidFill>
                  <a:srgbClr val="000000"/>
                </a:solidFill>
                <a:latin typeface="Calibri"/>
                <a:ea typeface=""/>
                <a:cs typeface=""/>
              </a:defRPr>
            </a:lvl4pPr>
            <a:lvl5pPr marL="1828800" algn="l" defTabSz="914400" rtl="0" eaLnBrk="1" latinLnBrk="0" hangingPunct="1">
              <a:defRPr sz="1800" kern="1200">
                <a:solidFill>
                  <a:srgbClr val="000000"/>
                </a:solidFill>
                <a:latin typeface="Calibri"/>
                <a:ea typeface=""/>
                <a:cs typeface=""/>
              </a:defRPr>
            </a:lvl5pPr>
            <a:lvl6pPr marL="2286000" algn="l" defTabSz="914400" rtl="0" eaLnBrk="1" latinLnBrk="0" hangingPunct="1">
              <a:defRPr sz="1800" kern="1200">
                <a:solidFill>
                  <a:srgbClr val="000000"/>
                </a:solidFill>
                <a:latin typeface="Calibri"/>
                <a:ea typeface=""/>
                <a:cs typeface=""/>
              </a:defRPr>
            </a:lvl6pPr>
            <a:lvl7pPr marL="2743200" algn="l" defTabSz="914400" rtl="0" eaLnBrk="1" latinLnBrk="0" hangingPunct="1">
              <a:defRPr sz="1800" kern="1200">
                <a:solidFill>
                  <a:srgbClr val="000000"/>
                </a:solidFill>
                <a:latin typeface="Calibri"/>
                <a:ea typeface=""/>
                <a:cs typeface=""/>
              </a:defRPr>
            </a:lvl7pPr>
            <a:lvl8pPr marL="3200400" algn="l" defTabSz="914400" rtl="0" eaLnBrk="1" latinLnBrk="0" hangingPunct="1">
              <a:defRPr sz="1800" kern="1200">
                <a:solidFill>
                  <a:srgbClr val="000000"/>
                </a:solidFill>
                <a:latin typeface="Calibri"/>
                <a:ea typeface=""/>
                <a:cs typeface=""/>
              </a:defRPr>
            </a:lvl8pPr>
            <a:lvl9pPr marL="3657600" algn="l" defTabSz="914400" rtl="0" eaLnBrk="1" latinLnBrk="0" hangingPunct="1">
              <a:defRPr sz="1800" kern="1200">
                <a:solidFill>
                  <a:srgbClr val="000000"/>
                </a:solidFill>
                <a:latin typeface="Calibri"/>
                <a:ea typeface=""/>
                <a:cs typeface=""/>
              </a:defRPr>
            </a:lvl9pPr>
          </a:lstStyle>
          <a:p>
            <a:r>
              <a:rPr lang="en-US" sz="1100" b="1">
                <a:solidFill>
                  <a:srgbClr val="FFFFFF"/>
                </a:solidFill>
                <a:latin typeface="Arial" panose="020B0604020202020204" pitchFamily="34" charset="0"/>
                <a:cs typeface="Arial" panose="020B0604020202020204" pitchFamily="34" charset="0"/>
              </a:rPr>
              <a:t>Pair 2</a:t>
            </a:r>
          </a:p>
        </xdr:txBody>
      </xdr:sp>
      <xdr:sp macro="" textlink="">
        <xdr:nvSpPr>
          <xdr:cNvPr id="57" name="TextBox 14">
            <a:extLst>
              <a:ext uri="{FF2B5EF4-FFF2-40B4-BE49-F238E27FC236}">
                <a16:creationId xmlns:a16="http://schemas.microsoft.com/office/drawing/2014/main" id="{00000000-0008-0000-0000-000039000000}"/>
              </a:ext>
            </a:extLst>
          </xdr:cNvPr>
          <xdr:cNvSpPr txBox="1"/>
        </xdr:nvSpPr>
        <xdr:spPr>
          <a:xfrm>
            <a:off x="7444953" y="7116500"/>
            <a:ext cx="567784" cy="261610"/>
          </a:xfrm>
          <a:prstGeom prst="rect">
            <a:avLst/>
          </a:prstGeom>
          <a:noFill/>
        </xdr:spPr>
        <xdr:txBody>
          <a:bodyPr wrap="square" rtlCol="0">
            <a:spAutoFit/>
          </a:bodyPr>
          <a:lstStyle>
            <a:defPPr>
              <a:defRPr lang="en-US"/>
            </a:defPPr>
            <a:lvl1pPr marL="0" algn="l" defTabSz="914400" rtl="0" eaLnBrk="1" latinLnBrk="0" hangingPunct="1">
              <a:defRPr sz="1800" kern="1200">
                <a:solidFill>
                  <a:srgbClr val="000000"/>
                </a:solidFill>
                <a:latin typeface="Calibri"/>
                <a:ea typeface=""/>
                <a:cs typeface=""/>
              </a:defRPr>
            </a:lvl1pPr>
            <a:lvl2pPr marL="457200" algn="l" defTabSz="914400" rtl="0" eaLnBrk="1" latinLnBrk="0" hangingPunct="1">
              <a:defRPr sz="1800" kern="1200">
                <a:solidFill>
                  <a:srgbClr val="000000"/>
                </a:solidFill>
                <a:latin typeface="Calibri"/>
                <a:ea typeface=""/>
                <a:cs typeface=""/>
              </a:defRPr>
            </a:lvl2pPr>
            <a:lvl3pPr marL="914400" algn="l" defTabSz="914400" rtl="0" eaLnBrk="1" latinLnBrk="0" hangingPunct="1">
              <a:defRPr sz="1800" kern="1200">
                <a:solidFill>
                  <a:srgbClr val="000000"/>
                </a:solidFill>
                <a:latin typeface="Calibri"/>
                <a:ea typeface=""/>
                <a:cs typeface=""/>
              </a:defRPr>
            </a:lvl3pPr>
            <a:lvl4pPr marL="1371600" algn="l" defTabSz="914400" rtl="0" eaLnBrk="1" latinLnBrk="0" hangingPunct="1">
              <a:defRPr sz="1800" kern="1200">
                <a:solidFill>
                  <a:srgbClr val="000000"/>
                </a:solidFill>
                <a:latin typeface="Calibri"/>
                <a:ea typeface=""/>
                <a:cs typeface=""/>
              </a:defRPr>
            </a:lvl4pPr>
            <a:lvl5pPr marL="1828800" algn="l" defTabSz="914400" rtl="0" eaLnBrk="1" latinLnBrk="0" hangingPunct="1">
              <a:defRPr sz="1800" kern="1200">
                <a:solidFill>
                  <a:srgbClr val="000000"/>
                </a:solidFill>
                <a:latin typeface="Calibri"/>
                <a:ea typeface=""/>
                <a:cs typeface=""/>
              </a:defRPr>
            </a:lvl5pPr>
            <a:lvl6pPr marL="2286000" algn="l" defTabSz="914400" rtl="0" eaLnBrk="1" latinLnBrk="0" hangingPunct="1">
              <a:defRPr sz="1800" kern="1200">
                <a:solidFill>
                  <a:srgbClr val="000000"/>
                </a:solidFill>
                <a:latin typeface="Calibri"/>
                <a:ea typeface=""/>
                <a:cs typeface=""/>
              </a:defRPr>
            </a:lvl6pPr>
            <a:lvl7pPr marL="2743200" algn="l" defTabSz="914400" rtl="0" eaLnBrk="1" latinLnBrk="0" hangingPunct="1">
              <a:defRPr sz="1800" kern="1200">
                <a:solidFill>
                  <a:srgbClr val="000000"/>
                </a:solidFill>
                <a:latin typeface="Calibri"/>
                <a:ea typeface=""/>
                <a:cs typeface=""/>
              </a:defRPr>
            </a:lvl7pPr>
            <a:lvl8pPr marL="3200400" algn="l" defTabSz="914400" rtl="0" eaLnBrk="1" latinLnBrk="0" hangingPunct="1">
              <a:defRPr sz="1800" kern="1200">
                <a:solidFill>
                  <a:srgbClr val="000000"/>
                </a:solidFill>
                <a:latin typeface="Calibri"/>
                <a:ea typeface=""/>
                <a:cs typeface=""/>
              </a:defRPr>
            </a:lvl8pPr>
            <a:lvl9pPr marL="3657600" algn="l" defTabSz="914400" rtl="0" eaLnBrk="1" latinLnBrk="0" hangingPunct="1">
              <a:defRPr sz="1800" kern="1200">
                <a:solidFill>
                  <a:srgbClr val="000000"/>
                </a:solidFill>
                <a:latin typeface="Calibri"/>
                <a:ea typeface=""/>
                <a:cs typeface=""/>
              </a:defRPr>
            </a:lvl9pPr>
          </a:lstStyle>
          <a:p>
            <a:r>
              <a:rPr lang="en-US" sz="1100" b="1">
                <a:solidFill>
                  <a:srgbClr val="FFFFFF"/>
                </a:solidFill>
                <a:latin typeface="Arial" panose="020B0604020202020204" pitchFamily="34" charset="0"/>
                <a:cs typeface="Arial" panose="020B0604020202020204" pitchFamily="34" charset="0"/>
              </a:rPr>
              <a:t>Pair 3</a:t>
            </a:r>
          </a:p>
        </xdr:txBody>
      </xdr:sp>
      <xdr:sp macro="" textlink="">
        <xdr:nvSpPr>
          <xdr:cNvPr id="58" name="TextBox 15">
            <a:extLst>
              <a:ext uri="{FF2B5EF4-FFF2-40B4-BE49-F238E27FC236}">
                <a16:creationId xmlns:a16="http://schemas.microsoft.com/office/drawing/2014/main" id="{00000000-0008-0000-0000-00003A000000}"/>
              </a:ext>
            </a:extLst>
          </xdr:cNvPr>
          <xdr:cNvSpPr txBox="1"/>
        </xdr:nvSpPr>
        <xdr:spPr>
          <a:xfrm>
            <a:off x="8012737" y="7116500"/>
            <a:ext cx="567784" cy="261610"/>
          </a:xfrm>
          <a:prstGeom prst="rect">
            <a:avLst/>
          </a:prstGeom>
          <a:noFill/>
        </xdr:spPr>
        <xdr:txBody>
          <a:bodyPr wrap="square" rtlCol="0">
            <a:spAutoFit/>
          </a:bodyPr>
          <a:lstStyle>
            <a:defPPr>
              <a:defRPr lang="en-US"/>
            </a:defPPr>
            <a:lvl1pPr marL="0" algn="l" defTabSz="914400" rtl="0" eaLnBrk="1" latinLnBrk="0" hangingPunct="1">
              <a:defRPr sz="1800" kern="1200">
                <a:solidFill>
                  <a:srgbClr val="000000"/>
                </a:solidFill>
                <a:latin typeface="Calibri"/>
                <a:ea typeface=""/>
                <a:cs typeface=""/>
              </a:defRPr>
            </a:lvl1pPr>
            <a:lvl2pPr marL="457200" algn="l" defTabSz="914400" rtl="0" eaLnBrk="1" latinLnBrk="0" hangingPunct="1">
              <a:defRPr sz="1800" kern="1200">
                <a:solidFill>
                  <a:srgbClr val="000000"/>
                </a:solidFill>
                <a:latin typeface="Calibri"/>
                <a:ea typeface=""/>
                <a:cs typeface=""/>
              </a:defRPr>
            </a:lvl2pPr>
            <a:lvl3pPr marL="914400" algn="l" defTabSz="914400" rtl="0" eaLnBrk="1" latinLnBrk="0" hangingPunct="1">
              <a:defRPr sz="1800" kern="1200">
                <a:solidFill>
                  <a:srgbClr val="000000"/>
                </a:solidFill>
                <a:latin typeface="Calibri"/>
                <a:ea typeface=""/>
                <a:cs typeface=""/>
              </a:defRPr>
            </a:lvl3pPr>
            <a:lvl4pPr marL="1371600" algn="l" defTabSz="914400" rtl="0" eaLnBrk="1" latinLnBrk="0" hangingPunct="1">
              <a:defRPr sz="1800" kern="1200">
                <a:solidFill>
                  <a:srgbClr val="000000"/>
                </a:solidFill>
                <a:latin typeface="Calibri"/>
                <a:ea typeface=""/>
                <a:cs typeface=""/>
              </a:defRPr>
            </a:lvl4pPr>
            <a:lvl5pPr marL="1828800" algn="l" defTabSz="914400" rtl="0" eaLnBrk="1" latinLnBrk="0" hangingPunct="1">
              <a:defRPr sz="1800" kern="1200">
                <a:solidFill>
                  <a:srgbClr val="000000"/>
                </a:solidFill>
                <a:latin typeface="Calibri"/>
                <a:ea typeface=""/>
                <a:cs typeface=""/>
              </a:defRPr>
            </a:lvl5pPr>
            <a:lvl6pPr marL="2286000" algn="l" defTabSz="914400" rtl="0" eaLnBrk="1" latinLnBrk="0" hangingPunct="1">
              <a:defRPr sz="1800" kern="1200">
                <a:solidFill>
                  <a:srgbClr val="000000"/>
                </a:solidFill>
                <a:latin typeface="Calibri"/>
                <a:ea typeface=""/>
                <a:cs typeface=""/>
              </a:defRPr>
            </a:lvl6pPr>
            <a:lvl7pPr marL="2743200" algn="l" defTabSz="914400" rtl="0" eaLnBrk="1" latinLnBrk="0" hangingPunct="1">
              <a:defRPr sz="1800" kern="1200">
                <a:solidFill>
                  <a:srgbClr val="000000"/>
                </a:solidFill>
                <a:latin typeface="Calibri"/>
                <a:ea typeface=""/>
                <a:cs typeface=""/>
              </a:defRPr>
            </a:lvl7pPr>
            <a:lvl8pPr marL="3200400" algn="l" defTabSz="914400" rtl="0" eaLnBrk="1" latinLnBrk="0" hangingPunct="1">
              <a:defRPr sz="1800" kern="1200">
                <a:solidFill>
                  <a:srgbClr val="000000"/>
                </a:solidFill>
                <a:latin typeface="Calibri"/>
                <a:ea typeface=""/>
                <a:cs typeface=""/>
              </a:defRPr>
            </a:lvl8pPr>
            <a:lvl9pPr marL="3657600" algn="l" defTabSz="914400" rtl="0" eaLnBrk="1" latinLnBrk="0" hangingPunct="1">
              <a:defRPr sz="1800" kern="1200">
                <a:solidFill>
                  <a:srgbClr val="000000"/>
                </a:solidFill>
                <a:latin typeface="Calibri"/>
                <a:ea typeface=""/>
                <a:cs typeface=""/>
              </a:defRPr>
            </a:lvl9pPr>
          </a:lstStyle>
          <a:p>
            <a:r>
              <a:rPr lang="en-US" sz="1100" b="1">
                <a:solidFill>
                  <a:srgbClr val="FFFFFF"/>
                </a:solidFill>
                <a:latin typeface="Arial" panose="020B0604020202020204" pitchFamily="34" charset="0"/>
                <a:cs typeface="Arial" panose="020B0604020202020204" pitchFamily="34" charset="0"/>
              </a:rPr>
              <a:t>Pair 4</a:t>
            </a:r>
          </a:p>
        </xdr:txBody>
      </xdr:sp>
    </xdr:grpSp>
    <xdr:clientData/>
  </xdr:twoCellAnchor>
  <xdr:twoCellAnchor>
    <xdr:from>
      <xdr:col>8</xdr:col>
      <xdr:colOff>101762</xdr:colOff>
      <xdr:row>68</xdr:row>
      <xdr:rowOff>92074</xdr:rowOff>
    </xdr:from>
    <xdr:to>
      <xdr:col>10</xdr:col>
      <xdr:colOff>811033</xdr:colOff>
      <xdr:row>73</xdr:row>
      <xdr:rowOff>0</xdr:rowOff>
    </xdr:to>
    <xdr:grpSp>
      <xdr:nvGrpSpPr>
        <xdr:cNvPr id="59" name="Group 58">
          <a:extLst>
            <a:ext uri="{FF2B5EF4-FFF2-40B4-BE49-F238E27FC236}">
              <a16:creationId xmlns:a16="http://schemas.microsoft.com/office/drawing/2014/main" id="{00000000-0008-0000-0000-00003B000000}"/>
            </a:ext>
          </a:extLst>
        </xdr:cNvPr>
        <xdr:cNvGrpSpPr/>
      </xdr:nvGrpSpPr>
      <xdr:grpSpPr>
        <a:xfrm>
          <a:off x="6286662" y="10417174"/>
          <a:ext cx="2360271" cy="669926"/>
          <a:chOff x="6273962" y="7048499"/>
          <a:chExt cx="2360271" cy="660401"/>
        </a:xfrm>
      </xdr:grpSpPr>
      <xdr:sp macro="" textlink="">
        <xdr:nvSpPr>
          <xdr:cNvPr id="60" name="TextBox 4">
            <a:extLst>
              <a:ext uri="{FF2B5EF4-FFF2-40B4-BE49-F238E27FC236}">
                <a16:creationId xmlns:a16="http://schemas.microsoft.com/office/drawing/2014/main" id="{00000000-0008-0000-0000-00003C000000}"/>
              </a:ext>
            </a:extLst>
          </xdr:cNvPr>
          <xdr:cNvSpPr txBox="1"/>
        </xdr:nvSpPr>
        <xdr:spPr>
          <a:xfrm>
            <a:off x="6273962" y="7048499"/>
            <a:ext cx="2360271" cy="660401"/>
          </a:xfrm>
          <a:prstGeom prst="rect">
            <a:avLst/>
          </a:prstGeom>
          <a:solidFill>
            <a:schemeClr val="accent4">
              <a:lumMod val="20000"/>
              <a:lumOff val="80000"/>
            </a:schemeClr>
          </a:solidFill>
          <a:ln>
            <a:solidFill>
              <a:srgbClr val="595959"/>
            </a:solidFill>
          </a:ln>
        </xdr:spPr>
        <xdr:txBody>
          <a:bodyPr wrap="square" rtlCol="0">
            <a:noAutofit/>
          </a:bodyPr>
          <a:lstStyle>
            <a:defPPr>
              <a:defRPr lang="en-US"/>
            </a:defPPr>
            <a:lvl1pPr marL="0" algn="l" defTabSz="914400" rtl="0" eaLnBrk="1" latinLnBrk="0" hangingPunct="1">
              <a:defRPr sz="1800" kern="1200">
                <a:solidFill>
                  <a:srgbClr val="000000"/>
                </a:solidFill>
                <a:latin typeface="Calibri"/>
                <a:ea typeface=""/>
                <a:cs typeface=""/>
              </a:defRPr>
            </a:lvl1pPr>
            <a:lvl2pPr marL="457200" algn="l" defTabSz="914400" rtl="0" eaLnBrk="1" latinLnBrk="0" hangingPunct="1">
              <a:defRPr sz="1800" kern="1200">
                <a:solidFill>
                  <a:srgbClr val="000000"/>
                </a:solidFill>
                <a:latin typeface="Calibri"/>
                <a:ea typeface=""/>
                <a:cs typeface=""/>
              </a:defRPr>
            </a:lvl2pPr>
            <a:lvl3pPr marL="914400" algn="l" defTabSz="914400" rtl="0" eaLnBrk="1" latinLnBrk="0" hangingPunct="1">
              <a:defRPr sz="1800" kern="1200">
                <a:solidFill>
                  <a:srgbClr val="000000"/>
                </a:solidFill>
                <a:latin typeface="Calibri"/>
                <a:ea typeface=""/>
                <a:cs typeface=""/>
              </a:defRPr>
            </a:lvl3pPr>
            <a:lvl4pPr marL="1371600" algn="l" defTabSz="914400" rtl="0" eaLnBrk="1" latinLnBrk="0" hangingPunct="1">
              <a:defRPr sz="1800" kern="1200">
                <a:solidFill>
                  <a:srgbClr val="000000"/>
                </a:solidFill>
                <a:latin typeface="Calibri"/>
                <a:ea typeface=""/>
                <a:cs typeface=""/>
              </a:defRPr>
            </a:lvl4pPr>
            <a:lvl5pPr marL="1828800" algn="l" defTabSz="914400" rtl="0" eaLnBrk="1" latinLnBrk="0" hangingPunct="1">
              <a:defRPr sz="1800" kern="1200">
                <a:solidFill>
                  <a:srgbClr val="000000"/>
                </a:solidFill>
                <a:latin typeface="Calibri"/>
                <a:ea typeface=""/>
                <a:cs typeface=""/>
              </a:defRPr>
            </a:lvl5pPr>
            <a:lvl6pPr marL="2286000" algn="l" defTabSz="914400" rtl="0" eaLnBrk="1" latinLnBrk="0" hangingPunct="1">
              <a:defRPr sz="1800" kern="1200">
                <a:solidFill>
                  <a:srgbClr val="000000"/>
                </a:solidFill>
                <a:latin typeface="Calibri"/>
                <a:ea typeface=""/>
                <a:cs typeface=""/>
              </a:defRPr>
            </a:lvl6pPr>
            <a:lvl7pPr marL="2743200" algn="l" defTabSz="914400" rtl="0" eaLnBrk="1" latinLnBrk="0" hangingPunct="1">
              <a:defRPr sz="1800" kern="1200">
                <a:solidFill>
                  <a:srgbClr val="000000"/>
                </a:solidFill>
                <a:latin typeface="Calibri"/>
                <a:ea typeface=""/>
                <a:cs typeface=""/>
              </a:defRPr>
            </a:lvl7pPr>
            <a:lvl8pPr marL="3200400" algn="l" defTabSz="914400" rtl="0" eaLnBrk="1" latinLnBrk="0" hangingPunct="1">
              <a:defRPr sz="1800" kern="1200">
                <a:solidFill>
                  <a:srgbClr val="000000"/>
                </a:solidFill>
                <a:latin typeface="Calibri"/>
                <a:ea typeface=""/>
                <a:cs typeface=""/>
              </a:defRPr>
            </a:lvl8pPr>
            <a:lvl9pPr marL="3657600" algn="l" defTabSz="914400" rtl="0" eaLnBrk="1" latinLnBrk="0" hangingPunct="1">
              <a:defRPr sz="1800" kern="1200">
                <a:solidFill>
                  <a:srgbClr val="000000"/>
                </a:solidFill>
                <a:latin typeface="Calibri"/>
                <a:ea typeface=""/>
                <a:cs typeface=""/>
              </a:defRPr>
            </a:lvl9pPr>
          </a:lstStyle>
          <a:p>
            <a:endParaRPr lang="en-US"/>
          </a:p>
        </xdr:txBody>
      </xdr:sp>
      <xdr:sp macro="" textlink="">
        <xdr:nvSpPr>
          <xdr:cNvPr id="61" name="Rectangle 60">
            <a:extLst>
              <a:ext uri="{FF2B5EF4-FFF2-40B4-BE49-F238E27FC236}">
                <a16:creationId xmlns:a16="http://schemas.microsoft.com/office/drawing/2014/main" id="{00000000-0008-0000-0000-00003D000000}"/>
              </a:ext>
            </a:extLst>
          </xdr:cNvPr>
          <xdr:cNvSpPr/>
        </xdr:nvSpPr>
        <xdr:spPr>
          <a:xfrm>
            <a:off x="6318011" y="7137721"/>
            <a:ext cx="520860" cy="231494"/>
          </a:xfrm>
          <a:prstGeom prst="rect">
            <a:avLst/>
          </a:prstGeom>
          <a:solidFill>
            <a:srgbClr val="0000CC"/>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FFFFFF"/>
                </a:solidFill>
                <a:latin typeface="Calibri"/>
                <a:ea typeface=""/>
                <a:cs typeface=""/>
              </a:defRPr>
            </a:lvl1pPr>
            <a:lvl2pPr marL="457200" algn="l" defTabSz="914400" rtl="0" eaLnBrk="1" latinLnBrk="0" hangingPunct="1">
              <a:defRPr sz="1800" kern="1200">
                <a:solidFill>
                  <a:srgbClr val="FFFFFF"/>
                </a:solidFill>
                <a:latin typeface="Calibri"/>
                <a:ea typeface=""/>
                <a:cs typeface=""/>
              </a:defRPr>
            </a:lvl2pPr>
            <a:lvl3pPr marL="914400" algn="l" defTabSz="914400" rtl="0" eaLnBrk="1" latinLnBrk="0" hangingPunct="1">
              <a:defRPr sz="1800" kern="1200">
                <a:solidFill>
                  <a:srgbClr val="FFFFFF"/>
                </a:solidFill>
                <a:latin typeface="Calibri"/>
                <a:ea typeface=""/>
                <a:cs typeface=""/>
              </a:defRPr>
            </a:lvl3pPr>
            <a:lvl4pPr marL="1371600" algn="l" defTabSz="914400" rtl="0" eaLnBrk="1" latinLnBrk="0" hangingPunct="1">
              <a:defRPr sz="1800" kern="1200">
                <a:solidFill>
                  <a:srgbClr val="FFFFFF"/>
                </a:solidFill>
                <a:latin typeface="Calibri"/>
                <a:ea typeface=""/>
                <a:cs typeface=""/>
              </a:defRPr>
            </a:lvl4pPr>
            <a:lvl5pPr marL="1828800" algn="l" defTabSz="914400" rtl="0" eaLnBrk="1" latinLnBrk="0" hangingPunct="1">
              <a:defRPr sz="1800" kern="1200">
                <a:solidFill>
                  <a:srgbClr val="FFFFFF"/>
                </a:solidFill>
                <a:latin typeface="Calibri"/>
                <a:ea typeface=""/>
                <a:cs typeface=""/>
              </a:defRPr>
            </a:lvl5pPr>
            <a:lvl6pPr marL="2286000" algn="l" defTabSz="914400" rtl="0" eaLnBrk="1" latinLnBrk="0" hangingPunct="1">
              <a:defRPr sz="1800" kern="1200">
                <a:solidFill>
                  <a:srgbClr val="FFFFFF"/>
                </a:solidFill>
                <a:latin typeface="Calibri"/>
                <a:ea typeface=""/>
                <a:cs typeface=""/>
              </a:defRPr>
            </a:lvl6pPr>
            <a:lvl7pPr marL="2743200" algn="l" defTabSz="914400" rtl="0" eaLnBrk="1" latinLnBrk="0" hangingPunct="1">
              <a:defRPr sz="1800" kern="1200">
                <a:solidFill>
                  <a:srgbClr val="FFFFFF"/>
                </a:solidFill>
                <a:latin typeface="Calibri"/>
                <a:ea typeface=""/>
                <a:cs typeface=""/>
              </a:defRPr>
            </a:lvl7pPr>
            <a:lvl8pPr marL="3200400" algn="l" defTabSz="914400" rtl="0" eaLnBrk="1" latinLnBrk="0" hangingPunct="1">
              <a:defRPr sz="1800" kern="1200">
                <a:solidFill>
                  <a:srgbClr val="FFFFFF"/>
                </a:solidFill>
                <a:latin typeface="Calibri"/>
                <a:ea typeface=""/>
                <a:cs typeface=""/>
              </a:defRPr>
            </a:lvl8pPr>
            <a:lvl9pPr marL="3657600" algn="l" defTabSz="914400" rtl="0" eaLnBrk="1" latinLnBrk="0" hangingPunct="1">
              <a:defRPr sz="1800" kern="1200">
                <a:solidFill>
                  <a:srgbClr val="FFFFFF"/>
                </a:solidFill>
                <a:latin typeface="Calibri"/>
                <a:ea typeface=""/>
                <a:cs typeface=""/>
              </a:defRPr>
            </a:lvl9pPr>
          </a:lstStyle>
          <a:p>
            <a:pPr algn="ctr"/>
            <a:endParaRPr lang="en-US"/>
          </a:p>
        </xdr:txBody>
      </xdr:sp>
      <xdr:sp macro="" textlink="">
        <xdr:nvSpPr>
          <xdr:cNvPr id="63" name="Rectangle 62">
            <a:extLst>
              <a:ext uri="{FF2B5EF4-FFF2-40B4-BE49-F238E27FC236}">
                <a16:creationId xmlns:a16="http://schemas.microsoft.com/office/drawing/2014/main" id="{00000000-0008-0000-0000-00003F000000}"/>
              </a:ext>
            </a:extLst>
          </xdr:cNvPr>
          <xdr:cNvSpPr/>
        </xdr:nvSpPr>
        <xdr:spPr>
          <a:xfrm>
            <a:off x="6882277" y="7139652"/>
            <a:ext cx="520860" cy="231494"/>
          </a:xfrm>
          <a:prstGeom prst="rect">
            <a:avLst/>
          </a:prstGeom>
          <a:solidFill>
            <a:srgbClr val="FF6600"/>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FFFFFF"/>
                </a:solidFill>
                <a:latin typeface="Calibri"/>
                <a:ea typeface=""/>
                <a:cs typeface=""/>
              </a:defRPr>
            </a:lvl1pPr>
            <a:lvl2pPr marL="457200" algn="l" defTabSz="914400" rtl="0" eaLnBrk="1" latinLnBrk="0" hangingPunct="1">
              <a:defRPr sz="1800" kern="1200">
                <a:solidFill>
                  <a:srgbClr val="FFFFFF"/>
                </a:solidFill>
                <a:latin typeface="Calibri"/>
                <a:ea typeface=""/>
                <a:cs typeface=""/>
              </a:defRPr>
            </a:lvl2pPr>
            <a:lvl3pPr marL="914400" algn="l" defTabSz="914400" rtl="0" eaLnBrk="1" latinLnBrk="0" hangingPunct="1">
              <a:defRPr sz="1800" kern="1200">
                <a:solidFill>
                  <a:srgbClr val="FFFFFF"/>
                </a:solidFill>
                <a:latin typeface="Calibri"/>
                <a:ea typeface=""/>
                <a:cs typeface=""/>
              </a:defRPr>
            </a:lvl3pPr>
            <a:lvl4pPr marL="1371600" algn="l" defTabSz="914400" rtl="0" eaLnBrk="1" latinLnBrk="0" hangingPunct="1">
              <a:defRPr sz="1800" kern="1200">
                <a:solidFill>
                  <a:srgbClr val="FFFFFF"/>
                </a:solidFill>
                <a:latin typeface="Calibri"/>
                <a:ea typeface=""/>
                <a:cs typeface=""/>
              </a:defRPr>
            </a:lvl4pPr>
            <a:lvl5pPr marL="1828800" algn="l" defTabSz="914400" rtl="0" eaLnBrk="1" latinLnBrk="0" hangingPunct="1">
              <a:defRPr sz="1800" kern="1200">
                <a:solidFill>
                  <a:srgbClr val="FFFFFF"/>
                </a:solidFill>
                <a:latin typeface="Calibri"/>
                <a:ea typeface=""/>
                <a:cs typeface=""/>
              </a:defRPr>
            </a:lvl5pPr>
            <a:lvl6pPr marL="2286000" algn="l" defTabSz="914400" rtl="0" eaLnBrk="1" latinLnBrk="0" hangingPunct="1">
              <a:defRPr sz="1800" kern="1200">
                <a:solidFill>
                  <a:srgbClr val="FFFFFF"/>
                </a:solidFill>
                <a:latin typeface="Calibri"/>
                <a:ea typeface=""/>
                <a:cs typeface=""/>
              </a:defRPr>
            </a:lvl6pPr>
            <a:lvl7pPr marL="2743200" algn="l" defTabSz="914400" rtl="0" eaLnBrk="1" latinLnBrk="0" hangingPunct="1">
              <a:defRPr sz="1800" kern="1200">
                <a:solidFill>
                  <a:srgbClr val="FFFFFF"/>
                </a:solidFill>
                <a:latin typeface="Calibri"/>
                <a:ea typeface=""/>
                <a:cs typeface=""/>
              </a:defRPr>
            </a:lvl7pPr>
            <a:lvl8pPr marL="3200400" algn="l" defTabSz="914400" rtl="0" eaLnBrk="1" latinLnBrk="0" hangingPunct="1">
              <a:defRPr sz="1800" kern="1200">
                <a:solidFill>
                  <a:srgbClr val="FFFFFF"/>
                </a:solidFill>
                <a:latin typeface="Calibri"/>
                <a:ea typeface=""/>
                <a:cs typeface=""/>
              </a:defRPr>
            </a:lvl8pPr>
            <a:lvl9pPr marL="3657600" algn="l" defTabSz="914400" rtl="0" eaLnBrk="1" latinLnBrk="0" hangingPunct="1">
              <a:defRPr sz="1800" kern="1200">
                <a:solidFill>
                  <a:srgbClr val="FFFFFF"/>
                </a:solidFill>
                <a:latin typeface="Calibri"/>
                <a:ea typeface=""/>
                <a:cs typeface=""/>
              </a:defRPr>
            </a:lvl9pPr>
          </a:lstStyle>
          <a:p>
            <a:pPr algn="ctr"/>
            <a:endParaRPr lang="en-US"/>
          </a:p>
        </xdr:txBody>
      </xdr:sp>
      <xdr:sp macro="" textlink="">
        <xdr:nvSpPr>
          <xdr:cNvPr id="64" name="Rectangle 63">
            <a:extLst>
              <a:ext uri="{FF2B5EF4-FFF2-40B4-BE49-F238E27FC236}">
                <a16:creationId xmlns:a16="http://schemas.microsoft.com/office/drawing/2014/main" id="{00000000-0008-0000-0000-000040000000}"/>
              </a:ext>
            </a:extLst>
          </xdr:cNvPr>
          <xdr:cNvSpPr/>
        </xdr:nvSpPr>
        <xdr:spPr>
          <a:xfrm>
            <a:off x="7449437" y="7135790"/>
            <a:ext cx="520860" cy="231494"/>
          </a:xfrm>
          <a:prstGeom prst="rect">
            <a:avLst/>
          </a:prstGeom>
          <a:solidFill>
            <a:srgbClr val="006600"/>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FFFFFF"/>
                </a:solidFill>
                <a:latin typeface="Calibri"/>
                <a:ea typeface=""/>
                <a:cs typeface=""/>
              </a:defRPr>
            </a:lvl1pPr>
            <a:lvl2pPr marL="457200" algn="l" defTabSz="914400" rtl="0" eaLnBrk="1" latinLnBrk="0" hangingPunct="1">
              <a:defRPr sz="1800" kern="1200">
                <a:solidFill>
                  <a:srgbClr val="FFFFFF"/>
                </a:solidFill>
                <a:latin typeface="Calibri"/>
                <a:ea typeface=""/>
                <a:cs typeface=""/>
              </a:defRPr>
            </a:lvl2pPr>
            <a:lvl3pPr marL="914400" algn="l" defTabSz="914400" rtl="0" eaLnBrk="1" latinLnBrk="0" hangingPunct="1">
              <a:defRPr sz="1800" kern="1200">
                <a:solidFill>
                  <a:srgbClr val="FFFFFF"/>
                </a:solidFill>
                <a:latin typeface="Calibri"/>
                <a:ea typeface=""/>
                <a:cs typeface=""/>
              </a:defRPr>
            </a:lvl3pPr>
            <a:lvl4pPr marL="1371600" algn="l" defTabSz="914400" rtl="0" eaLnBrk="1" latinLnBrk="0" hangingPunct="1">
              <a:defRPr sz="1800" kern="1200">
                <a:solidFill>
                  <a:srgbClr val="FFFFFF"/>
                </a:solidFill>
                <a:latin typeface="Calibri"/>
                <a:ea typeface=""/>
                <a:cs typeface=""/>
              </a:defRPr>
            </a:lvl4pPr>
            <a:lvl5pPr marL="1828800" algn="l" defTabSz="914400" rtl="0" eaLnBrk="1" latinLnBrk="0" hangingPunct="1">
              <a:defRPr sz="1800" kern="1200">
                <a:solidFill>
                  <a:srgbClr val="FFFFFF"/>
                </a:solidFill>
                <a:latin typeface="Calibri"/>
                <a:ea typeface=""/>
                <a:cs typeface=""/>
              </a:defRPr>
            </a:lvl5pPr>
            <a:lvl6pPr marL="2286000" algn="l" defTabSz="914400" rtl="0" eaLnBrk="1" latinLnBrk="0" hangingPunct="1">
              <a:defRPr sz="1800" kern="1200">
                <a:solidFill>
                  <a:srgbClr val="FFFFFF"/>
                </a:solidFill>
                <a:latin typeface="Calibri"/>
                <a:ea typeface=""/>
                <a:cs typeface=""/>
              </a:defRPr>
            </a:lvl6pPr>
            <a:lvl7pPr marL="2743200" algn="l" defTabSz="914400" rtl="0" eaLnBrk="1" latinLnBrk="0" hangingPunct="1">
              <a:defRPr sz="1800" kern="1200">
                <a:solidFill>
                  <a:srgbClr val="FFFFFF"/>
                </a:solidFill>
                <a:latin typeface="Calibri"/>
                <a:ea typeface=""/>
                <a:cs typeface=""/>
              </a:defRPr>
            </a:lvl7pPr>
            <a:lvl8pPr marL="3200400" algn="l" defTabSz="914400" rtl="0" eaLnBrk="1" latinLnBrk="0" hangingPunct="1">
              <a:defRPr sz="1800" kern="1200">
                <a:solidFill>
                  <a:srgbClr val="FFFFFF"/>
                </a:solidFill>
                <a:latin typeface="Calibri"/>
                <a:ea typeface=""/>
                <a:cs typeface=""/>
              </a:defRPr>
            </a:lvl8pPr>
            <a:lvl9pPr marL="3657600" algn="l" defTabSz="914400" rtl="0" eaLnBrk="1" latinLnBrk="0" hangingPunct="1">
              <a:defRPr sz="1800" kern="1200">
                <a:solidFill>
                  <a:srgbClr val="FFFFFF"/>
                </a:solidFill>
                <a:latin typeface="Calibri"/>
                <a:ea typeface=""/>
                <a:cs typeface=""/>
              </a:defRPr>
            </a:lvl9pPr>
          </a:lstStyle>
          <a:p>
            <a:pPr algn="ctr"/>
            <a:endParaRPr lang="en-US"/>
          </a:p>
        </xdr:txBody>
      </xdr:sp>
      <xdr:sp macro="" textlink="">
        <xdr:nvSpPr>
          <xdr:cNvPr id="65" name="Rectangle 64">
            <a:extLst>
              <a:ext uri="{FF2B5EF4-FFF2-40B4-BE49-F238E27FC236}">
                <a16:creationId xmlns:a16="http://schemas.microsoft.com/office/drawing/2014/main" id="{00000000-0008-0000-0000-000041000000}"/>
              </a:ext>
            </a:extLst>
          </xdr:cNvPr>
          <xdr:cNvSpPr/>
        </xdr:nvSpPr>
        <xdr:spPr>
          <a:xfrm>
            <a:off x="8020452" y="7137721"/>
            <a:ext cx="520860" cy="231494"/>
          </a:xfrm>
          <a:prstGeom prst="rect">
            <a:avLst/>
          </a:prstGeom>
          <a:solidFill>
            <a:srgbClr val="663300"/>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FFFFFF"/>
                </a:solidFill>
                <a:latin typeface="Calibri"/>
                <a:ea typeface=""/>
                <a:cs typeface=""/>
              </a:defRPr>
            </a:lvl1pPr>
            <a:lvl2pPr marL="457200" algn="l" defTabSz="914400" rtl="0" eaLnBrk="1" latinLnBrk="0" hangingPunct="1">
              <a:defRPr sz="1800" kern="1200">
                <a:solidFill>
                  <a:srgbClr val="FFFFFF"/>
                </a:solidFill>
                <a:latin typeface="Calibri"/>
                <a:ea typeface=""/>
                <a:cs typeface=""/>
              </a:defRPr>
            </a:lvl2pPr>
            <a:lvl3pPr marL="914400" algn="l" defTabSz="914400" rtl="0" eaLnBrk="1" latinLnBrk="0" hangingPunct="1">
              <a:defRPr sz="1800" kern="1200">
                <a:solidFill>
                  <a:srgbClr val="FFFFFF"/>
                </a:solidFill>
                <a:latin typeface="Calibri"/>
                <a:ea typeface=""/>
                <a:cs typeface=""/>
              </a:defRPr>
            </a:lvl3pPr>
            <a:lvl4pPr marL="1371600" algn="l" defTabSz="914400" rtl="0" eaLnBrk="1" latinLnBrk="0" hangingPunct="1">
              <a:defRPr sz="1800" kern="1200">
                <a:solidFill>
                  <a:srgbClr val="FFFFFF"/>
                </a:solidFill>
                <a:latin typeface="Calibri"/>
                <a:ea typeface=""/>
                <a:cs typeface=""/>
              </a:defRPr>
            </a:lvl4pPr>
            <a:lvl5pPr marL="1828800" algn="l" defTabSz="914400" rtl="0" eaLnBrk="1" latinLnBrk="0" hangingPunct="1">
              <a:defRPr sz="1800" kern="1200">
                <a:solidFill>
                  <a:srgbClr val="FFFFFF"/>
                </a:solidFill>
                <a:latin typeface="Calibri"/>
                <a:ea typeface=""/>
                <a:cs typeface=""/>
              </a:defRPr>
            </a:lvl5pPr>
            <a:lvl6pPr marL="2286000" algn="l" defTabSz="914400" rtl="0" eaLnBrk="1" latinLnBrk="0" hangingPunct="1">
              <a:defRPr sz="1800" kern="1200">
                <a:solidFill>
                  <a:srgbClr val="FFFFFF"/>
                </a:solidFill>
                <a:latin typeface="Calibri"/>
                <a:ea typeface=""/>
                <a:cs typeface=""/>
              </a:defRPr>
            </a:lvl6pPr>
            <a:lvl7pPr marL="2743200" algn="l" defTabSz="914400" rtl="0" eaLnBrk="1" latinLnBrk="0" hangingPunct="1">
              <a:defRPr sz="1800" kern="1200">
                <a:solidFill>
                  <a:srgbClr val="FFFFFF"/>
                </a:solidFill>
                <a:latin typeface="Calibri"/>
                <a:ea typeface=""/>
                <a:cs typeface=""/>
              </a:defRPr>
            </a:lvl7pPr>
            <a:lvl8pPr marL="3200400" algn="l" defTabSz="914400" rtl="0" eaLnBrk="1" latinLnBrk="0" hangingPunct="1">
              <a:defRPr sz="1800" kern="1200">
                <a:solidFill>
                  <a:srgbClr val="FFFFFF"/>
                </a:solidFill>
                <a:latin typeface="Calibri"/>
                <a:ea typeface=""/>
                <a:cs typeface=""/>
              </a:defRPr>
            </a:lvl8pPr>
            <a:lvl9pPr marL="3657600" algn="l" defTabSz="914400" rtl="0" eaLnBrk="1" latinLnBrk="0" hangingPunct="1">
              <a:defRPr sz="1800" kern="1200">
                <a:solidFill>
                  <a:srgbClr val="FFFFFF"/>
                </a:solidFill>
                <a:latin typeface="Calibri"/>
                <a:ea typeface=""/>
                <a:cs typeface=""/>
              </a:defRPr>
            </a:lvl9pPr>
          </a:lstStyle>
          <a:p>
            <a:pPr algn="ctr"/>
            <a:endParaRPr lang="en-US"/>
          </a:p>
        </xdr:txBody>
      </xdr:sp>
      <xdr:sp macro="" textlink="">
        <xdr:nvSpPr>
          <xdr:cNvPr id="66" name="TextBox 10">
            <a:extLst>
              <a:ext uri="{FF2B5EF4-FFF2-40B4-BE49-F238E27FC236}">
                <a16:creationId xmlns:a16="http://schemas.microsoft.com/office/drawing/2014/main" id="{00000000-0008-0000-0000-000042000000}"/>
              </a:ext>
            </a:extLst>
          </xdr:cNvPr>
          <xdr:cNvSpPr txBox="1"/>
        </xdr:nvSpPr>
        <xdr:spPr>
          <a:xfrm>
            <a:off x="6333443" y="7475315"/>
            <a:ext cx="1115690" cy="175433"/>
          </a:xfrm>
          <a:prstGeom prst="rect">
            <a:avLst/>
          </a:prstGeom>
          <a:solidFill>
            <a:srgbClr val="FFCC99"/>
          </a:solidFill>
        </xdr:spPr>
        <xdr:txBody>
          <a:bodyPr wrap="square" lIns="0" tIns="18288" rIns="0" bIns="18288" rtlCol="0">
            <a:spAutoFit/>
          </a:bodyPr>
          <a:lstStyle>
            <a:defPPr>
              <a:defRPr lang="en-US"/>
            </a:defPPr>
            <a:lvl1pPr marL="0" algn="l" defTabSz="914400" rtl="0" eaLnBrk="1" latinLnBrk="0" hangingPunct="1">
              <a:defRPr sz="1800" kern="1200">
                <a:solidFill>
                  <a:srgbClr val="000000"/>
                </a:solidFill>
                <a:latin typeface="Calibri"/>
                <a:ea typeface=""/>
                <a:cs typeface=""/>
              </a:defRPr>
            </a:lvl1pPr>
            <a:lvl2pPr marL="457200" algn="l" defTabSz="914400" rtl="0" eaLnBrk="1" latinLnBrk="0" hangingPunct="1">
              <a:defRPr sz="1800" kern="1200">
                <a:solidFill>
                  <a:srgbClr val="000000"/>
                </a:solidFill>
                <a:latin typeface="Calibri"/>
                <a:ea typeface=""/>
                <a:cs typeface=""/>
              </a:defRPr>
            </a:lvl2pPr>
            <a:lvl3pPr marL="914400" algn="l" defTabSz="914400" rtl="0" eaLnBrk="1" latinLnBrk="0" hangingPunct="1">
              <a:defRPr sz="1800" kern="1200">
                <a:solidFill>
                  <a:srgbClr val="000000"/>
                </a:solidFill>
                <a:latin typeface="Calibri"/>
                <a:ea typeface=""/>
                <a:cs typeface=""/>
              </a:defRPr>
            </a:lvl3pPr>
            <a:lvl4pPr marL="1371600" algn="l" defTabSz="914400" rtl="0" eaLnBrk="1" latinLnBrk="0" hangingPunct="1">
              <a:defRPr sz="1800" kern="1200">
                <a:solidFill>
                  <a:srgbClr val="000000"/>
                </a:solidFill>
                <a:latin typeface="Calibri"/>
                <a:ea typeface=""/>
                <a:cs typeface=""/>
              </a:defRPr>
            </a:lvl4pPr>
            <a:lvl5pPr marL="1828800" algn="l" defTabSz="914400" rtl="0" eaLnBrk="1" latinLnBrk="0" hangingPunct="1">
              <a:defRPr sz="1800" kern="1200">
                <a:solidFill>
                  <a:srgbClr val="000000"/>
                </a:solidFill>
                <a:latin typeface="Calibri"/>
                <a:ea typeface=""/>
                <a:cs typeface=""/>
              </a:defRPr>
            </a:lvl5pPr>
            <a:lvl6pPr marL="2286000" algn="l" defTabSz="914400" rtl="0" eaLnBrk="1" latinLnBrk="0" hangingPunct="1">
              <a:defRPr sz="1800" kern="1200">
                <a:solidFill>
                  <a:srgbClr val="000000"/>
                </a:solidFill>
                <a:latin typeface="Calibri"/>
                <a:ea typeface=""/>
                <a:cs typeface=""/>
              </a:defRPr>
            </a:lvl6pPr>
            <a:lvl7pPr marL="2743200" algn="l" defTabSz="914400" rtl="0" eaLnBrk="1" latinLnBrk="0" hangingPunct="1">
              <a:defRPr sz="1800" kern="1200">
                <a:solidFill>
                  <a:srgbClr val="000000"/>
                </a:solidFill>
                <a:latin typeface="Calibri"/>
                <a:ea typeface=""/>
                <a:cs typeface=""/>
              </a:defRPr>
            </a:lvl7pPr>
            <a:lvl8pPr marL="3200400" algn="l" defTabSz="914400" rtl="0" eaLnBrk="1" latinLnBrk="0" hangingPunct="1">
              <a:defRPr sz="1800" kern="1200">
                <a:solidFill>
                  <a:srgbClr val="000000"/>
                </a:solidFill>
                <a:latin typeface="Calibri"/>
                <a:ea typeface=""/>
                <a:cs typeface=""/>
              </a:defRPr>
            </a:lvl8pPr>
            <a:lvl9pPr marL="3657600" algn="l" defTabSz="914400" rtl="0" eaLnBrk="1" latinLnBrk="0" hangingPunct="1">
              <a:defRPr sz="1800" kern="1200">
                <a:solidFill>
                  <a:srgbClr val="000000"/>
                </a:solidFill>
                <a:latin typeface="Calibri"/>
                <a:ea typeface=""/>
                <a:cs typeface=""/>
              </a:defRPr>
            </a:lvl9pPr>
          </a:lstStyle>
          <a:p>
            <a:r>
              <a:rPr lang="en-US" sz="900" b="1">
                <a:latin typeface="Arial" panose="020B0604020202020204" pitchFamily="34" charset="0"/>
                <a:cs typeface="Arial" panose="020B0604020202020204" pitchFamily="34" charset="0"/>
              </a:rPr>
              <a:t> Marginal Limit Line </a:t>
            </a:r>
          </a:p>
        </xdr:txBody>
      </xdr:sp>
      <xdr:sp macro="" textlink="">
        <xdr:nvSpPr>
          <xdr:cNvPr id="67" name="TextBox 11">
            <a:extLst>
              <a:ext uri="{FF2B5EF4-FFF2-40B4-BE49-F238E27FC236}">
                <a16:creationId xmlns:a16="http://schemas.microsoft.com/office/drawing/2014/main" id="{00000000-0008-0000-0000-000043000000}"/>
              </a:ext>
            </a:extLst>
          </xdr:cNvPr>
          <xdr:cNvSpPr txBox="1"/>
        </xdr:nvSpPr>
        <xdr:spPr>
          <a:xfrm>
            <a:off x="7521464" y="7472421"/>
            <a:ext cx="1013098" cy="175433"/>
          </a:xfrm>
          <a:prstGeom prst="rect">
            <a:avLst/>
          </a:prstGeom>
          <a:solidFill>
            <a:srgbClr val="FF7C80"/>
          </a:solidFill>
        </xdr:spPr>
        <xdr:txBody>
          <a:bodyPr wrap="square" lIns="0" tIns="18288" rIns="0" bIns="18288" rtlCol="0">
            <a:spAutoFit/>
          </a:bodyPr>
          <a:lstStyle>
            <a:defPPr>
              <a:defRPr lang="en-US"/>
            </a:defPPr>
            <a:lvl1pPr marL="0" algn="l" defTabSz="914400" rtl="0" eaLnBrk="1" latinLnBrk="0" hangingPunct="1">
              <a:defRPr sz="1800" kern="1200">
                <a:solidFill>
                  <a:srgbClr val="000000"/>
                </a:solidFill>
                <a:latin typeface="Calibri"/>
                <a:ea typeface=""/>
                <a:cs typeface=""/>
              </a:defRPr>
            </a:lvl1pPr>
            <a:lvl2pPr marL="457200" algn="l" defTabSz="914400" rtl="0" eaLnBrk="1" latinLnBrk="0" hangingPunct="1">
              <a:defRPr sz="1800" kern="1200">
                <a:solidFill>
                  <a:srgbClr val="000000"/>
                </a:solidFill>
                <a:latin typeface="Calibri"/>
                <a:ea typeface=""/>
                <a:cs typeface=""/>
              </a:defRPr>
            </a:lvl2pPr>
            <a:lvl3pPr marL="914400" algn="l" defTabSz="914400" rtl="0" eaLnBrk="1" latinLnBrk="0" hangingPunct="1">
              <a:defRPr sz="1800" kern="1200">
                <a:solidFill>
                  <a:srgbClr val="000000"/>
                </a:solidFill>
                <a:latin typeface="Calibri"/>
                <a:ea typeface=""/>
                <a:cs typeface=""/>
              </a:defRPr>
            </a:lvl3pPr>
            <a:lvl4pPr marL="1371600" algn="l" defTabSz="914400" rtl="0" eaLnBrk="1" latinLnBrk="0" hangingPunct="1">
              <a:defRPr sz="1800" kern="1200">
                <a:solidFill>
                  <a:srgbClr val="000000"/>
                </a:solidFill>
                <a:latin typeface="Calibri"/>
                <a:ea typeface=""/>
                <a:cs typeface=""/>
              </a:defRPr>
            </a:lvl4pPr>
            <a:lvl5pPr marL="1828800" algn="l" defTabSz="914400" rtl="0" eaLnBrk="1" latinLnBrk="0" hangingPunct="1">
              <a:defRPr sz="1800" kern="1200">
                <a:solidFill>
                  <a:srgbClr val="000000"/>
                </a:solidFill>
                <a:latin typeface="Calibri"/>
                <a:ea typeface=""/>
                <a:cs typeface=""/>
              </a:defRPr>
            </a:lvl5pPr>
            <a:lvl6pPr marL="2286000" algn="l" defTabSz="914400" rtl="0" eaLnBrk="1" latinLnBrk="0" hangingPunct="1">
              <a:defRPr sz="1800" kern="1200">
                <a:solidFill>
                  <a:srgbClr val="000000"/>
                </a:solidFill>
                <a:latin typeface="Calibri"/>
                <a:ea typeface=""/>
                <a:cs typeface=""/>
              </a:defRPr>
            </a:lvl6pPr>
            <a:lvl7pPr marL="2743200" algn="l" defTabSz="914400" rtl="0" eaLnBrk="1" latinLnBrk="0" hangingPunct="1">
              <a:defRPr sz="1800" kern="1200">
                <a:solidFill>
                  <a:srgbClr val="000000"/>
                </a:solidFill>
                <a:latin typeface="Calibri"/>
                <a:ea typeface=""/>
                <a:cs typeface=""/>
              </a:defRPr>
            </a:lvl7pPr>
            <a:lvl8pPr marL="3200400" algn="l" defTabSz="914400" rtl="0" eaLnBrk="1" latinLnBrk="0" hangingPunct="1">
              <a:defRPr sz="1800" kern="1200">
                <a:solidFill>
                  <a:srgbClr val="000000"/>
                </a:solidFill>
                <a:latin typeface="Calibri"/>
                <a:ea typeface=""/>
                <a:cs typeface=""/>
              </a:defRPr>
            </a:lvl8pPr>
            <a:lvl9pPr marL="3657600" algn="l" defTabSz="914400" rtl="0" eaLnBrk="1" latinLnBrk="0" hangingPunct="1">
              <a:defRPr sz="1800" kern="1200">
                <a:solidFill>
                  <a:srgbClr val="000000"/>
                </a:solidFill>
                <a:latin typeface="Calibri"/>
                <a:ea typeface=""/>
                <a:cs typeface=""/>
              </a:defRPr>
            </a:lvl9pPr>
          </a:lstStyle>
          <a:p>
            <a:r>
              <a:rPr lang="en-US" sz="900" b="1">
                <a:latin typeface="Arial" panose="020B0604020202020204" pitchFamily="34" charset="0"/>
                <a:cs typeface="Arial" panose="020B0604020202020204" pitchFamily="34" charset="0"/>
              </a:rPr>
              <a:t> Failing Limit Line </a:t>
            </a:r>
          </a:p>
        </xdr:txBody>
      </xdr:sp>
      <xdr:sp macro="" textlink="">
        <xdr:nvSpPr>
          <xdr:cNvPr id="68" name="TextBox 12">
            <a:extLst>
              <a:ext uri="{FF2B5EF4-FFF2-40B4-BE49-F238E27FC236}">
                <a16:creationId xmlns:a16="http://schemas.microsoft.com/office/drawing/2014/main" id="{00000000-0008-0000-0000-000044000000}"/>
              </a:ext>
            </a:extLst>
          </xdr:cNvPr>
          <xdr:cNvSpPr txBox="1"/>
        </xdr:nvSpPr>
        <xdr:spPr>
          <a:xfrm>
            <a:off x="6285215" y="7120359"/>
            <a:ext cx="567784" cy="261610"/>
          </a:xfrm>
          <a:prstGeom prst="rect">
            <a:avLst/>
          </a:prstGeom>
          <a:noFill/>
        </xdr:spPr>
        <xdr:txBody>
          <a:bodyPr wrap="square" rtlCol="0">
            <a:spAutoFit/>
          </a:bodyPr>
          <a:lstStyle>
            <a:defPPr>
              <a:defRPr lang="en-US"/>
            </a:defPPr>
            <a:lvl1pPr marL="0" algn="l" defTabSz="914400" rtl="0" eaLnBrk="1" latinLnBrk="0" hangingPunct="1">
              <a:defRPr sz="1800" kern="1200">
                <a:solidFill>
                  <a:srgbClr val="000000"/>
                </a:solidFill>
                <a:latin typeface="Calibri"/>
                <a:ea typeface=""/>
                <a:cs typeface=""/>
              </a:defRPr>
            </a:lvl1pPr>
            <a:lvl2pPr marL="457200" algn="l" defTabSz="914400" rtl="0" eaLnBrk="1" latinLnBrk="0" hangingPunct="1">
              <a:defRPr sz="1800" kern="1200">
                <a:solidFill>
                  <a:srgbClr val="000000"/>
                </a:solidFill>
                <a:latin typeface="Calibri"/>
                <a:ea typeface=""/>
                <a:cs typeface=""/>
              </a:defRPr>
            </a:lvl2pPr>
            <a:lvl3pPr marL="914400" algn="l" defTabSz="914400" rtl="0" eaLnBrk="1" latinLnBrk="0" hangingPunct="1">
              <a:defRPr sz="1800" kern="1200">
                <a:solidFill>
                  <a:srgbClr val="000000"/>
                </a:solidFill>
                <a:latin typeface="Calibri"/>
                <a:ea typeface=""/>
                <a:cs typeface=""/>
              </a:defRPr>
            </a:lvl3pPr>
            <a:lvl4pPr marL="1371600" algn="l" defTabSz="914400" rtl="0" eaLnBrk="1" latinLnBrk="0" hangingPunct="1">
              <a:defRPr sz="1800" kern="1200">
                <a:solidFill>
                  <a:srgbClr val="000000"/>
                </a:solidFill>
                <a:latin typeface="Calibri"/>
                <a:ea typeface=""/>
                <a:cs typeface=""/>
              </a:defRPr>
            </a:lvl4pPr>
            <a:lvl5pPr marL="1828800" algn="l" defTabSz="914400" rtl="0" eaLnBrk="1" latinLnBrk="0" hangingPunct="1">
              <a:defRPr sz="1800" kern="1200">
                <a:solidFill>
                  <a:srgbClr val="000000"/>
                </a:solidFill>
                <a:latin typeface="Calibri"/>
                <a:ea typeface=""/>
                <a:cs typeface=""/>
              </a:defRPr>
            </a:lvl5pPr>
            <a:lvl6pPr marL="2286000" algn="l" defTabSz="914400" rtl="0" eaLnBrk="1" latinLnBrk="0" hangingPunct="1">
              <a:defRPr sz="1800" kern="1200">
                <a:solidFill>
                  <a:srgbClr val="000000"/>
                </a:solidFill>
                <a:latin typeface="Calibri"/>
                <a:ea typeface=""/>
                <a:cs typeface=""/>
              </a:defRPr>
            </a:lvl6pPr>
            <a:lvl7pPr marL="2743200" algn="l" defTabSz="914400" rtl="0" eaLnBrk="1" latinLnBrk="0" hangingPunct="1">
              <a:defRPr sz="1800" kern="1200">
                <a:solidFill>
                  <a:srgbClr val="000000"/>
                </a:solidFill>
                <a:latin typeface="Calibri"/>
                <a:ea typeface=""/>
                <a:cs typeface=""/>
              </a:defRPr>
            </a:lvl7pPr>
            <a:lvl8pPr marL="3200400" algn="l" defTabSz="914400" rtl="0" eaLnBrk="1" latinLnBrk="0" hangingPunct="1">
              <a:defRPr sz="1800" kern="1200">
                <a:solidFill>
                  <a:srgbClr val="000000"/>
                </a:solidFill>
                <a:latin typeface="Calibri"/>
                <a:ea typeface=""/>
                <a:cs typeface=""/>
              </a:defRPr>
            </a:lvl8pPr>
            <a:lvl9pPr marL="3657600" algn="l" defTabSz="914400" rtl="0" eaLnBrk="1" latinLnBrk="0" hangingPunct="1">
              <a:defRPr sz="1800" kern="1200">
                <a:solidFill>
                  <a:srgbClr val="000000"/>
                </a:solidFill>
                <a:latin typeface="Calibri"/>
                <a:ea typeface=""/>
                <a:cs typeface=""/>
              </a:defRPr>
            </a:lvl9pPr>
          </a:lstStyle>
          <a:p>
            <a:r>
              <a:rPr lang="en-US" sz="1100" b="1">
                <a:solidFill>
                  <a:srgbClr val="FFFFFF"/>
                </a:solidFill>
                <a:latin typeface="Arial" panose="020B0604020202020204" pitchFamily="34" charset="0"/>
                <a:cs typeface="Arial" panose="020B0604020202020204" pitchFamily="34" charset="0"/>
              </a:rPr>
              <a:t>Pair 1</a:t>
            </a:r>
          </a:p>
        </xdr:txBody>
      </xdr:sp>
      <xdr:sp macro="" textlink="">
        <xdr:nvSpPr>
          <xdr:cNvPr id="69" name="TextBox 13">
            <a:extLst>
              <a:ext uri="{FF2B5EF4-FFF2-40B4-BE49-F238E27FC236}">
                <a16:creationId xmlns:a16="http://schemas.microsoft.com/office/drawing/2014/main" id="{00000000-0008-0000-0000-000045000000}"/>
              </a:ext>
            </a:extLst>
          </xdr:cNvPr>
          <xdr:cNvSpPr txBox="1"/>
        </xdr:nvSpPr>
        <xdr:spPr>
          <a:xfrm>
            <a:off x="6858162" y="7116500"/>
            <a:ext cx="567784" cy="261610"/>
          </a:xfrm>
          <a:prstGeom prst="rect">
            <a:avLst/>
          </a:prstGeom>
          <a:noFill/>
        </xdr:spPr>
        <xdr:txBody>
          <a:bodyPr wrap="square" rtlCol="0">
            <a:spAutoFit/>
          </a:bodyPr>
          <a:lstStyle>
            <a:defPPr>
              <a:defRPr lang="en-US"/>
            </a:defPPr>
            <a:lvl1pPr marL="0" algn="l" defTabSz="914400" rtl="0" eaLnBrk="1" latinLnBrk="0" hangingPunct="1">
              <a:defRPr sz="1800" kern="1200">
                <a:solidFill>
                  <a:srgbClr val="000000"/>
                </a:solidFill>
                <a:latin typeface="Calibri"/>
                <a:ea typeface=""/>
                <a:cs typeface=""/>
              </a:defRPr>
            </a:lvl1pPr>
            <a:lvl2pPr marL="457200" algn="l" defTabSz="914400" rtl="0" eaLnBrk="1" latinLnBrk="0" hangingPunct="1">
              <a:defRPr sz="1800" kern="1200">
                <a:solidFill>
                  <a:srgbClr val="000000"/>
                </a:solidFill>
                <a:latin typeface="Calibri"/>
                <a:ea typeface=""/>
                <a:cs typeface=""/>
              </a:defRPr>
            </a:lvl2pPr>
            <a:lvl3pPr marL="914400" algn="l" defTabSz="914400" rtl="0" eaLnBrk="1" latinLnBrk="0" hangingPunct="1">
              <a:defRPr sz="1800" kern="1200">
                <a:solidFill>
                  <a:srgbClr val="000000"/>
                </a:solidFill>
                <a:latin typeface="Calibri"/>
                <a:ea typeface=""/>
                <a:cs typeface=""/>
              </a:defRPr>
            </a:lvl3pPr>
            <a:lvl4pPr marL="1371600" algn="l" defTabSz="914400" rtl="0" eaLnBrk="1" latinLnBrk="0" hangingPunct="1">
              <a:defRPr sz="1800" kern="1200">
                <a:solidFill>
                  <a:srgbClr val="000000"/>
                </a:solidFill>
                <a:latin typeface="Calibri"/>
                <a:ea typeface=""/>
                <a:cs typeface=""/>
              </a:defRPr>
            </a:lvl4pPr>
            <a:lvl5pPr marL="1828800" algn="l" defTabSz="914400" rtl="0" eaLnBrk="1" latinLnBrk="0" hangingPunct="1">
              <a:defRPr sz="1800" kern="1200">
                <a:solidFill>
                  <a:srgbClr val="000000"/>
                </a:solidFill>
                <a:latin typeface="Calibri"/>
                <a:ea typeface=""/>
                <a:cs typeface=""/>
              </a:defRPr>
            </a:lvl5pPr>
            <a:lvl6pPr marL="2286000" algn="l" defTabSz="914400" rtl="0" eaLnBrk="1" latinLnBrk="0" hangingPunct="1">
              <a:defRPr sz="1800" kern="1200">
                <a:solidFill>
                  <a:srgbClr val="000000"/>
                </a:solidFill>
                <a:latin typeface="Calibri"/>
                <a:ea typeface=""/>
                <a:cs typeface=""/>
              </a:defRPr>
            </a:lvl6pPr>
            <a:lvl7pPr marL="2743200" algn="l" defTabSz="914400" rtl="0" eaLnBrk="1" latinLnBrk="0" hangingPunct="1">
              <a:defRPr sz="1800" kern="1200">
                <a:solidFill>
                  <a:srgbClr val="000000"/>
                </a:solidFill>
                <a:latin typeface="Calibri"/>
                <a:ea typeface=""/>
                <a:cs typeface=""/>
              </a:defRPr>
            </a:lvl7pPr>
            <a:lvl8pPr marL="3200400" algn="l" defTabSz="914400" rtl="0" eaLnBrk="1" latinLnBrk="0" hangingPunct="1">
              <a:defRPr sz="1800" kern="1200">
                <a:solidFill>
                  <a:srgbClr val="000000"/>
                </a:solidFill>
                <a:latin typeface="Calibri"/>
                <a:ea typeface=""/>
                <a:cs typeface=""/>
              </a:defRPr>
            </a:lvl8pPr>
            <a:lvl9pPr marL="3657600" algn="l" defTabSz="914400" rtl="0" eaLnBrk="1" latinLnBrk="0" hangingPunct="1">
              <a:defRPr sz="1800" kern="1200">
                <a:solidFill>
                  <a:srgbClr val="000000"/>
                </a:solidFill>
                <a:latin typeface="Calibri"/>
                <a:ea typeface=""/>
                <a:cs typeface=""/>
              </a:defRPr>
            </a:lvl9pPr>
          </a:lstStyle>
          <a:p>
            <a:r>
              <a:rPr lang="en-US" sz="1100" b="1">
                <a:solidFill>
                  <a:srgbClr val="FFFFFF"/>
                </a:solidFill>
                <a:latin typeface="Arial" panose="020B0604020202020204" pitchFamily="34" charset="0"/>
                <a:cs typeface="Arial" panose="020B0604020202020204" pitchFamily="34" charset="0"/>
              </a:rPr>
              <a:t>Pair 2</a:t>
            </a:r>
          </a:p>
        </xdr:txBody>
      </xdr:sp>
      <xdr:sp macro="" textlink="">
        <xdr:nvSpPr>
          <xdr:cNvPr id="70" name="TextBox 14">
            <a:extLst>
              <a:ext uri="{FF2B5EF4-FFF2-40B4-BE49-F238E27FC236}">
                <a16:creationId xmlns:a16="http://schemas.microsoft.com/office/drawing/2014/main" id="{00000000-0008-0000-0000-000046000000}"/>
              </a:ext>
            </a:extLst>
          </xdr:cNvPr>
          <xdr:cNvSpPr txBox="1"/>
        </xdr:nvSpPr>
        <xdr:spPr>
          <a:xfrm>
            <a:off x="7444953" y="7116500"/>
            <a:ext cx="567784" cy="261610"/>
          </a:xfrm>
          <a:prstGeom prst="rect">
            <a:avLst/>
          </a:prstGeom>
          <a:noFill/>
        </xdr:spPr>
        <xdr:txBody>
          <a:bodyPr wrap="square" rtlCol="0">
            <a:spAutoFit/>
          </a:bodyPr>
          <a:lstStyle>
            <a:defPPr>
              <a:defRPr lang="en-US"/>
            </a:defPPr>
            <a:lvl1pPr marL="0" algn="l" defTabSz="914400" rtl="0" eaLnBrk="1" latinLnBrk="0" hangingPunct="1">
              <a:defRPr sz="1800" kern="1200">
                <a:solidFill>
                  <a:srgbClr val="000000"/>
                </a:solidFill>
                <a:latin typeface="Calibri"/>
                <a:ea typeface=""/>
                <a:cs typeface=""/>
              </a:defRPr>
            </a:lvl1pPr>
            <a:lvl2pPr marL="457200" algn="l" defTabSz="914400" rtl="0" eaLnBrk="1" latinLnBrk="0" hangingPunct="1">
              <a:defRPr sz="1800" kern="1200">
                <a:solidFill>
                  <a:srgbClr val="000000"/>
                </a:solidFill>
                <a:latin typeface="Calibri"/>
                <a:ea typeface=""/>
                <a:cs typeface=""/>
              </a:defRPr>
            </a:lvl2pPr>
            <a:lvl3pPr marL="914400" algn="l" defTabSz="914400" rtl="0" eaLnBrk="1" latinLnBrk="0" hangingPunct="1">
              <a:defRPr sz="1800" kern="1200">
                <a:solidFill>
                  <a:srgbClr val="000000"/>
                </a:solidFill>
                <a:latin typeface="Calibri"/>
                <a:ea typeface=""/>
                <a:cs typeface=""/>
              </a:defRPr>
            </a:lvl3pPr>
            <a:lvl4pPr marL="1371600" algn="l" defTabSz="914400" rtl="0" eaLnBrk="1" latinLnBrk="0" hangingPunct="1">
              <a:defRPr sz="1800" kern="1200">
                <a:solidFill>
                  <a:srgbClr val="000000"/>
                </a:solidFill>
                <a:latin typeface="Calibri"/>
                <a:ea typeface=""/>
                <a:cs typeface=""/>
              </a:defRPr>
            </a:lvl4pPr>
            <a:lvl5pPr marL="1828800" algn="l" defTabSz="914400" rtl="0" eaLnBrk="1" latinLnBrk="0" hangingPunct="1">
              <a:defRPr sz="1800" kern="1200">
                <a:solidFill>
                  <a:srgbClr val="000000"/>
                </a:solidFill>
                <a:latin typeface="Calibri"/>
                <a:ea typeface=""/>
                <a:cs typeface=""/>
              </a:defRPr>
            </a:lvl5pPr>
            <a:lvl6pPr marL="2286000" algn="l" defTabSz="914400" rtl="0" eaLnBrk="1" latinLnBrk="0" hangingPunct="1">
              <a:defRPr sz="1800" kern="1200">
                <a:solidFill>
                  <a:srgbClr val="000000"/>
                </a:solidFill>
                <a:latin typeface="Calibri"/>
                <a:ea typeface=""/>
                <a:cs typeface=""/>
              </a:defRPr>
            </a:lvl6pPr>
            <a:lvl7pPr marL="2743200" algn="l" defTabSz="914400" rtl="0" eaLnBrk="1" latinLnBrk="0" hangingPunct="1">
              <a:defRPr sz="1800" kern="1200">
                <a:solidFill>
                  <a:srgbClr val="000000"/>
                </a:solidFill>
                <a:latin typeface="Calibri"/>
                <a:ea typeface=""/>
                <a:cs typeface=""/>
              </a:defRPr>
            </a:lvl7pPr>
            <a:lvl8pPr marL="3200400" algn="l" defTabSz="914400" rtl="0" eaLnBrk="1" latinLnBrk="0" hangingPunct="1">
              <a:defRPr sz="1800" kern="1200">
                <a:solidFill>
                  <a:srgbClr val="000000"/>
                </a:solidFill>
                <a:latin typeface="Calibri"/>
                <a:ea typeface=""/>
                <a:cs typeface=""/>
              </a:defRPr>
            </a:lvl8pPr>
            <a:lvl9pPr marL="3657600" algn="l" defTabSz="914400" rtl="0" eaLnBrk="1" latinLnBrk="0" hangingPunct="1">
              <a:defRPr sz="1800" kern="1200">
                <a:solidFill>
                  <a:srgbClr val="000000"/>
                </a:solidFill>
                <a:latin typeface="Calibri"/>
                <a:ea typeface=""/>
                <a:cs typeface=""/>
              </a:defRPr>
            </a:lvl9pPr>
          </a:lstStyle>
          <a:p>
            <a:r>
              <a:rPr lang="en-US" sz="1100" b="1">
                <a:solidFill>
                  <a:srgbClr val="FFFFFF"/>
                </a:solidFill>
                <a:latin typeface="Arial" panose="020B0604020202020204" pitchFamily="34" charset="0"/>
                <a:cs typeface="Arial" panose="020B0604020202020204" pitchFamily="34" charset="0"/>
              </a:rPr>
              <a:t>Pair 3</a:t>
            </a:r>
          </a:p>
        </xdr:txBody>
      </xdr:sp>
      <xdr:sp macro="" textlink="">
        <xdr:nvSpPr>
          <xdr:cNvPr id="71" name="TextBox 15">
            <a:extLst>
              <a:ext uri="{FF2B5EF4-FFF2-40B4-BE49-F238E27FC236}">
                <a16:creationId xmlns:a16="http://schemas.microsoft.com/office/drawing/2014/main" id="{00000000-0008-0000-0000-000047000000}"/>
              </a:ext>
            </a:extLst>
          </xdr:cNvPr>
          <xdr:cNvSpPr txBox="1"/>
        </xdr:nvSpPr>
        <xdr:spPr>
          <a:xfrm>
            <a:off x="8012737" y="7116500"/>
            <a:ext cx="567784" cy="261610"/>
          </a:xfrm>
          <a:prstGeom prst="rect">
            <a:avLst/>
          </a:prstGeom>
          <a:noFill/>
        </xdr:spPr>
        <xdr:txBody>
          <a:bodyPr wrap="square" rtlCol="0">
            <a:spAutoFit/>
          </a:bodyPr>
          <a:lstStyle>
            <a:defPPr>
              <a:defRPr lang="en-US"/>
            </a:defPPr>
            <a:lvl1pPr marL="0" algn="l" defTabSz="914400" rtl="0" eaLnBrk="1" latinLnBrk="0" hangingPunct="1">
              <a:defRPr sz="1800" kern="1200">
                <a:solidFill>
                  <a:srgbClr val="000000"/>
                </a:solidFill>
                <a:latin typeface="Calibri"/>
                <a:ea typeface=""/>
                <a:cs typeface=""/>
              </a:defRPr>
            </a:lvl1pPr>
            <a:lvl2pPr marL="457200" algn="l" defTabSz="914400" rtl="0" eaLnBrk="1" latinLnBrk="0" hangingPunct="1">
              <a:defRPr sz="1800" kern="1200">
                <a:solidFill>
                  <a:srgbClr val="000000"/>
                </a:solidFill>
                <a:latin typeface="Calibri"/>
                <a:ea typeface=""/>
                <a:cs typeface=""/>
              </a:defRPr>
            </a:lvl2pPr>
            <a:lvl3pPr marL="914400" algn="l" defTabSz="914400" rtl="0" eaLnBrk="1" latinLnBrk="0" hangingPunct="1">
              <a:defRPr sz="1800" kern="1200">
                <a:solidFill>
                  <a:srgbClr val="000000"/>
                </a:solidFill>
                <a:latin typeface="Calibri"/>
                <a:ea typeface=""/>
                <a:cs typeface=""/>
              </a:defRPr>
            </a:lvl3pPr>
            <a:lvl4pPr marL="1371600" algn="l" defTabSz="914400" rtl="0" eaLnBrk="1" latinLnBrk="0" hangingPunct="1">
              <a:defRPr sz="1800" kern="1200">
                <a:solidFill>
                  <a:srgbClr val="000000"/>
                </a:solidFill>
                <a:latin typeface="Calibri"/>
                <a:ea typeface=""/>
                <a:cs typeface=""/>
              </a:defRPr>
            </a:lvl4pPr>
            <a:lvl5pPr marL="1828800" algn="l" defTabSz="914400" rtl="0" eaLnBrk="1" latinLnBrk="0" hangingPunct="1">
              <a:defRPr sz="1800" kern="1200">
                <a:solidFill>
                  <a:srgbClr val="000000"/>
                </a:solidFill>
                <a:latin typeface="Calibri"/>
                <a:ea typeface=""/>
                <a:cs typeface=""/>
              </a:defRPr>
            </a:lvl5pPr>
            <a:lvl6pPr marL="2286000" algn="l" defTabSz="914400" rtl="0" eaLnBrk="1" latinLnBrk="0" hangingPunct="1">
              <a:defRPr sz="1800" kern="1200">
                <a:solidFill>
                  <a:srgbClr val="000000"/>
                </a:solidFill>
                <a:latin typeface="Calibri"/>
                <a:ea typeface=""/>
                <a:cs typeface=""/>
              </a:defRPr>
            </a:lvl6pPr>
            <a:lvl7pPr marL="2743200" algn="l" defTabSz="914400" rtl="0" eaLnBrk="1" latinLnBrk="0" hangingPunct="1">
              <a:defRPr sz="1800" kern="1200">
                <a:solidFill>
                  <a:srgbClr val="000000"/>
                </a:solidFill>
                <a:latin typeface="Calibri"/>
                <a:ea typeface=""/>
                <a:cs typeface=""/>
              </a:defRPr>
            </a:lvl7pPr>
            <a:lvl8pPr marL="3200400" algn="l" defTabSz="914400" rtl="0" eaLnBrk="1" latinLnBrk="0" hangingPunct="1">
              <a:defRPr sz="1800" kern="1200">
                <a:solidFill>
                  <a:srgbClr val="000000"/>
                </a:solidFill>
                <a:latin typeface="Calibri"/>
                <a:ea typeface=""/>
                <a:cs typeface=""/>
              </a:defRPr>
            </a:lvl8pPr>
            <a:lvl9pPr marL="3657600" algn="l" defTabSz="914400" rtl="0" eaLnBrk="1" latinLnBrk="0" hangingPunct="1">
              <a:defRPr sz="1800" kern="1200">
                <a:solidFill>
                  <a:srgbClr val="000000"/>
                </a:solidFill>
                <a:latin typeface="Calibri"/>
                <a:ea typeface=""/>
                <a:cs typeface=""/>
              </a:defRPr>
            </a:lvl9pPr>
          </a:lstStyle>
          <a:p>
            <a:r>
              <a:rPr lang="en-US" sz="1100" b="1">
                <a:solidFill>
                  <a:srgbClr val="FFFFFF"/>
                </a:solidFill>
                <a:latin typeface="Arial" panose="020B0604020202020204" pitchFamily="34" charset="0"/>
                <a:cs typeface="Arial" panose="020B0604020202020204" pitchFamily="34" charset="0"/>
              </a:rPr>
              <a:t>Pair 4</a:t>
            </a:r>
          </a:p>
        </xdr:txBody>
      </xdr:sp>
    </xdr:grpSp>
    <xdr:clientData/>
  </xdr:twoCellAnchor>
  <mc:AlternateContent xmlns:mc="http://schemas.openxmlformats.org/markup-compatibility/2006">
    <mc:Choice xmlns:a14="http://schemas.microsoft.com/office/drawing/2010/main" Requires="a14">
      <xdr:twoCellAnchor>
        <xdr:from>
          <xdr:col>0</xdr:col>
          <xdr:colOff>76200</xdr:colOff>
          <xdr:row>22</xdr:row>
          <xdr:rowOff>19050</xdr:rowOff>
        </xdr:from>
        <xdr:to>
          <xdr:col>0</xdr:col>
          <xdr:colOff>276225</xdr:colOff>
          <xdr:row>25</xdr:row>
          <xdr:rowOff>57150</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txBody>
            <a:bodyPr vertOverflow="clip" vert="vert270" wrap="square" lIns="27432" tIns="27432" rIns="27432" bIns="27432" anchor="ctr" upright="1"/>
            <a:lstStyle/>
            <a:p>
              <a:pPr algn="ctr" rtl="0">
                <a:defRPr sz="1000"/>
              </a:pPr>
              <a:r>
                <a:rPr lang="en-US" sz="1100" b="1" i="0" u="none" strike="noStrike" baseline="0">
                  <a:solidFill>
                    <a:srgbClr val="808080"/>
                  </a:solidFill>
                  <a:latin typeface="Arial"/>
                  <a:cs typeface="Arial"/>
                </a:rPr>
                <a:t>Info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85725</xdr:colOff>
          <xdr:row>28</xdr:row>
          <xdr:rowOff>38100</xdr:rowOff>
        </xdr:from>
        <xdr:to>
          <xdr:col>0</xdr:col>
          <xdr:colOff>295275</xdr:colOff>
          <xdr:row>31</xdr:row>
          <xdr:rowOff>76200</xdr:rowOff>
        </xdr:to>
        <xdr:sp macro="" textlink="">
          <xdr:nvSpPr>
            <xdr:cNvPr id="1028" name="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txBody>
            <a:bodyPr vertOverflow="clip" vert="vert270" wrap="square" lIns="27432" tIns="27432" rIns="27432" bIns="27432" anchor="ctr" upright="1"/>
            <a:lstStyle/>
            <a:p>
              <a:pPr algn="ctr" rtl="0">
                <a:defRPr sz="1000"/>
              </a:pPr>
              <a:r>
                <a:rPr lang="en-US" sz="1100" b="1" i="0" u="none" strike="noStrike" baseline="0">
                  <a:solidFill>
                    <a:srgbClr val="808080"/>
                  </a:solidFill>
                  <a:latin typeface="Arial"/>
                  <a:cs typeface="Arial"/>
                </a:rPr>
                <a:t>Info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85725</xdr:colOff>
          <xdr:row>34</xdr:row>
          <xdr:rowOff>57150</xdr:rowOff>
        </xdr:from>
        <xdr:to>
          <xdr:col>0</xdr:col>
          <xdr:colOff>295275</xdr:colOff>
          <xdr:row>37</xdr:row>
          <xdr:rowOff>95250</xdr:rowOff>
        </xdr:to>
        <xdr:sp macro="" textlink="">
          <xdr:nvSpPr>
            <xdr:cNvPr id="1029" name="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txBody>
            <a:bodyPr vertOverflow="clip" vert="vert270" wrap="square" lIns="27432" tIns="27432" rIns="27432" bIns="27432" anchor="ctr" upright="1"/>
            <a:lstStyle/>
            <a:p>
              <a:pPr algn="ctr" rtl="0">
                <a:defRPr sz="1000"/>
              </a:pPr>
              <a:r>
                <a:rPr lang="en-US" sz="1100" b="1" i="0" u="none" strike="noStrike" baseline="0">
                  <a:solidFill>
                    <a:srgbClr val="808080"/>
                  </a:solidFill>
                  <a:latin typeface="Arial"/>
                  <a:cs typeface="Arial"/>
                </a:rPr>
                <a:t>Info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85725</xdr:colOff>
          <xdr:row>55</xdr:row>
          <xdr:rowOff>114300</xdr:rowOff>
        </xdr:from>
        <xdr:to>
          <xdr:col>0</xdr:col>
          <xdr:colOff>295275</xdr:colOff>
          <xdr:row>58</xdr:row>
          <xdr:rowOff>152400</xdr:rowOff>
        </xdr:to>
        <xdr:sp macro="" textlink="">
          <xdr:nvSpPr>
            <xdr:cNvPr id="1030" name="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txBody>
            <a:bodyPr vertOverflow="clip" vert="vert270" wrap="square" lIns="27432" tIns="27432" rIns="27432" bIns="27432" anchor="ctr" upright="1"/>
            <a:lstStyle/>
            <a:p>
              <a:pPr algn="ctr" rtl="0">
                <a:defRPr sz="1000"/>
              </a:pPr>
              <a:r>
                <a:rPr lang="en-US" sz="1100" b="1" i="0" u="none" strike="noStrike" baseline="0">
                  <a:solidFill>
                    <a:srgbClr val="808080"/>
                  </a:solidFill>
                  <a:latin typeface="Arial"/>
                  <a:cs typeface="Arial"/>
                </a:rPr>
                <a:t>Info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85725</xdr:colOff>
          <xdr:row>47</xdr:row>
          <xdr:rowOff>104775</xdr:rowOff>
        </xdr:from>
        <xdr:to>
          <xdr:col>0</xdr:col>
          <xdr:colOff>295275</xdr:colOff>
          <xdr:row>50</xdr:row>
          <xdr:rowOff>152400</xdr:rowOff>
        </xdr:to>
        <xdr:sp macro="" textlink="">
          <xdr:nvSpPr>
            <xdr:cNvPr id="1031" name="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xdr:spPr>
          <xdr:txBody>
            <a:bodyPr vertOverflow="clip" vert="vert270" wrap="square" lIns="27432" tIns="27432" rIns="27432" bIns="27432" anchor="ctr" upright="1"/>
            <a:lstStyle/>
            <a:p>
              <a:pPr algn="ctr" rtl="0">
                <a:defRPr sz="1000"/>
              </a:pPr>
              <a:r>
                <a:rPr lang="en-US" sz="1100" b="1" i="0" u="none" strike="noStrike" baseline="0">
                  <a:solidFill>
                    <a:srgbClr val="808080"/>
                  </a:solidFill>
                  <a:latin typeface="Arial"/>
                  <a:cs typeface="Arial"/>
                </a:rPr>
                <a:t>Info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85725</xdr:colOff>
          <xdr:row>71</xdr:row>
          <xdr:rowOff>0</xdr:rowOff>
        </xdr:from>
        <xdr:to>
          <xdr:col>0</xdr:col>
          <xdr:colOff>295275</xdr:colOff>
          <xdr:row>74</xdr:row>
          <xdr:rowOff>47625</xdr:rowOff>
        </xdr:to>
        <xdr:sp macro="" textlink="">
          <xdr:nvSpPr>
            <xdr:cNvPr id="1032" name="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xdr:spPr>
          <xdr:txBody>
            <a:bodyPr vertOverflow="clip" vert="vert270" wrap="square" lIns="27432" tIns="27432" rIns="27432" bIns="27432" anchor="ctr" upright="1"/>
            <a:lstStyle/>
            <a:p>
              <a:pPr algn="ctr" rtl="0">
                <a:defRPr sz="1000"/>
              </a:pPr>
              <a:r>
                <a:rPr lang="en-US" sz="1100" b="1" i="0" u="none" strike="noStrike" baseline="0">
                  <a:solidFill>
                    <a:srgbClr val="808080"/>
                  </a:solidFill>
                  <a:latin typeface="Arial"/>
                  <a:cs typeface="Arial"/>
                </a:rPr>
                <a:t>Info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85725</xdr:colOff>
          <xdr:row>80</xdr:row>
          <xdr:rowOff>9525</xdr:rowOff>
        </xdr:from>
        <xdr:to>
          <xdr:col>0</xdr:col>
          <xdr:colOff>295275</xdr:colOff>
          <xdr:row>84</xdr:row>
          <xdr:rowOff>0</xdr:rowOff>
        </xdr:to>
        <xdr:sp macro="" textlink="">
          <xdr:nvSpPr>
            <xdr:cNvPr id="1033" name="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xdr:spPr>
          <xdr:txBody>
            <a:bodyPr vertOverflow="clip" vert="vert270" wrap="square" lIns="27432" tIns="27432" rIns="27432" bIns="27432" anchor="ctr" upright="1"/>
            <a:lstStyle/>
            <a:p>
              <a:pPr algn="ctr" rtl="0">
                <a:defRPr sz="1000"/>
              </a:pPr>
              <a:r>
                <a:rPr lang="en-US" sz="1100" b="1" i="0" u="none" strike="noStrike" baseline="0">
                  <a:solidFill>
                    <a:srgbClr val="808080"/>
                  </a:solidFill>
                  <a:latin typeface="Arial"/>
                  <a:cs typeface="Arial"/>
                </a:rPr>
                <a:t>Info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85725</xdr:colOff>
          <xdr:row>90</xdr:row>
          <xdr:rowOff>219075</xdr:rowOff>
        </xdr:from>
        <xdr:to>
          <xdr:col>0</xdr:col>
          <xdr:colOff>295275</xdr:colOff>
          <xdr:row>94</xdr:row>
          <xdr:rowOff>142875</xdr:rowOff>
        </xdr:to>
        <xdr:sp macro="" textlink="">
          <xdr:nvSpPr>
            <xdr:cNvPr id="1035" name="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xdr:spPr>
          <xdr:txBody>
            <a:bodyPr vertOverflow="clip" vert="vert270" wrap="square" lIns="27432" tIns="27432" rIns="27432" bIns="27432" anchor="ctr" upright="1"/>
            <a:lstStyle/>
            <a:p>
              <a:pPr algn="ctr" rtl="0">
                <a:defRPr sz="1000"/>
              </a:pPr>
              <a:r>
                <a:rPr lang="en-US" sz="1100" b="1" i="0" u="none" strike="noStrike" baseline="0">
                  <a:solidFill>
                    <a:srgbClr val="808080"/>
                  </a:solidFill>
                  <a:latin typeface="Arial"/>
                  <a:cs typeface="Arial"/>
                </a:rPr>
                <a:t>Info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17</xdr:col>
          <xdr:colOff>47625</xdr:colOff>
          <xdr:row>107</xdr:row>
          <xdr:rowOff>123825</xdr:rowOff>
        </xdr:from>
        <xdr:to>
          <xdr:col>18</xdr:col>
          <xdr:colOff>0</xdr:colOff>
          <xdr:row>111</xdr:row>
          <xdr:rowOff>0</xdr:rowOff>
        </xdr:to>
        <xdr:sp macro="" textlink="">
          <xdr:nvSpPr>
            <xdr:cNvPr id="1036" name="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xdr:spPr>
          <xdr:txBody>
            <a:bodyPr vertOverflow="clip" vert="vert270" wrap="square" lIns="27432" tIns="27432" rIns="27432" bIns="27432" anchor="ctr" upright="1"/>
            <a:lstStyle/>
            <a:p>
              <a:pPr algn="ctr" rtl="0">
                <a:defRPr sz="1000"/>
              </a:pPr>
              <a:r>
                <a:rPr lang="en-US" sz="1100" b="1" i="0" u="none" strike="noStrike" baseline="0">
                  <a:solidFill>
                    <a:srgbClr val="808080"/>
                  </a:solidFill>
                  <a:latin typeface="Arial"/>
                  <a:cs typeface="Arial"/>
                </a:rPr>
                <a:t>Info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9</xdr:row>
          <xdr:rowOff>47625</xdr:rowOff>
        </xdr:from>
        <xdr:to>
          <xdr:col>0</xdr:col>
          <xdr:colOff>276225</xdr:colOff>
          <xdr:row>13</xdr:row>
          <xdr:rowOff>0</xdr:rowOff>
        </xdr:to>
        <xdr:sp macro="" textlink="">
          <xdr:nvSpPr>
            <xdr:cNvPr id="1037" name="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xdr:spPr>
          <xdr:txBody>
            <a:bodyPr vertOverflow="clip" vert="vert270" wrap="square" lIns="27432" tIns="27432" rIns="27432" bIns="27432" anchor="ctr" upright="1"/>
            <a:lstStyle/>
            <a:p>
              <a:pPr algn="ctr" rtl="0">
                <a:defRPr sz="1000"/>
              </a:pPr>
              <a:r>
                <a:rPr lang="en-US" sz="1100" b="1" i="0" u="none" strike="noStrike" baseline="0">
                  <a:solidFill>
                    <a:srgbClr val="808080"/>
                  </a:solidFill>
                  <a:latin typeface="Arial"/>
                  <a:cs typeface="Arial"/>
                </a:rPr>
                <a:t>Info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447675</xdr:colOff>
          <xdr:row>13</xdr:row>
          <xdr:rowOff>9525</xdr:rowOff>
        </xdr:from>
        <xdr:to>
          <xdr:col>11</xdr:col>
          <xdr:colOff>647700</xdr:colOff>
          <xdr:row>16</xdr:row>
          <xdr:rowOff>38100</xdr:rowOff>
        </xdr:to>
        <xdr:sp macro="" textlink="">
          <xdr:nvSpPr>
            <xdr:cNvPr id="1038" name="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xdr:spPr>
          <xdr:txBody>
            <a:bodyPr vertOverflow="clip" vert="vert270" wrap="square" lIns="27432" tIns="27432" rIns="27432" bIns="27432" anchor="ctr" upright="1"/>
            <a:lstStyle/>
            <a:p>
              <a:pPr algn="ctr" rtl="0">
                <a:defRPr sz="1000"/>
              </a:pPr>
              <a:r>
                <a:rPr lang="en-US" sz="1100" b="1" i="0" u="none" strike="noStrike" baseline="0">
                  <a:solidFill>
                    <a:srgbClr val="808080"/>
                  </a:solidFill>
                  <a:latin typeface="Arial"/>
                  <a:cs typeface="Arial"/>
                </a:rPr>
                <a:t>Info</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9525</xdr:colOff>
      <xdr:row>2</xdr:row>
      <xdr:rowOff>9525</xdr:rowOff>
    </xdr:from>
    <xdr:to>
      <xdr:col>20</xdr:col>
      <xdr:colOff>0</xdr:colOff>
      <xdr:row>61</xdr:row>
      <xdr:rowOff>9525</xdr:rowOff>
    </xdr:to>
    <xdr:sp macro="" textlink="">
      <xdr:nvSpPr>
        <xdr:cNvPr id="529409" name="Rectangle 1">
          <a:extLst>
            <a:ext uri="{FF2B5EF4-FFF2-40B4-BE49-F238E27FC236}">
              <a16:creationId xmlns:a16="http://schemas.microsoft.com/office/drawing/2014/main" id="{00000000-0008-0000-0100-000001140800}"/>
            </a:ext>
          </a:extLst>
        </xdr:cNvPr>
        <xdr:cNvSpPr>
          <a:spLocks noChangeArrowheads="1"/>
        </xdr:cNvSpPr>
      </xdr:nvSpPr>
      <xdr:spPr bwMode="auto">
        <a:xfrm>
          <a:off x="11268075" y="428625"/>
          <a:ext cx="5619750" cy="95535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000" b="0" i="0" u="none" strike="noStrike" baseline="0">
              <a:solidFill>
                <a:srgbClr val="FF9900"/>
              </a:solidFill>
              <a:latin typeface="Arial"/>
              <a:cs typeface="Arial"/>
            </a:rPr>
            <a:t>Sifos Workspace - Do Not Edit</a:t>
          </a:r>
          <a:endParaRPr lang="en-US"/>
        </a:p>
      </xdr:txBody>
    </xdr:sp>
    <xdr:clientData/>
  </xdr:twoCellAnchor>
  <xdr:twoCellAnchor editAs="oneCell">
    <xdr:from>
      <xdr:col>4</xdr:col>
      <xdr:colOff>1057275</xdr:colOff>
      <xdr:row>66</xdr:row>
      <xdr:rowOff>114300</xdr:rowOff>
    </xdr:from>
    <xdr:to>
      <xdr:col>4</xdr:col>
      <xdr:colOff>1133475</xdr:colOff>
      <xdr:row>67</xdr:row>
      <xdr:rowOff>152400</xdr:rowOff>
    </xdr:to>
    <xdr:sp macro="" textlink="">
      <xdr:nvSpPr>
        <xdr:cNvPr id="529524" name="Text Box 10">
          <a:extLst>
            <a:ext uri="{FF2B5EF4-FFF2-40B4-BE49-F238E27FC236}">
              <a16:creationId xmlns:a16="http://schemas.microsoft.com/office/drawing/2014/main" id="{00000000-0008-0000-0100-000074140800}"/>
            </a:ext>
          </a:extLst>
        </xdr:cNvPr>
        <xdr:cNvSpPr txBox="1">
          <a:spLocks noChangeArrowheads="1"/>
        </xdr:cNvSpPr>
      </xdr:nvSpPr>
      <xdr:spPr bwMode="auto">
        <a:xfrm>
          <a:off x="4581525" y="108966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Sifos">
      <a:dk1>
        <a:sysClr val="windowText" lastClr="000000"/>
      </a:dk1>
      <a:lt1>
        <a:sysClr val="window" lastClr="FFFFFF"/>
      </a:lt1>
      <a:dk2>
        <a:srgbClr val="00254B"/>
      </a:dk2>
      <a:lt2>
        <a:srgbClr val="92B7CC"/>
      </a:lt2>
      <a:accent1>
        <a:srgbClr val="0059B2"/>
      </a:accent1>
      <a:accent2>
        <a:srgbClr val="7ABEE4"/>
      </a:accent2>
      <a:accent3>
        <a:srgbClr val="185679"/>
      </a:accent3>
      <a:accent4>
        <a:srgbClr val="595959"/>
      </a:accent4>
      <a:accent5>
        <a:srgbClr val="7A89E3"/>
      </a:accent5>
      <a:accent6>
        <a:srgbClr val="B259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AC214"/>
  <sheetViews>
    <sheetView tabSelected="1" zoomScale="75" zoomScaleNormal="100" workbookViewId="0"/>
  </sheetViews>
  <sheetFormatPr defaultRowHeight="12.75" x14ac:dyDescent="0.2"/>
  <cols>
    <col min="1" max="1" width="5.140625" customWidth="1"/>
    <col min="2" max="2" width="13.42578125" customWidth="1"/>
    <col min="3" max="3" width="11" customWidth="1"/>
    <col min="4" max="5" width="12.140625" customWidth="1"/>
    <col min="6" max="6" width="12.7109375" customWidth="1"/>
    <col min="7" max="7" width="13.7109375" customWidth="1"/>
    <col min="8" max="8" width="12.140625" customWidth="1"/>
    <col min="9" max="9" width="12.42578125" customWidth="1"/>
    <col min="10" max="10" width="12.28515625" customWidth="1"/>
    <col min="11" max="11" width="12.5703125" customWidth="1"/>
    <col min="12" max="12" width="10.85546875" customWidth="1"/>
    <col min="13" max="13" width="16.140625" customWidth="1"/>
    <col min="14" max="17" width="11" customWidth="1"/>
    <col min="18" max="18" width="3.85546875" customWidth="1"/>
    <col min="19" max="19" width="13.28515625" customWidth="1"/>
    <col min="20" max="21" width="11" customWidth="1"/>
    <col min="22" max="22" width="12" customWidth="1"/>
    <col min="23" max="23" width="5.5703125" customWidth="1"/>
  </cols>
  <sheetData>
    <row r="1" spans="1:23" ht="23.25" x14ac:dyDescent="0.35">
      <c r="A1" s="23"/>
      <c r="B1" s="24" t="s">
        <v>323</v>
      </c>
      <c r="C1" s="24"/>
      <c r="D1" s="24"/>
      <c r="E1" s="24"/>
      <c r="F1" s="24"/>
      <c r="G1" s="23"/>
      <c r="H1" s="23"/>
      <c r="I1" s="23"/>
      <c r="J1" s="23"/>
      <c r="K1" s="29" t="s">
        <v>317</v>
      </c>
      <c r="L1" s="23"/>
      <c r="M1" s="25"/>
      <c r="N1" s="23"/>
      <c r="O1" s="23"/>
      <c r="P1" s="26"/>
      <c r="Q1" s="26"/>
      <c r="R1" s="23"/>
      <c r="S1" s="23"/>
      <c r="T1" s="23"/>
      <c r="U1" s="23"/>
      <c r="V1" s="23"/>
      <c r="W1" s="23"/>
    </row>
    <row r="2" spans="1:23" ht="10.5" customHeight="1" x14ac:dyDescent="0.2">
      <c r="A2" s="23"/>
      <c r="B2" s="23"/>
      <c r="C2" s="23"/>
      <c r="D2" s="23"/>
      <c r="E2" s="23"/>
      <c r="F2" s="23"/>
      <c r="G2" s="27"/>
      <c r="H2" s="23"/>
      <c r="I2" s="23"/>
      <c r="J2" s="27"/>
      <c r="K2" s="27"/>
      <c r="L2" s="27"/>
      <c r="M2" s="27"/>
      <c r="N2" s="27"/>
      <c r="O2" s="28"/>
      <c r="P2" s="29" t="s">
        <v>303</v>
      </c>
      <c r="Q2" s="168" t="s">
        <v>353</v>
      </c>
      <c r="R2" s="168"/>
      <c r="S2" s="155" t="s">
        <v>347</v>
      </c>
      <c r="T2" s="156">
        <v>3</v>
      </c>
      <c r="U2" s="23"/>
      <c r="V2" s="23"/>
      <c r="W2" s="23"/>
    </row>
    <row r="3" spans="1:23" ht="14.25" x14ac:dyDescent="0.2">
      <c r="A3" s="23"/>
      <c r="B3" s="170" t="s">
        <v>349</v>
      </c>
      <c r="C3" s="171"/>
      <c r="D3" s="29" t="s">
        <v>93</v>
      </c>
      <c r="E3" s="31" t="s">
        <v>350</v>
      </c>
      <c r="F3" s="29" t="s">
        <v>90</v>
      </c>
      <c r="G3" s="184" t="s">
        <v>351</v>
      </c>
      <c r="H3" s="185"/>
      <c r="I3" s="29" t="s">
        <v>91</v>
      </c>
      <c r="J3" s="154">
        <v>0.46249999999999997</v>
      </c>
      <c r="K3" s="29" t="s">
        <v>92</v>
      </c>
      <c r="L3" s="174" t="s">
        <v>352</v>
      </c>
      <c r="M3" s="175"/>
      <c r="N3" s="175"/>
      <c r="O3" s="30" t="s">
        <v>382</v>
      </c>
      <c r="P3" s="29"/>
      <c r="Q3" s="169" t="s">
        <v>304</v>
      </c>
      <c r="R3" s="169"/>
      <c r="S3" s="169"/>
      <c r="T3" s="169"/>
      <c r="U3" s="169"/>
      <c r="V3" s="23"/>
      <c r="W3" s="23"/>
    </row>
    <row r="4" spans="1:23" ht="5.25" customHeight="1" x14ac:dyDescent="0.2">
      <c r="A4" s="32"/>
      <c r="B4" s="32"/>
      <c r="C4" s="32"/>
      <c r="D4" s="32"/>
      <c r="E4" s="32"/>
      <c r="F4" s="32"/>
      <c r="G4" s="32"/>
      <c r="H4" s="32"/>
      <c r="I4" s="32"/>
      <c r="J4" s="32"/>
      <c r="K4" s="32"/>
      <c r="L4" s="32"/>
      <c r="M4" s="32"/>
      <c r="N4" s="33"/>
      <c r="O4" s="33"/>
      <c r="P4" s="33"/>
      <c r="Q4" s="33"/>
      <c r="R4" s="33"/>
      <c r="S4" s="33"/>
      <c r="T4" s="33"/>
      <c r="U4" s="33"/>
      <c r="V4" s="33"/>
      <c r="W4" s="33"/>
    </row>
    <row r="5" spans="1:23" ht="7.5" customHeight="1" x14ac:dyDescent="0.2">
      <c r="A5" s="37"/>
      <c r="B5" s="37"/>
      <c r="C5" s="37"/>
      <c r="D5" s="37"/>
      <c r="E5" s="37"/>
      <c r="F5" s="37"/>
      <c r="G5" s="37"/>
      <c r="H5" s="37"/>
      <c r="I5" s="37"/>
      <c r="J5" s="37"/>
      <c r="K5" s="37"/>
      <c r="L5" s="37"/>
      <c r="M5" s="37"/>
      <c r="N5" s="37"/>
      <c r="O5" s="37"/>
      <c r="P5" s="37"/>
      <c r="Q5" s="37"/>
      <c r="R5" s="37"/>
      <c r="S5" s="37"/>
      <c r="T5" s="37"/>
      <c r="U5" s="37"/>
      <c r="V5" s="37"/>
      <c r="W5" s="37"/>
    </row>
    <row r="6" spans="1:23" ht="18" x14ac:dyDescent="0.25">
      <c r="A6" s="37"/>
      <c r="B6" s="157" t="s">
        <v>0</v>
      </c>
      <c r="C6" s="157"/>
      <c r="D6" s="157"/>
      <c r="E6" s="37"/>
      <c r="F6" s="37"/>
      <c r="G6" s="37"/>
      <c r="H6" s="37"/>
      <c r="I6" s="37"/>
      <c r="J6" s="37"/>
      <c r="K6" s="37"/>
      <c r="L6" s="37"/>
      <c r="M6" s="37"/>
      <c r="N6" s="37"/>
      <c r="O6" s="37"/>
      <c r="P6" s="37"/>
      <c r="Q6" s="37"/>
      <c r="R6" s="37"/>
      <c r="S6" s="37"/>
      <c r="T6" s="37"/>
      <c r="U6" s="37"/>
      <c r="V6" s="37"/>
      <c r="W6" s="37"/>
    </row>
    <row r="7" spans="1:23" ht="5.25" customHeight="1" x14ac:dyDescent="0.2">
      <c r="A7" s="37"/>
      <c r="B7" s="51"/>
      <c r="C7" s="51"/>
      <c r="D7" s="51"/>
      <c r="E7" s="51"/>
      <c r="F7" s="51"/>
      <c r="G7" s="51"/>
      <c r="H7" s="51"/>
      <c r="I7" s="51"/>
      <c r="J7" s="51"/>
      <c r="K7" s="51"/>
      <c r="L7" s="51"/>
      <c r="M7" s="51"/>
      <c r="N7" s="51"/>
      <c r="O7" s="51"/>
      <c r="P7" s="51"/>
      <c r="Q7" s="51"/>
      <c r="R7" s="51"/>
      <c r="S7" s="51"/>
      <c r="T7" s="51"/>
      <c r="U7" s="51"/>
      <c r="V7" s="51"/>
      <c r="W7" s="37"/>
    </row>
    <row r="8" spans="1:23" ht="6" customHeight="1" x14ac:dyDescent="0.2">
      <c r="A8" s="37"/>
      <c r="B8" s="38"/>
      <c r="C8" s="38"/>
      <c r="D8" s="38"/>
      <c r="E8" s="38"/>
      <c r="F8" s="38"/>
      <c r="G8" s="38"/>
      <c r="H8" s="38"/>
      <c r="I8" s="38"/>
      <c r="J8" s="38"/>
      <c r="K8" s="38"/>
      <c r="L8" s="38"/>
      <c r="M8" s="38"/>
      <c r="N8" s="38"/>
      <c r="O8" s="38"/>
      <c r="P8" s="38"/>
      <c r="Q8" s="38"/>
      <c r="R8" s="38"/>
      <c r="S8" s="38"/>
      <c r="T8" s="38"/>
      <c r="U8" s="38"/>
      <c r="V8" s="38"/>
      <c r="W8" s="38"/>
    </row>
    <row r="9" spans="1:23" x14ac:dyDescent="0.2">
      <c r="A9" s="37"/>
      <c r="B9" s="158" t="s">
        <v>8</v>
      </c>
      <c r="C9" s="158"/>
      <c r="D9" s="37"/>
      <c r="E9" s="37"/>
      <c r="F9" s="37"/>
      <c r="G9" s="37"/>
      <c r="H9" s="37"/>
      <c r="I9" s="37"/>
      <c r="J9" s="37"/>
      <c r="K9" s="37"/>
      <c r="L9" s="37"/>
      <c r="M9" s="186" t="s">
        <v>310</v>
      </c>
      <c r="N9" s="186"/>
      <c r="O9" s="186"/>
      <c r="P9" s="39"/>
      <c r="Q9" s="39"/>
      <c r="R9" s="39"/>
      <c r="S9" s="39"/>
      <c r="T9" s="39"/>
      <c r="U9" s="39"/>
      <c r="V9" s="39"/>
      <c r="W9" s="39"/>
    </row>
    <row r="10" spans="1:23" ht="5.25" customHeight="1" x14ac:dyDescent="0.2">
      <c r="A10" s="37"/>
      <c r="B10" s="37"/>
      <c r="C10" s="37"/>
      <c r="D10" s="37"/>
      <c r="E10" s="37"/>
      <c r="F10" s="37"/>
      <c r="G10" s="37"/>
      <c r="H10" s="37"/>
      <c r="I10" s="37"/>
      <c r="J10" s="37"/>
      <c r="K10" s="37"/>
      <c r="L10" s="37"/>
      <c r="M10" s="37"/>
      <c r="N10" s="37"/>
      <c r="O10" s="37"/>
      <c r="P10" s="37"/>
      <c r="Q10" s="37"/>
      <c r="R10" s="37"/>
      <c r="S10" s="37"/>
      <c r="T10" s="37"/>
      <c r="U10" s="37"/>
      <c r="V10" s="37"/>
      <c r="W10" s="37"/>
    </row>
    <row r="11" spans="1:23" x14ac:dyDescent="0.2">
      <c r="A11" s="37"/>
      <c r="B11" s="53" t="s">
        <v>9</v>
      </c>
      <c r="C11" s="53" t="s">
        <v>10</v>
      </c>
      <c r="D11" s="54" t="s">
        <v>311</v>
      </c>
      <c r="E11" s="53" t="s">
        <v>11</v>
      </c>
      <c r="F11" s="53" t="s">
        <v>1</v>
      </c>
      <c r="G11" s="53" t="s">
        <v>12</v>
      </c>
      <c r="H11" s="53" t="s">
        <v>13</v>
      </c>
      <c r="I11" s="53" t="s">
        <v>14</v>
      </c>
      <c r="J11" s="53" t="s">
        <v>16</v>
      </c>
      <c r="K11" s="53" t="s">
        <v>312</v>
      </c>
      <c r="L11" s="37"/>
      <c r="M11" s="37"/>
      <c r="N11" s="180" t="s">
        <v>6</v>
      </c>
      <c r="O11" s="181"/>
      <c r="P11" s="181"/>
      <c r="Q11" s="182"/>
      <c r="R11" s="37"/>
      <c r="S11" s="180" t="s">
        <v>7</v>
      </c>
      <c r="T11" s="181"/>
      <c r="U11" s="181"/>
      <c r="V11" s="182"/>
      <c r="W11" s="37"/>
    </row>
    <row r="12" spans="1:23" ht="13.5" customHeight="1" x14ac:dyDescent="0.2">
      <c r="A12" s="37"/>
      <c r="B12" s="65" t="s">
        <v>354</v>
      </c>
      <c r="C12" s="65" t="s">
        <v>354</v>
      </c>
      <c r="D12" s="65" t="s">
        <v>355</v>
      </c>
      <c r="E12" s="65" t="s">
        <v>355</v>
      </c>
      <c r="F12" s="65" t="s">
        <v>356</v>
      </c>
      <c r="G12" s="40" t="s">
        <v>356</v>
      </c>
      <c r="H12" s="40" t="s">
        <v>356</v>
      </c>
      <c r="I12" s="65" t="s">
        <v>357</v>
      </c>
      <c r="J12" s="65" t="s">
        <v>358</v>
      </c>
      <c r="K12" s="66" t="s">
        <v>359</v>
      </c>
      <c r="L12" s="37"/>
      <c r="M12" s="37"/>
      <c r="N12" s="176" t="s">
        <v>1</v>
      </c>
      <c r="O12" s="176" t="s">
        <v>2</v>
      </c>
      <c r="P12" s="178" t="s">
        <v>3</v>
      </c>
      <c r="Q12" s="179"/>
      <c r="R12" s="37"/>
      <c r="S12" s="176" t="s">
        <v>1</v>
      </c>
      <c r="T12" s="172" t="s">
        <v>2</v>
      </c>
      <c r="U12" s="183" t="s">
        <v>3</v>
      </c>
      <c r="V12" s="179"/>
      <c r="W12" s="37"/>
    </row>
    <row r="13" spans="1:23" ht="12.75" customHeight="1" x14ac:dyDescent="0.2">
      <c r="A13" s="37"/>
      <c r="B13" s="37"/>
      <c r="C13" s="37"/>
      <c r="D13" s="37"/>
      <c r="E13" s="37"/>
      <c r="F13" s="37"/>
      <c r="G13" s="37"/>
      <c r="H13" s="37"/>
      <c r="I13" s="37"/>
      <c r="J13" s="37"/>
      <c r="K13" s="37"/>
      <c r="L13" s="37"/>
      <c r="M13" s="37"/>
      <c r="N13" s="177"/>
      <c r="O13" s="177"/>
      <c r="P13" s="55" t="s">
        <v>88</v>
      </c>
      <c r="Q13" s="56" t="s">
        <v>89</v>
      </c>
      <c r="R13" s="37"/>
      <c r="S13" s="177"/>
      <c r="T13" s="173"/>
      <c r="U13" s="56" t="s">
        <v>88</v>
      </c>
      <c r="V13" s="56" t="s">
        <v>89</v>
      </c>
      <c r="W13" s="37"/>
    </row>
    <row r="14" spans="1:23" x14ac:dyDescent="0.2">
      <c r="A14" s="37"/>
      <c r="B14" s="37"/>
      <c r="C14" s="37"/>
      <c r="D14" s="53" t="s">
        <v>15</v>
      </c>
      <c r="E14" s="53" t="s">
        <v>17</v>
      </c>
      <c r="F14" s="53" t="s">
        <v>308</v>
      </c>
      <c r="G14" s="53" t="s">
        <v>306</v>
      </c>
      <c r="H14" s="53" t="s">
        <v>309</v>
      </c>
      <c r="I14" s="191" t="s">
        <v>333</v>
      </c>
      <c r="J14" s="192"/>
      <c r="K14" s="53" t="s">
        <v>332</v>
      </c>
      <c r="L14" s="37"/>
      <c r="M14" s="147" t="s">
        <v>4</v>
      </c>
      <c r="N14" s="67" t="s">
        <v>118</v>
      </c>
      <c r="O14" s="67">
        <v>100</v>
      </c>
      <c r="P14" s="143">
        <v>100</v>
      </c>
      <c r="Q14" s="143">
        <v>100</v>
      </c>
      <c r="R14" s="37"/>
      <c r="S14" s="67" t="s">
        <v>118</v>
      </c>
      <c r="T14" s="67">
        <v>100</v>
      </c>
      <c r="U14" s="143">
        <v>100</v>
      </c>
      <c r="V14" s="143">
        <v>100</v>
      </c>
      <c r="W14" s="37"/>
    </row>
    <row r="15" spans="1:23" ht="12.75" customHeight="1" thickBot="1" x14ac:dyDescent="0.25">
      <c r="A15" s="37"/>
      <c r="B15" s="191" t="s">
        <v>307</v>
      </c>
      <c r="C15" s="192"/>
      <c r="D15" s="65" t="s">
        <v>357</v>
      </c>
      <c r="E15" s="66" t="s">
        <v>358</v>
      </c>
      <c r="F15" s="66" t="s">
        <v>360</v>
      </c>
      <c r="G15" s="66" t="s">
        <v>360</v>
      </c>
      <c r="H15" s="66" t="s">
        <v>360</v>
      </c>
      <c r="I15" s="194">
        <v>1.7</v>
      </c>
      <c r="J15" s="195"/>
      <c r="K15" s="142" t="s">
        <v>361</v>
      </c>
      <c r="L15" s="37"/>
      <c r="M15" s="148" t="s">
        <v>5</v>
      </c>
      <c r="N15" s="149" t="s">
        <v>118</v>
      </c>
      <c r="O15" s="149">
        <v>100</v>
      </c>
      <c r="P15" s="150">
        <v>100</v>
      </c>
      <c r="Q15" s="150">
        <v>100</v>
      </c>
      <c r="R15" s="37"/>
      <c r="S15" s="67" t="s">
        <v>118</v>
      </c>
      <c r="T15" s="67">
        <v>100</v>
      </c>
      <c r="U15" s="143">
        <v>100</v>
      </c>
      <c r="V15" s="143">
        <v>100</v>
      </c>
      <c r="W15" s="37"/>
    </row>
    <row r="16" spans="1:23" x14ac:dyDescent="0.2">
      <c r="A16" s="37"/>
      <c r="B16" s="37"/>
      <c r="C16" s="37"/>
      <c r="D16" s="37"/>
      <c r="E16" s="37"/>
      <c r="F16" s="37"/>
      <c r="G16" s="37"/>
      <c r="H16" s="37"/>
      <c r="I16" s="37"/>
      <c r="J16" s="37"/>
      <c r="K16" s="34"/>
      <c r="L16" s="37"/>
      <c r="M16" s="151" t="s">
        <v>334</v>
      </c>
      <c r="N16" s="152" t="s">
        <v>118</v>
      </c>
      <c r="O16" s="152">
        <v>2.1</v>
      </c>
      <c r="P16" s="152">
        <v>1.8</v>
      </c>
      <c r="Q16" s="152">
        <v>2</v>
      </c>
      <c r="R16" s="37"/>
      <c r="S16" s="144" t="s">
        <v>335</v>
      </c>
      <c r="T16" s="37"/>
      <c r="U16" s="37"/>
      <c r="V16" s="37"/>
      <c r="W16" s="37"/>
    </row>
    <row r="17" spans="1:29" ht="6" customHeight="1" x14ac:dyDescent="0.2">
      <c r="A17" s="37"/>
      <c r="B17" s="37"/>
      <c r="C17" s="37"/>
      <c r="D17" s="37"/>
      <c r="E17" s="37"/>
      <c r="F17" s="37"/>
      <c r="G17" s="37"/>
      <c r="H17" s="37"/>
      <c r="I17" s="37"/>
      <c r="J17" s="37"/>
      <c r="K17" s="37"/>
      <c r="L17" s="37"/>
      <c r="M17" s="37"/>
      <c r="N17" s="37"/>
      <c r="O17" s="37"/>
      <c r="P17" s="37"/>
      <c r="Q17" s="37"/>
      <c r="R17" s="37"/>
      <c r="S17" s="37"/>
      <c r="T17" s="37"/>
      <c r="U17" s="37"/>
      <c r="V17" s="37"/>
      <c r="W17" s="37"/>
    </row>
    <row r="18" spans="1:29" ht="18" x14ac:dyDescent="0.25">
      <c r="A18" s="37"/>
      <c r="B18" s="157" t="s">
        <v>145</v>
      </c>
      <c r="C18" s="157"/>
      <c r="D18" s="157"/>
      <c r="E18" s="157"/>
      <c r="F18" s="34"/>
      <c r="G18" s="34"/>
      <c r="H18" s="37"/>
      <c r="I18" s="34"/>
      <c r="J18" s="34"/>
      <c r="K18" s="37"/>
      <c r="L18" s="34"/>
      <c r="M18" s="34"/>
      <c r="N18" s="34"/>
      <c r="O18" s="34"/>
      <c r="P18" s="34"/>
      <c r="Q18" s="34"/>
      <c r="R18" s="34"/>
      <c r="S18" s="34"/>
      <c r="T18" s="34"/>
      <c r="U18" s="34"/>
      <c r="V18" s="34"/>
      <c r="W18" s="37"/>
    </row>
    <row r="19" spans="1:29" ht="4.5" customHeight="1" x14ac:dyDescent="0.2">
      <c r="A19" s="37"/>
      <c r="B19" s="51"/>
      <c r="C19" s="51"/>
      <c r="D19" s="51"/>
      <c r="E19" s="51"/>
      <c r="F19" s="51"/>
      <c r="G19" s="51"/>
      <c r="H19" s="51"/>
      <c r="I19" s="51"/>
      <c r="J19" s="51"/>
      <c r="K19" s="51"/>
      <c r="L19" s="51"/>
      <c r="M19" s="51"/>
      <c r="N19" s="51"/>
      <c r="O19" s="51"/>
      <c r="P19" s="51"/>
      <c r="Q19" s="51"/>
      <c r="R19" s="51"/>
      <c r="S19" s="51"/>
      <c r="T19" s="51"/>
      <c r="U19" s="51"/>
      <c r="V19" s="51"/>
      <c r="W19" s="37"/>
    </row>
    <row r="20" spans="1:29" ht="5.25" customHeight="1" x14ac:dyDescent="0.2">
      <c r="A20" s="37"/>
      <c r="B20" s="34"/>
      <c r="C20" s="34"/>
      <c r="D20" s="34"/>
      <c r="E20" s="34"/>
      <c r="F20" s="34"/>
      <c r="G20" s="34"/>
      <c r="H20" s="34"/>
      <c r="I20" s="34"/>
      <c r="J20" s="34"/>
      <c r="K20" s="34"/>
      <c r="L20" s="34"/>
      <c r="M20" s="34"/>
      <c r="N20" s="34"/>
      <c r="O20" s="34"/>
      <c r="P20" s="34"/>
      <c r="Q20" s="34"/>
      <c r="R20" s="34"/>
      <c r="S20" s="34"/>
      <c r="T20" s="34"/>
      <c r="U20" s="34"/>
      <c r="V20" s="34"/>
      <c r="W20" s="37"/>
    </row>
    <row r="21" spans="1:29" x14ac:dyDescent="0.2">
      <c r="A21" s="37"/>
      <c r="B21" s="158" t="s">
        <v>117</v>
      </c>
      <c r="C21" s="158"/>
      <c r="D21" s="34"/>
      <c r="E21" s="34"/>
      <c r="F21" s="34"/>
      <c r="G21" s="34"/>
      <c r="H21" s="34"/>
      <c r="I21" s="34"/>
      <c r="J21" s="34"/>
      <c r="K21" s="34"/>
      <c r="L21" s="34"/>
      <c r="M21" s="34"/>
      <c r="N21" s="34"/>
      <c r="O21" s="34"/>
      <c r="P21" s="34"/>
      <c r="Q21" s="34"/>
      <c r="R21" s="34"/>
      <c r="S21" s="34"/>
      <c r="T21" s="34"/>
      <c r="U21" s="34"/>
      <c r="V21" s="34"/>
      <c r="W21" s="37"/>
    </row>
    <row r="22" spans="1:29" ht="4.5" customHeight="1" x14ac:dyDescent="0.2">
      <c r="A22" s="37"/>
      <c r="B22" s="34"/>
      <c r="C22" s="34"/>
      <c r="D22" s="34"/>
      <c r="E22" s="34"/>
      <c r="F22" s="34"/>
      <c r="G22" s="34"/>
      <c r="H22" s="34"/>
      <c r="I22" s="34"/>
      <c r="J22" s="34"/>
      <c r="K22" s="34"/>
      <c r="L22" s="34"/>
      <c r="M22" s="34"/>
      <c r="N22" s="34"/>
      <c r="O22" s="34"/>
      <c r="P22" s="34"/>
      <c r="Q22" s="34"/>
      <c r="R22" s="34"/>
      <c r="S22" s="34"/>
      <c r="T22" s="34"/>
      <c r="U22" s="34"/>
      <c r="V22" s="34"/>
      <c r="W22" s="37"/>
    </row>
    <row r="23" spans="1:29" x14ac:dyDescent="0.2">
      <c r="A23" s="37"/>
      <c r="B23" s="53" t="s">
        <v>20</v>
      </c>
      <c r="C23" s="58" t="s">
        <v>21</v>
      </c>
      <c r="D23" s="58" t="s">
        <v>22</v>
      </c>
      <c r="E23" s="58" t="s">
        <v>23</v>
      </c>
      <c r="F23" s="58" t="s">
        <v>24</v>
      </c>
      <c r="G23" s="58" t="s">
        <v>25</v>
      </c>
      <c r="H23" s="34"/>
      <c r="I23" s="34"/>
      <c r="J23" s="34"/>
      <c r="K23" s="34"/>
      <c r="L23" s="34"/>
      <c r="M23" s="34"/>
      <c r="N23" s="34"/>
      <c r="O23" s="34"/>
      <c r="P23" s="34"/>
      <c r="Q23" s="34"/>
      <c r="R23" s="34"/>
      <c r="S23" s="34"/>
      <c r="T23" s="34"/>
      <c r="U23" s="34"/>
      <c r="V23" s="34"/>
      <c r="W23" s="37"/>
    </row>
    <row r="24" spans="1:29" x14ac:dyDescent="0.2">
      <c r="A24" s="37"/>
      <c r="B24" s="57" t="s">
        <v>11</v>
      </c>
      <c r="C24" s="41"/>
      <c r="D24" s="68">
        <v>0</v>
      </c>
      <c r="E24" s="68">
        <v>0.2</v>
      </c>
      <c r="F24" s="41"/>
      <c r="G24" s="3" t="s">
        <v>27</v>
      </c>
      <c r="H24" s="34"/>
      <c r="I24" s="34"/>
      <c r="J24" s="34"/>
      <c r="K24" s="34"/>
      <c r="L24" s="34"/>
      <c r="M24" s="34"/>
      <c r="N24" s="34"/>
      <c r="O24" s="34"/>
      <c r="P24" s="34"/>
      <c r="Q24" s="34"/>
      <c r="R24" s="34"/>
      <c r="S24" s="34"/>
      <c r="T24" s="34"/>
      <c r="U24" s="34"/>
      <c r="V24" s="34"/>
      <c r="W24" s="37"/>
    </row>
    <row r="25" spans="1:29" x14ac:dyDescent="0.2">
      <c r="A25" s="37"/>
      <c r="B25" s="57" t="s">
        <v>3</v>
      </c>
      <c r="C25" s="68">
        <v>-2.6</v>
      </c>
      <c r="D25" s="68">
        <v>-2.8</v>
      </c>
      <c r="E25" s="68">
        <v>-2.6</v>
      </c>
      <c r="F25" s="68">
        <v>-2.5</v>
      </c>
      <c r="G25" s="3" t="s">
        <v>27</v>
      </c>
      <c r="H25" s="34"/>
      <c r="I25" s="36"/>
      <c r="J25" s="34"/>
      <c r="K25" s="34"/>
      <c r="L25" s="34"/>
      <c r="M25" s="34"/>
      <c r="N25" s="34"/>
      <c r="O25" s="34"/>
      <c r="P25" s="34"/>
      <c r="Q25" s="34"/>
      <c r="R25" s="34"/>
      <c r="S25" s="34"/>
      <c r="T25" s="34"/>
      <c r="U25" s="34"/>
      <c r="V25" s="34"/>
      <c r="W25" s="37"/>
    </row>
    <row r="26" spans="1:29" ht="6.75" customHeight="1" x14ac:dyDescent="0.2">
      <c r="A26" s="37"/>
      <c r="B26" s="34"/>
      <c r="C26" s="34"/>
      <c r="D26" s="34"/>
      <c r="E26" s="34"/>
      <c r="F26" s="34"/>
      <c r="G26" s="34"/>
      <c r="H26" s="34"/>
      <c r="I26" s="34"/>
      <c r="J26" s="34"/>
      <c r="K26" s="34"/>
      <c r="L26" s="34"/>
      <c r="M26" s="34"/>
      <c r="N26" s="34"/>
      <c r="O26" s="34"/>
      <c r="P26" s="34"/>
      <c r="Q26" s="34"/>
      <c r="R26" s="34"/>
      <c r="S26" s="34"/>
      <c r="T26" s="34"/>
      <c r="U26" s="34"/>
      <c r="V26" s="34"/>
      <c r="W26" s="37"/>
    </row>
    <row r="27" spans="1:29" x14ac:dyDescent="0.2">
      <c r="A27" s="37"/>
      <c r="B27" s="193" t="s">
        <v>28</v>
      </c>
      <c r="C27" s="193"/>
      <c r="D27" s="35"/>
      <c r="E27" s="34"/>
      <c r="F27" s="34"/>
      <c r="G27" s="34"/>
      <c r="H27" s="34"/>
      <c r="I27" s="34"/>
      <c r="J27" s="34"/>
      <c r="K27" s="34"/>
      <c r="L27" s="34"/>
      <c r="M27" s="34"/>
      <c r="N27" s="34"/>
      <c r="O27" s="34"/>
      <c r="P27" s="34"/>
      <c r="Q27" s="34"/>
      <c r="R27" s="34"/>
      <c r="S27" s="34"/>
      <c r="T27" s="34"/>
      <c r="U27" s="34"/>
      <c r="V27" s="34"/>
      <c r="W27" s="37"/>
      <c r="Y27" s="21" t="s">
        <v>110</v>
      </c>
      <c r="Z27" s="21"/>
      <c r="AA27" s="21"/>
      <c r="AB27" s="21"/>
      <c r="AC27" s="21"/>
    </row>
    <row r="28" spans="1:29" x14ac:dyDescent="0.2">
      <c r="A28" s="37"/>
      <c r="B28" s="34"/>
      <c r="C28" s="34"/>
      <c r="D28" s="34"/>
      <c r="E28" s="34"/>
      <c r="F28" s="34"/>
      <c r="G28" s="34"/>
      <c r="H28" s="34"/>
      <c r="I28" s="34"/>
      <c r="J28" s="34"/>
      <c r="K28" s="34"/>
      <c r="L28" s="34"/>
      <c r="M28" s="34"/>
      <c r="N28" s="34"/>
      <c r="O28" s="34"/>
      <c r="P28" s="34"/>
      <c r="Q28" s="34"/>
      <c r="R28" s="34"/>
      <c r="S28" s="34"/>
      <c r="T28" s="34"/>
      <c r="U28" s="34"/>
      <c r="V28" s="34"/>
      <c r="W28" s="37"/>
      <c r="Y28" s="21">
        <f>MIN(D24,E24,C25:F25)</f>
        <v>-2.8</v>
      </c>
      <c r="Z28" s="21">
        <f>MIN(0,Y28-0.2)</f>
        <v>-3</v>
      </c>
      <c r="AA28" s="21"/>
      <c r="AB28" s="21"/>
      <c r="AC28" s="21"/>
    </row>
    <row r="29" spans="1:29" x14ac:dyDescent="0.2">
      <c r="A29" s="37"/>
      <c r="B29" s="53" t="s">
        <v>20</v>
      </c>
      <c r="C29" s="58" t="s">
        <v>21</v>
      </c>
      <c r="D29" s="58" t="s">
        <v>22</v>
      </c>
      <c r="E29" s="58" t="s">
        <v>23</v>
      </c>
      <c r="F29" s="58" t="s">
        <v>24</v>
      </c>
      <c r="G29" s="58" t="s">
        <v>29</v>
      </c>
      <c r="H29" s="58" t="s">
        <v>30</v>
      </c>
      <c r="I29" s="53" t="s">
        <v>25</v>
      </c>
      <c r="J29" s="34"/>
      <c r="K29" s="34"/>
      <c r="L29" s="34"/>
      <c r="M29" s="34"/>
      <c r="N29" s="34"/>
      <c r="O29" s="34"/>
      <c r="P29" s="34"/>
      <c r="Q29" s="34"/>
      <c r="R29" s="34"/>
      <c r="S29" s="34"/>
      <c r="T29" s="34"/>
      <c r="U29" s="34"/>
      <c r="V29" s="34"/>
      <c r="W29" s="37"/>
      <c r="Y29" s="21">
        <f>MAX(D24,E24,C25:F25)</f>
        <v>0.2</v>
      </c>
      <c r="Z29" s="21">
        <f>MAX(0,Y29+0.2)</f>
        <v>0.4</v>
      </c>
      <c r="AA29" s="21"/>
      <c r="AB29" s="21"/>
      <c r="AC29" s="21"/>
    </row>
    <row r="30" spans="1:29" x14ac:dyDescent="0.2">
      <c r="A30" s="37"/>
      <c r="B30" s="57" t="s">
        <v>11</v>
      </c>
      <c r="C30" s="2"/>
      <c r="D30" s="69">
        <v>36</v>
      </c>
      <c r="E30" s="69">
        <v>36</v>
      </c>
      <c r="F30" s="2"/>
      <c r="G30" s="69">
        <f>IF(D30="N/A","",IF(E30="N/A","",AVERAGE(D30:E30)))</f>
        <v>36</v>
      </c>
      <c r="H30" s="69">
        <f>IF(D30="N/A","",IF(E30="N/A","",MIN(D30:E30)))</f>
        <v>36</v>
      </c>
      <c r="I30" s="3" t="s">
        <v>26</v>
      </c>
      <c r="J30" s="34"/>
      <c r="K30" s="34"/>
      <c r="L30" s="34"/>
      <c r="M30" s="34"/>
      <c r="N30" s="34"/>
      <c r="O30" s="34"/>
      <c r="P30" s="34"/>
      <c r="Q30" s="34"/>
      <c r="R30" s="34"/>
      <c r="S30" s="34"/>
      <c r="T30" s="34"/>
      <c r="U30" s="34"/>
      <c r="V30" s="34"/>
      <c r="W30" s="37"/>
      <c r="Y30" s="21"/>
      <c r="Z30" s="21"/>
      <c r="AA30" s="21"/>
      <c r="AB30" s="21"/>
      <c r="AC30" s="21"/>
    </row>
    <row r="31" spans="1:29" x14ac:dyDescent="0.2">
      <c r="A31" s="37"/>
      <c r="B31" s="57" t="s">
        <v>3</v>
      </c>
      <c r="C31" s="69">
        <v>34.200000000000003</v>
      </c>
      <c r="D31" s="69">
        <v>36</v>
      </c>
      <c r="E31" s="69">
        <v>36</v>
      </c>
      <c r="F31" s="69">
        <v>36</v>
      </c>
      <c r="G31" s="69">
        <f>IF(D31="N/A","",IF(E31="N/A","",AVERAGE(C31:F31)))</f>
        <v>35.549999999999997</v>
      </c>
      <c r="H31" s="69">
        <f>IF(D31="N/A","",IF(E31="N/A","",MIN(C31:F31)))</f>
        <v>34.200000000000003</v>
      </c>
      <c r="I31" s="3" t="s">
        <v>26</v>
      </c>
      <c r="J31" s="34"/>
      <c r="K31" s="34"/>
      <c r="L31" s="34"/>
      <c r="M31" s="34"/>
      <c r="N31" s="34"/>
      <c r="O31" s="34"/>
      <c r="P31" s="34"/>
      <c r="Q31" s="34"/>
      <c r="R31" s="34"/>
      <c r="S31" s="34"/>
      <c r="T31" s="34"/>
      <c r="U31" s="34"/>
      <c r="V31" s="34"/>
      <c r="W31" s="37"/>
      <c r="Y31" s="21"/>
      <c r="Z31" s="21"/>
      <c r="AA31" s="21"/>
      <c r="AB31" s="21"/>
      <c r="AC31" s="21"/>
    </row>
    <row r="32" spans="1:29" ht="9.75" customHeight="1" x14ac:dyDescent="0.2">
      <c r="A32" s="37"/>
      <c r="B32" s="37"/>
      <c r="C32" s="37"/>
      <c r="D32" s="37"/>
      <c r="E32" s="37"/>
      <c r="F32" s="37"/>
      <c r="G32" s="37"/>
      <c r="H32" s="37"/>
      <c r="I32" s="37"/>
      <c r="J32" s="37"/>
      <c r="K32" s="37"/>
      <c r="L32" s="37"/>
      <c r="M32" s="37"/>
      <c r="N32" s="37"/>
      <c r="O32" s="37"/>
      <c r="P32" s="37"/>
      <c r="Q32" s="37"/>
      <c r="R32" s="37"/>
      <c r="S32" s="37"/>
      <c r="T32" s="37"/>
      <c r="U32" s="37"/>
      <c r="V32" s="37"/>
      <c r="W32" s="37"/>
      <c r="Y32" s="21"/>
      <c r="Z32" s="21"/>
      <c r="AA32" s="21"/>
      <c r="AB32" s="21"/>
      <c r="AC32" s="21"/>
    </row>
    <row r="33" spans="1:29" x14ac:dyDescent="0.2">
      <c r="A33" s="37"/>
      <c r="B33" s="158" t="s">
        <v>31</v>
      </c>
      <c r="C33" s="158"/>
      <c r="D33" s="37"/>
      <c r="E33" s="37"/>
      <c r="F33" s="37"/>
      <c r="G33" s="37"/>
      <c r="H33" s="37"/>
      <c r="I33" s="37"/>
      <c r="J33" s="37"/>
      <c r="K33" s="37"/>
      <c r="L33" s="37"/>
      <c r="M33" s="37"/>
      <c r="N33" s="37"/>
      <c r="O33" s="37"/>
      <c r="P33" s="37"/>
      <c r="Q33" s="37"/>
      <c r="R33" s="37"/>
      <c r="S33" s="37"/>
      <c r="T33" s="37"/>
      <c r="U33" s="37"/>
      <c r="V33" s="37"/>
      <c r="W33" s="37"/>
      <c r="Y33" s="21"/>
      <c r="Z33" s="21"/>
      <c r="AA33" s="21"/>
      <c r="AB33" s="21"/>
      <c r="AC33" s="21"/>
    </row>
    <row r="34" spans="1:29" ht="5.25" customHeight="1" x14ac:dyDescent="0.2">
      <c r="A34" s="37"/>
      <c r="B34" s="37"/>
      <c r="C34" s="37"/>
      <c r="D34" s="37"/>
      <c r="E34" s="37"/>
      <c r="F34" s="37"/>
      <c r="G34" s="37"/>
      <c r="H34" s="37"/>
      <c r="I34" s="37"/>
      <c r="J34" s="37"/>
      <c r="K34" s="37"/>
      <c r="L34" s="37"/>
      <c r="M34" s="37"/>
      <c r="N34" s="37"/>
      <c r="O34" s="37"/>
      <c r="P34" s="37"/>
      <c r="Q34" s="37"/>
      <c r="R34" s="37"/>
      <c r="S34" s="37"/>
      <c r="T34" s="37"/>
      <c r="U34" s="37"/>
      <c r="V34" s="37"/>
      <c r="W34" s="37"/>
      <c r="Y34" s="21"/>
      <c r="Z34" s="21"/>
      <c r="AA34" s="21"/>
      <c r="AB34" s="21"/>
      <c r="AC34" s="21"/>
    </row>
    <row r="35" spans="1:29" x14ac:dyDescent="0.2">
      <c r="A35" s="37"/>
      <c r="B35" s="53" t="s">
        <v>20</v>
      </c>
      <c r="C35" s="159" t="s">
        <v>32</v>
      </c>
      <c r="D35" s="161"/>
      <c r="E35" s="53" t="s">
        <v>33</v>
      </c>
      <c r="F35" s="53" t="s">
        <v>34</v>
      </c>
      <c r="G35" s="53" t="s">
        <v>35</v>
      </c>
      <c r="H35" s="53" t="s">
        <v>36</v>
      </c>
      <c r="I35" s="53" t="s">
        <v>37</v>
      </c>
      <c r="J35" s="53" t="s">
        <v>38</v>
      </c>
      <c r="K35" s="53" t="s">
        <v>25</v>
      </c>
      <c r="L35" s="37"/>
      <c r="M35" s="37"/>
      <c r="N35" s="37"/>
      <c r="O35" s="37"/>
      <c r="P35" s="37"/>
      <c r="Q35" s="37"/>
      <c r="R35" s="37"/>
      <c r="S35" s="37"/>
      <c r="T35" s="37"/>
      <c r="U35" s="37"/>
      <c r="V35" s="37"/>
      <c r="W35" s="37"/>
      <c r="Y35" s="21" t="s">
        <v>94</v>
      </c>
      <c r="Z35" s="21"/>
      <c r="AA35" s="21"/>
      <c r="AB35" s="21"/>
      <c r="AC35" s="21"/>
    </row>
    <row r="36" spans="1:29" x14ac:dyDescent="0.2">
      <c r="A36" s="37"/>
      <c r="B36" s="164" t="s">
        <v>11</v>
      </c>
      <c r="C36" s="1">
        <v>0.02</v>
      </c>
      <c r="D36" s="3" t="s">
        <v>39</v>
      </c>
      <c r="E36" s="42"/>
      <c r="F36" s="70">
        <v>-0.1</v>
      </c>
      <c r="G36" s="70">
        <v>0.1</v>
      </c>
      <c r="H36" s="43"/>
      <c r="I36" s="70">
        <f>IF(F36="N/A",IF(G36="N/A","N/A",AVERAGE(F36:G36)),AVERAGE(F36:G36))</f>
        <v>0</v>
      </c>
      <c r="J36" s="70">
        <f>IF(I36="N/A","N/A",MIN(F36:G36))</f>
        <v>-0.1</v>
      </c>
      <c r="K36" s="3" t="s">
        <v>26</v>
      </c>
      <c r="L36" s="37"/>
      <c r="M36" s="37"/>
      <c r="N36" s="37"/>
      <c r="O36" s="37"/>
      <c r="P36" s="37"/>
      <c r="Q36" s="37"/>
      <c r="R36" s="37"/>
      <c r="S36" s="37"/>
      <c r="T36" s="37"/>
      <c r="U36" s="37"/>
      <c r="V36" s="37"/>
      <c r="W36" s="37"/>
      <c r="Y36" s="21">
        <f t="shared" ref="Y36:Y45" si="0">IF(E36="N/A",-99,E36)</f>
        <v>0</v>
      </c>
      <c r="Z36" s="21">
        <f t="shared" ref="Z36:Z45" si="1">IF(F36="N/A",-99,F36)</f>
        <v>-0.1</v>
      </c>
      <c r="AA36" s="21">
        <f t="shared" ref="AA36:AA45" si="2">IF(G36="N/A",-99,G36)</f>
        <v>0.1</v>
      </c>
      <c r="AB36" s="21">
        <f t="shared" ref="AB36:AB45" si="3">IF(H36="N/A",-99,H36)</f>
        <v>0</v>
      </c>
      <c r="AC36" s="21">
        <f>IF(F36="N/A",0,(F36-F40)+2*(F37-F40))</f>
        <v>0</v>
      </c>
    </row>
    <row r="37" spans="1:29" x14ac:dyDescent="0.2">
      <c r="A37" s="37"/>
      <c r="B37" s="164"/>
      <c r="C37" s="1">
        <v>0.08</v>
      </c>
      <c r="D37" s="3" t="s">
        <v>39</v>
      </c>
      <c r="E37" s="42"/>
      <c r="F37" s="70">
        <v>-0.1</v>
      </c>
      <c r="G37" s="70">
        <v>0.1</v>
      </c>
      <c r="H37" s="43"/>
      <c r="I37" s="70">
        <f>IF(F37="N/A",IF(G37="N/A","N/A",AVERAGE(F37:G37)),AVERAGE(F37:G37))</f>
        <v>0</v>
      </c>
      <c r="J37" s="70">
        <f>IF(I37="N/A","N/A",MIN(F37:G37))</f>
        <v>-0.1</v>
      </c>
      <c r="K37" s="3" t="s">
        <v>26</v>
      </c>
      <c r="L37" s="37"/>
      <c r="M37" s="37"/>
      <c r="N37" s="37"/>
      <c r="O37" s="37"/>
      <c r="P37" s="37"/>
      <c r="Q37" s="37"/>
      <c r="R37" s="37"/>
      <c r="S37" s="37"/>
      <c r="T37" s="37"/>
      <c r="U37" s="37"/>
      <c r="V37" s="37"/>
      <c r="W37" s="37"/>
      <c r="Y37" s="21">
        <f t="shared" si="0"/>
        <v>0</v>
      </c>
      <c r="Z37" s="21">
        <f t="shared" si="1"/>
        <v>-0.1</v>
      </c>
      <c r="AA37" s="21">
        <f t="shared" si="2"/>
        <v>0.1</v>
      </c>
      <c r="AB37" s="21">
        <f t="shared" si="3"/>
        <v>0</v>
      </c>
      <c r="AC37" s="21">
        <f>IF(G36="N/A",0,(G36-G40)+2*(G37-G40))</f>
        <v>0.30000000000000004</v>
      </c>
    </row>
    <row r="38" spans="1:29" x14ac:dyDescent="0.2">
      <c r="A38" s="37"/>
      <c r="B38" s="164"/>
      <c r="C38" s="1">
        <v>0.33</v>
      </c>
      <c r="D38" s="3" t="s">
        <v>39</v>
      </c>
      <c r="E38" s="42"/>
      <c r="F38" s="70">
        <v>-0.1</v>
      </c>
      <c r="G38" s="70">
        <v>0</v>
      </c>
      <c r="H38" s="43"/>
      <c r="I38" s="70">
        <f>IF(F38="N/A",IF(G38="N/A","N/A",AVERAGE(F38:G38)),AVERAGE(F38:G38))</f>
        <v>-0.05</v>
      </c>
      <c r="J38" s="70">
        <f>IF(I38="N/A","N/A",MIN(F38:G38))</f>
        <v>-0.1</v>
      </c>
      <c r="K38" s="3" t="s">
        <v>26</v>
      </c>
      <c r="L38" s="37"/>
      <c r="M38" s="37"/>
      <c r="N38" s="37"/>
      <c r="O38" s="37"/>
      <c r="P38" s="37"/>
      <c r="Q38" s="37"/>
      <c r="R38" s="37"/>
      <c r="S38" s="37"/>
      <c r="T38" s="37"/>
      <c r="U38" s="37"/>
      <c r="V38" s="37"/>
      <c r="W38" s="37"/>
      <c r="Y38" s="21">
        <f t="shared" si="0"/>
        <v>0</v>
      </c>
      <c r="Z38" s="21">
        <f t="shared" si="1"/>
        <v>-0.1</v>
      </c>
      <c r="AA38" s="21">
        <f t="shared" si="2"/>
        <v>0</v>
      </c>
      <c r="AB38" s="21">
        <f t="shared" si="3"/>
        <v>0</v>
      </c>
      <c r="AC38" s="21">
        <f>IF(E41="N/A",0,(E41-E45)+2*(E42-E45))</f>
        <v>0.99999999999999956</v>
      </c>
    </row>
    <row r="39" spans="1:29" x14ac:dyDescent="0.2">
      <c r="A39" s="37"/>
      <c r="B39" s="164"/>
      <c r="C39" s="1">
        <v>1</v>
      </c>
      <c r="D39" s="3" t="s">
        <v>39</v>
      </c>
      <c r="E39" s="42"/>
      <c r="F39" s="70">
        <v>-0.1</v>
      </c>
      <c r="G39" s="70">
        <v>0</v>
      </c>
      <c r="H39" s="43"/>
      <c r="I39" s="70">
        <f>IF(F39="N/A",IF(G39="N/A","N/A",AVERAGE(F39:G39)),AVERAGE(F39:G39))</f>
        <v>-0.05</v>
      </c>
      <c r="J39" s="70">
        <f>IF(I39="N/A","N/A",MIN(F39:G39))</f>
        <v>-0.1</v>
      </c>
      <c r="K39" s="3" t="s">
        <v>26</v>
      </c>
      <c r="L39" s="37"/>
      <c r="M39" s="37"/>
      <c r="N39" s="37"/>
      <c r="O39" s="37"/>
      <c r="P39" s="37"/>
      <c r="Q39" s="37"/>
      <c r="R39" s="37"/>
      <c r="S39" s="37"/>
      <c r="T39" s="37"/>
      <c r="U39" s="37"/>
      <c r="V39" s="37"/>
      <c r="W39" s="37"/>
      <c r="Y39" s="21">
        <f t="shared" si="0"/>
        <v>0</v>
      </c>
      <c r="Z39" s="21">
        <f t="shared" si="1"/>
        <v>-0.1</v>
      </c>
      <c r="AA39" s="21">
        <f t="shared" si="2"/>
        <v>0</v>
      </c>
      <c r="AB39" s="21">
        <f t="shared" si="3"/>
        <v>0</v>
      </c>
      <c r="AC39" s="21">
        <f>IF(F41="N/A",0,(F41-F45)+2*(F42-F45))</f>
        <v>0.99999999999999956</v>
      </c>
    </row>
    <row r="40" spans="1:29" x14ac:dyDescent="0.2">
      <c r="A40" s="37"/>
      <c r="B40" s="164"/>
      <c r="C40" s="1">
        <v>2</v>
      </c>
      <c r="D40" s="3" t="s">
        <v>39</v>
      </c>
      <c r="E40" s="42"/>
      <c r="F40" s="70">
        <v>-0.1</v>
      </c>
      <c r="G40" s="70">
        <v>0</v>
      </c>
      <c r="H40" s="43"/>
      <c r="I40" s="70">
        <f>IF(F40="N/A",IF(G40="N/A","N/A",AVERAGE(F40:G40)),AVERAGE(F40:G40))</f>
        <v>-0.05</v>
      </c>
      <c r="J40" s="70">
        <f>IF(I40="N/A","N/A",MIN(F40:G40))</f>
        <v>-0.1</v>
      </c>
      <c r="K40" s="3" t="s">
        <v>26</v>
      </c>
      <c r="L40" s="37"/>
      <c r="M40" s="37"/>
      <c r="N40" s="37"/>
      <c r="O40" s="37"/>
      <c r="P40" s="37"/>
      <c r="Q40" s="37"/>
      <c r="R40" s="37"/>
      <c r="S40" s="37"/>
      <c r="T40" s="37"/>
      <c r="U40" s="37"/>
      <c r="V40" s="37"/>
      <c r="W40" s="37"/>
      <c r="Y40" s="21">
        <f t="shared" si="0"/>
        <v>0</v>
      </c>
      <c r="Z40" s="21">
        <f t="shared" si="1"/>
        <v>-0.1</v>
      </c>
      <c r="AA40" s="21">
        <f t="shared" si="2"/>
        <v>0</v>
      </c>
      <c r="AB40" s="21">
        <f t="shared" si="3"/>
        <v>0</v>
      </c>
      <c r="AC40" s="21">
        <f>IF(G41="N/A",0,(G41-G45)+2*(G42-G45))</f>
        <v>0.99999999999999956</v>
      </c>
    </row>
    <row r="41" spans="1:29" x14ac:dyDescent="0.2">
      <c r="A41" s="37"/>
      <c r="B41" s="164" t="s">
        <v>3</v>
      </c>
      <c r="C41" s="1">
        <v>0.02</v>
      </c>
      <c r="D41" s="3" t="s">
        <v>39</v>
      </c>
      <c r="E41" s="70">
        <v>-2.1</v>
      </c>
      <c r="F41" s="70">
        <v>-2.1</v>
      </c>
      <c r="G41" s="70">
        <v>-2</v>
      </c>
      <c r="H41" s="70">
        <v>-1.9</v>
      </c>
      <c r="I41" s="70">
        <f>IF(F41="N/A","N/A",AVERAGE(E41:H41))</f>
        <v>-2.0249999999999999</v>
      </c>
      <c r="J41" s="70">
        <f>IF(I41="N/A","N/A",MIN(E41:H41))</f>
        <v>-2.1</v>
      </c>
      <c r="K41" s="3" t="s">
        <v>26</v>
      </c>
      <c r="L41" s="37"/>
      <c r="M41" s="37"/>
      <c r="N41" s="37"/>
      <c r="O41" s="37"/>
      <c r="P41" s="37"/>
      <c r="Q41" s="37"/>
      <c r="R41" s="37"/>
      <c r="S41" s="37"/>
      <c r="T41" s="37"/>
      <c r="U41" s="37"/>
      <c r="V41" s="37"/>
      <c r="W41" s="37"/>
      <c r="Y41" s="21">
        <f t="shared" si="0"/>
        <v>-2.1</v>
      </c>
      <c r="Z41" s="21">
        <f t="shared" si="1"/>
        <v>-2.1</v>
      </c>
      <c r="AA41" s="21">
        <f t="shared" si="2"/>
        <v>-2</v>
      </c>
      <c r="AB41" s="21">
        <f t="shared" si="3"/>
        <v>-1.9</v>
      </c>
      <c r="AC41" s="21">
        <f>IF(H41="N/A",0,(H41-H45)+2*(H42-H45))</f>
        <v>0.9000000000000008</v>
      </c>
    </row>
    <row r="42" spans="1:29" x14ac:dyDescent="0.2">
      <c r="A42" s="37"/>
      <c r="B42" s="164"/>
      <c r="C42" s="1">
        <v>0.08</v>
      </c>
      <c r="D42" s="3" t="s">
        <v>39</v>
      </c>
      <c r="E42" s="70">
        <v>-2.2000000000000002</v>
      </c>
      <c r="F42" s="70">
        <v>-2.2000000000000002</v>
      </c>
      <c r="G42" s="70">
        <v>-2.1</v>
      </c>
      <c r="H42" s="70">
        <v>-1.9</v>
      </c>
      <c r="I42" s="70">
        <f>IF(F42="N/A","N/A",AVERAGE(E42:H42))</f>
        <v>-2.1</v>
      </c>
      <c r="J42" s="70">
        <f>IF(I42="N/A","N/A",MIN(E42:H42))</f>
        <v>-2.2000000000000002</v>
      </c>
      <c r="K42" s="3" t="s">
        <v>26</v>
      </c>
      <c r="L42" s="37"/>
      <c r="M42" s="37"/>
      <c r="N42" s="37"/>
      <c r="O42" s="37"/>
      <c r="P42" s="37"/>
      <c r="Q42" s="37"/>
      <c r="R42" s="37"/>
      <c r="S42" s="37"/>
      <c r="T42" s="37"/>
      <c r="U42" s="37"/>
      <c r="V42" s="37"/>
      <c r="W42" s="37"/>
      <c r="Y42" s="21">
        <f t="shared" si="0"/>
        <v>-2.2000000000000002</v>
      </c>
      <c r="Z42" s="21">
        <f t="shared" si="1"/>
        <v>-2.2000000000000002</v>
      </c>
      <c r="AA42" s="21">
        <f t="shared" si="2"/>
        <v>-2.1</v>
      </c>
      <c r="AB42" s="21">
        <f t="shared" si="3"/>
        <v>-1.9</v>
      </c>
      <c r="AC42" s="21"/>
    </row>
    <row r="43" spans="1:29" x14ac:dyDescent="0.2">
      <c r="A43" s="37"/>
      <c r="B43" s="164"/>
      <c r="C43" s="1">
        <v>0.33</v>
      </c>
      <c r="D43" s="3" t="s">
        <v>39</v>
      </c>
      <c r="E43" s="70">
        <v>-2.4</v>
      </c>
      <c r="F43" s="70">
        <v>-2.6</v>
      </c>
      <c r="G43" s="70">
        <v>-2.4</v>
      </c>
      <c r="H43" s="70">
        <v>-2.1</v>
      </c>
      <c r="I43" s="70">
        <f>IF(F43="N/A","N/A",AVERAGE(E43:H43))</f>
        <v>-2.375</v>
      </c>
      <c r="J43" s="70">
        <f>IF(I43="N/A","N/A",MIN(E43:H43))</f>
        <v>-2.6</v>
      </c>
      <c r="K43" s="3" t="s">
        <v>26</v>
      </c>
      <c r="L43" s="37"/>
      <c r="M43" s="37"/>
      <c r="N43" s="37"/>
      <c r="O43" s="37"/>
      <c r="P43" s="37"/>
      <c r="Q43" s="37"/>
      <c r="R43" s="37"/>
      <c r="S43" s="37"/>
      <c r="T43" s="37"/>
      <c r="U43" s="37"/>
      <c r="V43" s="37"/>
      <c r="W43" s="37"/>
      <c r="Y43" s="21">
        <f t="shared" si="0"/>
        <v>-2.4</v>
      </c>
      <c r="Z43" s="21">
        <f t="shared" si="1"/>
        <v>-2.6</v>
      </c>
      <c r="AA43" s="21">
        <f t="shared" si="2"/>
        <v>-2.4</v>
      </c>
      <c r="AB43" s="21">
        <f t="shared" si="3"/>
        <v>-2.1</v>
      </c>
      <c r="AC43" s="21"/>
    </row>
    <row r="44" spans="1:29" x14ac:dyDescent="0.2">
      <c r="A44" s="37"/>
      <c r="B44" s="164"/>
      <c r="C44" s="1">
        <v>1</v>
      </c>
      <c r="D44" s="3" t="s">
        <v>39</v>
      </c>
      <c r="E44" s="70">
        <v>-2.4</v>
      </c>
      <c r="F44" s="70">
        <v>-2.6</v>
      </c>
      <c r="G44" s="70">
        <v>-2.5</v>
      </c>
      <c r="H44" s="70">
        <v>-2.1</v>
      </c>
      <c r="I44" s="70">
        <f>IF(F44="N/A","N/A",AVERAGE(E44:H44))</f>
        <v>-2.4</v>
      </c>
      <c r="J44" s="70">
        <f>IF(I44="N/A","N/A",MIN(E44:H44))</f>
        <v>-2.6</v>
      </c>
      <c r="K44" s="3" t="s">
        <v>26</v>
      </c>
      <c r="L44" s="37"/>
      <c r="M44" s="37"/>
      <c r="N44" s="37"/>
      <c r="O44" s="37"/>
      <c r="P44" s="37"/>
      <c r="Q44" s="37"/>
      <c r="R44" s="37"/>
      <c r="S44" s="37"/>
      <c r="T44" s="37"/>
      <c r="U44" s="37"/>
      <c r="V44" s="37"/>
      <c r="W44" s="37"/>
      <c r="Y44" s="21">
        <f t="shared" si="0"/>
        <v>-2.4</v>
      </c>
      <c r="Z44" s="21">
        <f t="shared" si="1"/>
        <v>-2.6</v>
      </c>
      <c r="AA44" s="21">
        <f t="shared" si="2"/>
        <v>-2.5</v>
      </c>
      <c r="AB44" s="21">
        <f t="shared" si="3"/>
        <v>-2.1</v>
      </c>
      <c r="AC44" s="21"/>
    </row>
    <row r="45" spans="1:29" x14ac:dyDescent="0.2">
      <c r="A45" s="37"/>
      <c r="B45" s="164"/>
      <c r="C45" s="1">
        <v>2</v>
      </c>
      <c r="D45" s="3" t="s">
        <v>39</v>
      </c>
      <c r="E45" s="70">
        <v>-2.5</v>
      </c>
      <c r="F45" s="70">
        <v>-2.5</v>
      </c>
      <c r="G45" s="70">
        <v>-2.4</v>
      </c>
      <c r="H45" s="70">
        <v>-2.2000000000000002</v>
      </c>
      <c r="I45" s="70">
        <f>IF(F45="N/A","N/A",AVERAGE(E45:H45))</f>
        <v>-2.4000000000000004</v>
      </c>
      <c r="J45" s="70">
        <f>IF(I45="N/A","N/A",MIN(E45:H45))</f>
        <v>-2.5</v>
      </c>
      <c r="K45" s="3" t="s">
        <v>26</v>
      </c>
      <c r="L45" s="37"/>
      <c r="M45" s="37"/>
      <c r="N45" s="37"/>
      <c r="O45" s="37"/>
      <c r="P45" s="37"/>
      <c r="Q45" s="37"/>
      <c r="R45" s="37"/>
      <c r="S45" s="37"/>
      <c r="T45" s="37"/>
      <c r="U45" s="37"/>
      <c r="V45" s="37"/>
      <c r="W45" s="37"/>
      <c r="Y45" s="21">
        <f t="shared" si="0"/>
        <v>-2.5</v>
      </c>
      <c r="Z45" s="21">
        <f t="shared" si="1"/>
        <v>-2.5</v>
      </c>
      <c r="AA45" s="21">
        <f t="shared" si="2"/>
        <v>-2.4</v>
      </c>
      <c r="AB45" s="21">
        <f t="shared" si="3"/>
        <v>-2.2000000000000002</v>
      </c>
      <c r="AC45" s="21"/>
    </row>
    <row r="46" spans="1:29" ht="6" customHeight="1" x14ac:dyDescent="0.2">
      <c r="A46" s="37"/>
      <c r="B46" s="37"/>
      <c r="C46" s="37"/>
      <c r="D46" s="37"/>
      <c r="E46" s="37"/>
      <c r="F46" s="37"/>
      <c r="G46" s="37"/>
      <c r="H46" s="37"/>
      <c r="I46" s="37"/>
      <c r="J46" s="37"/>
      <c r="K46" s="37"/>
      <c r="L46" s="37"/>
      <c r="M46" s="37"/>
      <c r="N46" s="37"/>
      <c r="O46" s="37"/>
      <c r="P46" s="37"/>
      <c r="Q46" s="37"/>
      <c r="R46" s="37"/>
      <c r="S46" s="37"/>
      <c r="T46" s="37"/>
      <c r="U46" s="37"/>
      <c r="V46" s="37"/>
      <c r="W46" s="37"/>
      <c r="Y46" s="21"/>
      <c r="Z46" s="21"/>
      <c r="AA46" s="21"/>
      <c r="AB46" s="21"/>
      <c r="AC46" s="21"/>
    </row>
    <row r="47" spans="1:29" x14ac:dyDescent="0.2">
      <c r="A47" s="37"/>
      <c r="B47" s="37"/>
      <c r="C47" s="37"/>
      <c r="D47" s="37"/>
      <c r="E47" s="37"/>
      <c r="F47" s="37"/>
      <c r="G47" s="37"/>
      <c r="H47" s="37"/>
      <c r="I47" s="37"/>
      <c r="J47" s="37"/>
      <c r="K47" s="37"/>
      <c r="L47" s="37"/>
      <c r="M47" s="37"/>
      <c r="N47" s="37"/>
      <c r="O47" s="37"/>
      <c r="P47" s="37"/>
      <c r="Q47" s="37"/>
      <c r="R47" s="37"/>
      <c r="S47" s="37"/>
      <c r="T47" s="37"/>
      <c r="U47" s="37"/>
      <c r="V47" s="37"/>
      <c r="W47" s="37"/>
      <c r="Y47" s="21"/>
      <c r="Z47" s="21"/>
      <c r="AA47" s="21"/>
      <c r="AB47" s="22">
        <f>MAX(E36:H45)</f>
        <v>0.1</v>
      </c>
      <c r="AC47" s="21"/>
    </row>
    <row r="48" spans="1:29" x14ac:dyDescent="0.2">
      <c r="A48" s="37"/>
      <c r="B48" s="159" t="s">
        <v>277</v>
      </c>
      <c r="C48" s="160"/>
      <c r="D48" s="161"/>
      <c r="E48" s="53" t="s">
        <v>177</v>
      </c>
      <c r="F48" s="53" t="s">
        <v>178</v>
      </c>
      <c r="G48" s="53" t="s">
        <v>179</v>
      </c>
      <c r="H48" s="53" t="s">
        <v>180</v>
      </c>
      <c r="I48" s="37"/>
      <c r="J48" s="37"/>
      <c r="K48" s="37"/>
      <c r="L48" s="37"/>
      <c r="M48" s="37"/>
      <c r="N48" s="37"/>
      <c r="O48" s="37"/>
      <c r="P48" s="37"/>
      <c r="Q48" s="37"/>
      <c r="R48" s="37"/>
      <c r="S48" s="37"/>
      <c r="T48" s="37"/>
      <c r="U48" s="37"/>
      <c r="V48" s="37"/>
      <c r="W48" s="37"/>
      <c r="Y48" s="21"/>
      <c r="Z48" s="21"/>
      <c r="AA48" s="21"/>
      <c r="AB48" s="22">
        <f>MIN(J36:J45)</f>
        <v>-2.6</v>
      </c>
      <c r="AC48" s="21"/>
    </row>
    <row r="49" spans="1:29" x14ac:dyDescent="0.2">
      <c r="A49" s="37"/>
      <c r="B49" s="189" t="s">
        <v>11</v>
      </c>
      <c r="C49" s="162" t="s">
        <v>282</v>
      </c>
      <c r="D49" s="163"/>
      <c r="E49" s="44"/>
      <c r="F49" s="71">
        <f>IF(F40="N/A", "N/A",10^((F40-Vpp_100_b)/(20*Vpp_100_m))*2)</f>
        <v>1.9735392541418306</v>
      </c>
      <c r="G49" s="71">
        <f>IF(G40="N/A", "N/A",10^((G40-Vpp_100_b)/(20*Vpp_100_m))*2)</f>
        <v>1.9960945826657803</v>
      </c>
      <c r="H49" s="44"/>
      <c r="I49" s="37"/>
      <c r="J49" s="37"/>
      <c r="K49" s="37"/>
      <c r="L49" s="37"/>
      <c r="M49" s="37"/>
      <c r="N49" s="37"/>
      <c r="O49" s="37"/>
      <c r="P49" s="37"/>
      <c r="Q49" s="37"/>
      <c r="R49" s="37"/>
      <c r="S49" s="37"/>
      <c r="T49" s="37"/>
      <c r="U49" s="37"/>
      <c r="V49" s="37"/>
      <c r="W49" s="37"/>
      <c r="Y49" s="21"/>
      <c r="Z49" s="21"/>
      <c r="AA49" s="21"/>
      <c r="AB49" s="21"/>
      <c r="AC49" s="21"/>
    </row>
    <row r="50" spans="1:29" x14ac:dyDescent="0.2">
      <c r="A50" s="37"/>
      <c r="B50" s="190"/>
      <c r="C50" s="162" t="s">
        <v>288</v>
      </c>
      <c r="D50" s="163"/>
      <c r="E50" s="44"/>
      <c r="F50" s="72">
        <f>IF(F36="N/A","N/A",Droop_100_a*AC36^2+Droop_100_b*AC36+Droop_100_c)</f>
        <v>0.98219999999999996</v>
      </c>
      <c r="G50" s="72">
        <f>IF(G36="N/A","N/A",Droop_100_a*AC37^2+Droop_100_b*AC37+Droop_100_c)</f>
        <v>0.98377199999999998</v>
      </c>
      <c r="H50" s="44"/>
      <c r="I50" s="37"/>
      <c r="J50" s="37"/>
      <c r="K50" s="37"/>
      <c r="L50" s="37"/>
      <c r="M50" s="37"/>
      <c r="N50" s="37"/>
      <c r="O50" s="37"/>
      <c r="P50" s="37"/>
      <c r="Q50" s="37"/>
      <c r="R50" s="37"/>
      <c r="S50" s="37"/>
      <c r="T50" s="37"/>
      <c r="U50" s="37"/>
      <c r="V50" s="37"/>
      <c r="W50" s="37"/>
      <c r="Y50" s="21"/>
      <c r="Z50" s="21"/>
      <c r="AA50" s="21"/>
      <c r="AB50" s="21"/>
      <c r="AC50" s="21"/>
    </row>
    <row r="51" spans="1:29" x14ac:dyDescent="0.2">
      <c r="A51" s="37"/>
      <c r="B51" s="187" t="s">
        <v>3</v>
      </c>
      <c r="C51" s="162" t="s">
        <v>281</v>
      </c>
      <c r="D51" s="163"/>
      <c r="E51" s="71">
        <f>IF(E45="N/A", "N/A",10^((E45-Vpp_1000_b)/(20*Vpp_1000_m))*1.5)</f>
        <v>1.1375521857643525</v>
      </c>
      <c r="F51" s="71">
        <f>IF(F45="N/A", "N/A",10^((F45-Vpp_1000_b)/(20*Vpp_1000_m))*1.5)</f>
        <v>1.1375521857643525</v>
      </c>
      <c r="G51" s="71">
        <f>IF(G45="N/A", "N/A",10^((G45-Vpp_1000_b)/(20*Vpp_1000_m))*1.5)</f>
        <v>1.1503937783676506</v>
      </c>
      <c r="H51" s="71">
        <f>IF(H45="N/A", "N/A",10^((H45-Vpp_1000_b)/(20*Vpp_1000_m))*1.5)</f>
        <v>1.1765134983579175</v>
      </c>
      <c r="I51" s="37"/>
      <c r="J51" s="37"/>
      <c r="K51" s="37"/>
      <c r="L51" s="37"/>
      <c r="M51" s="37"/>
      <c r="N51" s="37"/>
      <c r="O51" s="37"/>
      <c r="P51" s="37"/>
      <c r="Q51" s="37"/>
      <c r="R51" s="37"/>
      <c r="S51" s="37"/>
      <c r="T51" s="37"/>
      <c r="U51" s="37"/>
      <c r="V51" s="37"/>
      <c r="W51" s="37"/>
      <c r="Y51" s="21"/>
      <c r="Z51" s="21"/>
      <c r="AA51" s="21"/>
      <c r="AB51" s="21"/>
      <c r="AC51" s="21"/>
    </row>
    <row r="52" spans="1:29" x14ac:dyDescent="0.2">
      <c r="A52" s="37"/>
      <c r="B52" s="188"/>
      <c r="C52" s="165" t="s">
        <v>280</v>
      </c>
      <c r="D52" s="165"/>
      <c r="E52" s="72">
        <f>IF(E41="N/A","N/A",Droop_1000_a*AC38^2+Droop_1000_b*AC38+Droop_1000_c)</f>
        <v>0.96469000000000005</v>
      </c>
      <c r="F52" s="72">
        <f>IF(F41="N/A","N/A",Droop_1000_a*AC39^2+Droop_1000_b*AC39+Droop_1000_c)</f>
        <v>0.96469000000000005</v>
      </c>
      <c r="G52" s="72">
        <f>IF(G41="N/A","N/A",Droop_1000_a*AC40^2+Droop_1000_b*AC40+Droop_1000_c)</f>
        <v>0.96469000000000005</v>
      </c>
      <c r="H52" s="72">
        <f>IF(H41="N/A","N/A",Droop_1000_a*AC41^2+Droop_1000_b*AC41+Droop_1000_c)</f>
        <v>0.96399089999999998</v>
      </c>
      <c r="I52" s="37"/>
      <c r="J52" s="37"/>
      <c r="K52" s="37"/>
      <c r="L52" s="37"/>
      <c r="M52" s="37"/>
      <c r="N52" s="37"/>
      <c r="O52" s="37"/>
      <c r="P52" s="37"/>
      <c r="Q52" s="37"/>
      <c r="R52" s="37"/>
      <c r="S52" s="37"/>
      <c r="T52" s="37"/>
      <c r="U52" s="37"/>
      <c r="V52" s="37"/>
      <c r="W52" s="37"/>
      <c r="Y52" s="21"/>
      <c r="Z52" s="21"/>
      <c r="AA52" s="21"/>
      <c r="AB52" s="21"/>
      <c r="AC52" s="21"/>
    </row>
    <row r="53" spans="1:29" ht="21" customHeight="1" x14ac:dyDescent="0.2">
      <c r="A53" s="37"/>
      <c r="B53" s="37"/>
      <c r="C53" s="37"/>
      <c r="D53" s="37"/>
      <c r="E53" s="37"/>
      <c r="F53" s="37"/>
      <c r="G53" s="37"/>
      <c r="H53" s="37"/>
      <c r="I53" s="37"/>
      <c r="J53" s="37"/>
      <c r="K53" s="37"/>
      <c r="L53" s="37"/>
      <c r="M53" s="37"/>
      <c r="N53" s="37"/>
      <c r="O53" s="37"/>
      <c r="P53" s="37"/>
      <c r="Q53" s="37"/>
      <c r="R53" s="37"/>
      <c r="S53" s="37"/>
      <c r="T53" s="37"/>
      <c r="U53" s="37"/>
      <c r="V53" s="37"/>
      <c r="W53" s="37"/>
      <c r="Y53" s="21"/>
      <c r="Z53" s="21"/>
      <c r="AA53" s="21"/>
      <c r="AB53" s="21"/>
      <c r="AC53" s="21"/>
    </row>
    <row r="54" spans="1:29" x14ac:dyDescent="0.2">
      <c r="A54" s="37"/>
      <c r="B54" s="158" t="s">
        <v>40</v>
      </c>
      <c r="C54" s="158"/>
      <c r="D54" s="37"/>
      <c r="E54" s="37"/>
      <c r="F54" s="37"/>
      <c r="G54" s="37"/>
      <c r="H54" s="37"/>
      <c r="I54" s="37"/>
      <c r="J54" s="37"/>
      <c r="K54" s="37"/>
      <c r="L54" s="37"/>
      <c r="M54" s="37"/>
      <c r="N54" s="37"/>
      <c r="O54" s="37"/>
      <c r="P54" s="37"/>
      <c r="Q54" s="37"/>
      <c r="R54" s="37"/>
      <c r="S54" s="37"/>
      <c r="T54" s="37"/>
      <c r="U54" s="37"/>
      <c r="V54" s="37"/>
      <c r="W54" s="37"/>
      <c r="Y54" s="21"/>
      <c r="Z54" s="21"/>
      <c r="AA54" s="21"/>
      <c r="AB54" s="21"/>
      <c r="AC54" s="21"/>
    </row>
    <row r="55" spans="1:29" ht="5.25" customHeight="1" x14ac:dyDescent="0.2">
      <c r="A55" s="37"/>
      <c r="B55" s="37"/>
      <c r="C55" s="37"/>
      <c r="D55" s="37"/>
      <c r="E55" s="37"/>
      <c r="F55" s="37"/>
      <c r="G55" s="37"/>
      <c r="H55" s="37"/>
      <c r="I55" s="37"/>
      <c r="J55" s="37"/>
      <c r="K55" s="37"/>
      <c r="L55" s="37"/>
      <c r="M55" s="37"/>
      <c r="N55" s="37"/>
      <c r="O55" s="37"/>
      <c r="P55" s="37"/>
      <c r="Q55" s="37"/>
      <c r="R55" s="37"/>
      <c r="S55" s="37"/>
      <c r="T55" s="37"/>
      <c r="U55" s="37"/>
      <c r="V55" s="37"/>
      <c r="W55" s="37"/>
      <c r="Y55" s="21"/>
      <c r="Z55" s="21"/>
      <c r="AA55" s="21"/>
      <c r="AB55" s="21"/>
      <c r="AC55" s="21"/>
    </row>
    <row r="56" spans="1:29" x14ac:dyDescent="0.2">
      <c r="A56" s="37"/>
      <c r="B56" s="53" t="s">
        <v>20</v>
      </c>
      <c r="C56" s="166" t="s">
        <v>32</v>
      </c>
      <c r="D56" s="167"/>
      <c r="E56" s="53" t="s">
        <v>33</v>
      </c>
      <c r="F56" s="53" t="s">
        <v>34</v>
      </c>
      <c r="G56" s="53" t="s">
        <v>35</v>
      </c>
      <c r="H56" s="53" t="s">
        <v>36</v>
      </c>
      <c r="I56" s="53" t="s">
        <v>37</v>
      </c>
      <c r="J56" s="53" t="s">
        <v>38</v>
      </c>
      <c r="K56" s="53" t="s">
        <v>25</v>
      </c>
      <c r="L56" s="37"/>
      <c r="M56" s="37"/>
      <c r="N56" s="37"/>
      <c r="O56" s="37"/>
      <c r="P56" s="37"/>
      <c r="Q56" s="37"/>
      <c r="R56" s="37"/>
      <c r="S56" s="37"/>
      <c r="T56" s="37"/>
      <c r="U56" s="37"/>
      <c r="V56" s="37"/>
      <c r="W56" s="37"/>
      <c r="Y56" s="21" t="s">
        <v>94</v>
      </c>
      <c r="Z56" s="21"/>
      <c r="AA56" s="21"/>
      <c r="AB56" s="21"/>
      <c r="AC56" s="21"/>
    </row>
    <row r="57" spans="1:29" x14ac:dyDescent="0.2">
      <c r="A57" s="37"/>
      <c r="B57" s="164" t="s">
        <v>11</v>
      </c>
      <c r="C57" s="1">
        <v>4</v>
      </c>
      <c r="D57" s="3" t="s">
        <v>39</v>
      </c>
      <c r="E57" s="42"/>
      <c r="F57" s="70">
        <v>-0.1</v>
      </c>
      <c r="G57" s="70">
        <v>0</v>
      </c>
      <c r="H57" s="43"/>
      <c r="I57" s="70">
        <f t="shared" ref="I57:I62" si="4">IF(F57="N/A",IF(G57="N/A","N/A",AVERAGE(F57:G57)),AVERAGE(F57:G57))</f>
        <v>-0.05</v>
      </c>
      <c r="J57" s="70">
        <f t="shared" ref="J57:J62" si="5">IF(I57="N/A","N/A",MIN(F57:G57))</f>
        <v>-0.1</v>
      </c>
      <c r="K57" s="3" t="s">
        <v>26</v>
      </c>
      <c r="L57" s="37"/>
      <c r="M57" s="37"/>
      <c r="N57" s="37"/>
      <c r="O57" s="37"/>
      <c r="P57" s="37"/>
      <c r="Q57" s="37"/>
      <c r="R57" s="37"/>
      <c r="S57" s="37"/>
      <c r="T57" s="37"/>
      <c r="U57" s="37"/>
      <c r="V57" s="37"/>
      <c r="W57" s="37"/>
      <c r="Y57" s="21">
        <f t="shared" ref="Y57:Y68" si="6">IF(E57="N/A",-99,E57)</f>
        <v>0</v>
      </c>
      <c r="Z57" s="21">
        <f t="shared" ref="Z57:Z68" si="7">IF(F57="N/A",-99,F57)</f>
        <v>-0.1</v>
      </c>
      <c r="AA57" s="21">
        <f t="shared" ref="AA57:AA68" si="8">IF(G57="N/A",-99,G57)</f>
        <v>0</v>
      </c>
      <c r="AB57" s="21">
        <f t="shared" ref="AB57:AB68" si="9">IF(H57="N/A",-99,H57)</f>
        <v>0</v>
      </c>
      <c r="AC57" s="21"/>
    </row>
    <row r="58" spans="1:29" x14ac:dyDescent="0.2">
      <c r="A58" s="37"/>
      <c r="B58" s="164"/>
      <c r="C58" s="1">
        <v>16</v>
      </c>
      <c r="D58" s="3" t="s">
        <v>39</v>
      </c>
      <c r="E58" s="42"/>
      <c r="F58" s="70">
        <v>0</v>
      </c>
      <c r="G58" s="70">
        <v>0.1</v>
      </c>
      <c r="H58" s="43"/>
      <c r="I58" s="70">
        <f t="shared" si="4"/>
        <v>0.05</v>
      </c>
      <c r="J58" s="70">
        <f t="shared" si="5"/>
        <v>0</v>
      </c>
      <c r="K58" s="3" t="s">
        <v>26</v>
      </c>
      <c r="L58" s="37"/>
      <c r="M58" s="37"/>
      <c r="N58" s="37"/>
      <c r="O58" s="37"/>
      <c r="P58" s="37"/>
      <c r="Q58" s="37"/>
      <c r="R58" s="37"/>
      <c r="S58" s="37"/>
      <c r="T58" s="37"/>
      <c r="U58" s="37"/>
      <c r="V58" s="37"/>
      <c r="W58" s="37"/>
      <c r="Y58" s="21">
        <f t="shared" si="6"/>
        <v>0</v>
      </c>
      <c r="Z58" s="21">
        <f t="shared" si="7"/>
        <v>0</v>
      </c>
      <c r="AA58" s="21">
        <f t="shared" si="8"/>
        <v>0.1</v>
      </c>
      <c r="AB58" s="21">
        <f t="shared" si="9"/>
        <v>0</v>
      </c>
      <c r="AC58" s="21"/>
    </row>
    <row r="59" spans="1:29" x14ac:dyDescent="0.2">
      <c r="A59" s="37"/>
      <c r="B59" s="164"/>
      <c r="C59" s="1">
        <v>31</v>
      </c>
      <c r="D59" s="3" t="s">
        <v>39</v>
      </c>
      <c r="E59" s="42"/>
      <c r="F59" s="70">
        <v>0.1</v>
      </c>
      <c r="G59" s="70">
        <v>0.2</v>
      </c>
      <c r="H59" s="43"/>
      <c r="I59" s="70">
        <f t="shared" si="4"/>
        <v>0.15000000000000002</v>
      </c>
      <c r="J59" s="70">
        <f t="shared" si="5"/>
        <v>0.1</v>
      </c>
      <c r="K59" s="3" t="s">
        <v>26</v>
      </c>
      <c r="L59" s="37"/>
      <c r="M59" s="37"/>
      <c r="N59" s="37"/>
      <c r="O59" s="37"/>
      <c r="P59" s="37"/>
      <c r="Q59" s="37"/>
      <c r="R59" s="37"/>
      <c r="S59" s="37"/>
      <c r="T59" s="37"/>
      <c r="U59" s="37"/>
      <c r="V59" s="37"/>
      <c r="W59" s="37"/>
      <c r="Y59" s="21">
        <f t="shared" si="6"/>
        <v>0</v>
      </c>
      <c r="Z59" s="21">
        <f t="shared" si="7"/>
        <v>0.1</v>
      </c>
      <c r="AA59" s="21">
        <f t="shared" si="8"/>
        <v>0.2</v>
      </c>
      <c r="AB59" s="21">
        <f t="shared" si="9"/>
        <v>0</v>
      </c>
      <c r="AC59" s="21"/>
    </row>
    <row r="60" spans="1:29" x14ac:dyDescent="0.2">
      <c r="A60" s="37"/>
      <c r="B60" s="164"/>
      <c r="C60" s="1">
        <v>55</v>
      </c>
      <c r="D60" s="3" t="s">
        <v>39</v>
      </c>
      <c r="E60" s="42"/>
      <c r="F60" s="70">
        <v>0.2</v>
      </c>
      <c r="G60" s="70">
        <v>0.4</v>
      </c>
      <c r="H60" s="43"/>
      <c r="I60" s="70">
        <f t="shared" si="4"/>
        <v>0.30000000000000004</v>
      </c>
      <c r="J60" s="70">
        <f t="shared" si="5"/>
        <v>0.2</v>
      </c>
      <c r="K60" s="3" t="s">
        <v>26</v>
      </c>
      <c r="L60" s="37"/>
      <c r="M60" s="37"/>
      <c r="N60" s="37"/>
      <c r="O60" s="37"/>
      <c r="P60" s="37"/>
      <c r="Q60" s="37"/>
      <c r="R60" s="37"/>
      <c r="S60" s="37"/>
      <c r="T60" s="37"/>
      <c r="U60" s="37"/>
      <c r="V60" s="37"/>
      <c r="W60" s="37"/>
      <c r="Y60" s="21">
        <f t="shared" si="6"/>
        <v>0</v>
      </c>
      <c r="Z60" s="21">
        <f t="shared" si="7"/>
        <v>0.2</v>
      </c>
      <c r="AA60" s="21">
        <f t="shared" si="8"/>
        <v>0.4</v>
      </c>
      <c r="AB60" s="21">
        <f t="shared" si="9"/>
        <v>0</v>
      </c>
      <c r="AC60" s="21"/>
    </row>
    <row r="61" spans="1:29" x14ac:dyDescent="0.2">
      <c r="A61" s="37"/>
      <c r="B61" s="164"/>
      <c r="C61" s="1">
        <v>76</v>
      </c>
      <c r="D61" s="3" t="s">
        <v>39</v>
      </c>
      <c r="E61" s="42"/>
      <c r="F61" s="70">
        <v>-0.1</v>
      </c>
      <c r="G61" s="70">
        <v>0.1</v>
      </c>
      <c r="H61" s="43"/>
      <c r="I61" s="70">
        <f t="shared" si="4"/>
        <v>0</v>
      </c>
      <c r="J61" s="70">
        <f t="shared" si="5"/>
        <v>-0.1</v>
      </c>
      <c r="K61" s="3" t="s">
        <v>26</v>
      </c>
      <c r="L61" s="37"/>
      <c r="M61" s="37"/>
      <c r="N61" s="37"/>
      <c r="O61" s="37"/>
      <c r="P61" s="37"/>
      <c r="Q61" s="37"/>
      <c r="R61" s="37"/>
      <c r="S61" s="37"/>
      <c r="T61" s="37"/>
      <c r="U61" s="37"/>
      <c r="V61" s="37"/>
      <c r="W61" s="37"/>
      <c r="Y61" s="21">
        <f t="shared" si="6"/>
        <v>0</v>
      </c>
      <c r="Z61" s="21">
        <f t="shared" si="7"/>
        <v>-0.1</v>
      </c>
      <c r="AA61" s="21">
        <f t="shared" si="8"/>
        <v>0.1</v>
      </c>
      <c r="AB61" s="21">
        <f t="shared" si="9"/>
        <v>0</v>
      </c>
      <c r="AC61" s="21"/>
    </row>
    <row r="62" spans="1:29" x14ac:dyDescent="0.2">
      <c r="A62" s="37"/>
      <c r="B62" s="164"/>
      <c r="C62" s="1">
        <v>100</v>
      </c>
      <c r="D62" s="3" t="s">
        <v>39</v>
      </c>
      <c r="E62" s="42"/>
      <c r="F62" s="70">
        <v>-0.6</v>
      </c>
      <c r="G62" s="70">
        <v>-0.4</v>
      </c>
      <c r="H62" s="43"/>
      <c r="I62" s="70">
        <f t="shared" si="4"/>
        <v>-0.5</v>
      </c>
      <c r="J62" s="70">
        <f t="shared" si="5"/>
        <v>-0.6</v>
      </c>
      <c r="K62" s="3" t="s">
        <v>26</v>
      </c>
      <c r="L62" s="37"/>
      <c r="M62" s="37"/>
      <c r="N62" s="37"/>
      <c r="O62" s="37"/>
      <c r="P62" s="37"/>
      <c r="Q62" s="37"/>
      <c r="R62" s="37"/>
      <c r="S62" s="37"/>
      <c r="T62" s="37"/>
      <c r="U62" s="37"/>
      <c r="V62" s="37"/>
      <c r="W62" s="37"/>
      <c r="Y62" s="21">
        <f t="shared" si="6"/>
        <v>0</v>
      </c>
      <c r="Z62" s="21">
        <f t="shared" si="7"/>
        <v>-0.6</v>
      </c>
      <c r="AA62" s="21">
        <f t="shared" si="8"/>
        <v>-0.4</v>
      </c>
      <c r="AB62" s="21">
        <f t="shared" si="9"/>
        <v>0</v>
      </c>
      <c r="AC62" s="21"/>
    </row>
    <row r="63" spans="1:29" x14ac:dyDescent="0.2">
      <c r="A63" s="37"/>
      <c r="B63" s="164" t="s">
        <v>3</v>
      </c>
      <c r="C63" s="1">
        <v>4</v>
      </c>
      <c r="D63" s="3" t="s">
        <v>39</v>
      </c>
      <c r="E63" s="70">
        <v>-2.6</v>
      </c>
      <c r="F63" s="70">
        <v>-2.7</v>
      </c>
      <c r="G63" s="70">
        <v>-2.4</v>
      </c>
      <c r="H63" s="70">
        <v>-2.2999999999999998</v>
      </c>
      <c r="I63" s="70">
        <f t="shared" ref="I63:I68" si="10">IF(F63="N/A","N/A",AVERAGE(E63:H63))</f>
        <v>-2.5</v>
      </c>
      <c r="J63" s="70">
        <f t="shared" ref="J63:J68" si="11">IF(I63="N/A","N/A",MIN(E63:H63))</f>
        <v>-2.7</v>
      </c>
      <c r="K63" s="3" t="s">
        <v>26</v>
      </c>
      <c r="L63" s="37"/>
      <c r="M63" s="37"/>
      <c r="N63" s="37"/>
      <c r="O63" s="37"/>
      <c r="P63" s="37"/>
      <c r="Q63" s="37"/>
      <c r="R63" s="37"/>
      <c r="S63" s="37"/>
      <c r="T63" s="37"/>
      <c r="U63" s="37"/>
      <c r="V63" s="37"/>
      <c r="W63" s="37"/>
      <c r="Y63" s="21">
        <f t="shared" si="6"/>
        <v>-2.6</v>
      </c>
      <c r="Z63" s="21">
        <f t="shared" si="7"/>
        <v>-2.7</v>
      </c>
      <c r="AA63" s="21">
        <f t="shared" si="8"/>
        <v>-2.4</v>
      </c>
      <c r="AB63" s="21">
        <f t="shared" si="9"/>
        <v>-2.2999999999999998</v>
      </c>
      <c r="AC63" s="21"/>
    </row>
    <row r="64" spans="1:29" x14ac:dyDescent="0.2">
      <c r="A64" s="37"/>
      <c r="B64" s="164"/>
      <c r="C64" s="1">
        <v>16</v>
      </c>
      <c r="D64" s="3" t="s">
        <v>39</v>
      </c>
      <c r="E64" s="70">
        <v>-2.4</v>
      </c>
      <c r="F64" s="70">
        <v>-2.6</v>
      </c>
      <c r="G64" s="70">
        <v>-2.2999999999999998</v>
      </c>
      <c r="H64" s="70">
        <v>-2.2000000000000002</v>
      </c>
      <c r="I64" s="70">
        <f t="shared" si="10"/>
        <v>-2.375</v>
      </c>
      <c r="J64" s="70">
        <f t="shared" si="11"/>
        <v>-2.6</v>
      </c>
      <c r="K64" s="3" t="s">
        <v>26</v>
      </c>
      <c r="L64" s="37"/>
      <c r="M64" s="37"/>
      <c r="N64" s="37"/>
      <c r="O64" s="37"/>
      <c r="P64" s="37"/>
      <c r="Q64" s="37"/>
      <c r="R64" s="37"/>
      <c r="S64" s="37"/>
      <c r="T64" s="37"/>
      <c r="U64" s="37"/>
      <c r="V64" s="37"/>
      <c r="W64" s="37"/>
      <c r="Y64" s="21">
        <f t="shared" si="6"/>
        <v>-2.4</v>
      </c>
      <c r="Z64" s="21">
        <f t="shared" si="7"/>
        <v>-2.6</v>
      </c>
      <c r="AA64" s="21">
        <f t="shared" si="8"/>
        <v>-2.2999999999999998</v>
      </c>
      <c r="AB64" s="21">
        <f t="shared" si="9"/>
        <v>-2.2000000000000002</v>
      </c>
      <c r="AC64" s="21"/>
    </row>
    <row r="65" spans="1:29" x14ac:dyDescent="0.2">
      <c r="A65" s="37"/>
      <c r="B65" s="164"/>
      <c r="C65" s="1">
        <v>31</v>
      </c>
      <c r="D65" s="3" t="s">
        <v>39</v>
      </c>
      <c r="E65" s="70">
        <v>-2.5</v>
      </c>
      <c r="F65" s="70">
        <v>-2.6</v>
      </c>
      <c r="G65" s="70">
        <v>-2.5</v>
      </c>
      <c r="H65" s="70">
        <v>-2.2000000000000002</v>
      </c>
      <c r="I65" s="70">
        <f t="shared" si="10"/>
        <v>-2.4500000000000002</v>
      </c>
      <c r="J65" s="70">
        <f t="shared" si="11"/>
        <v>-2.6</v>
      </c>
      <c r="K65" s="3" t="s">
        <v>26</v>
      </c>
      <c r="L65" s="37"/>
      <c r="M65" s="37"/>
      <c r="N65" s="37"/>
      <c r="O65" s="37"/>
      <c r="P65" s="37"/>
      <c r="Q65" s="37"/>
      <c r="R65" s="37"/>
      <c r="S65" s="37"/>
      <c r="T65" s="37"/>
      <c r="U65" s="37"/>
      <c r="V65" s="37"/>
      <c r="W65" s="37"/>
      <c r="Y65" s="21">
        <f t="shared" si="6"/>
        <v>-2.5</v>
      </c>
      <c r="Z65" s="21">
        <f t="shared" si="7"/>
        <v>-2.6</v>
      </c>
      <c r="AA65" s="21">
        <f t="shared" si="8"/>
        <v>-2.5</v>
      </c>
      <c r="AB65" s="21">
        <f t="shared" si="9"/>
        <v>-2.2000000000000002</v>
      </c>
      <c r="AC65" s="21"/>
    </row>
    <row r="66" spans="1:29" x14ac:dyDescent="0.2">
      <c r="A66" s="37"/>
      <c r="B66" s="164"/>
      <c r="C66" s="1">
        <v>55</v>
      </c>
      <c r="D66" s="3" t="s">
        <v>39</v>
      </c>
      <c r="E66" s="70">
        <v>-2.6</v>
      </c>
      <c r="F66" s="70">
        <v>-2.7</v>
      </c>
      <c r="G66" s="70">
        <v>-2.6</v>
      </c>
      <c r="H66" s="70">
        <v>-2.2999999999999998</v>
      </c>
      <c r="I66" s="70">
        <f t="shared" si="10"/>
        <v>-2.5499999999999998</v>
      </c>
      <c r="J66" s="70">
        <f t="shared" si="11"/>
        <v>-2.7</v>
      </c>
      <c r="K66" s="3" t="s">
        <v>26</v>
      </c>
      <c r="L66" s="37"/>
      <c r="M66" s="37"/>
      <c r="N66" s="37"/>
      <c r="O66" s="37"/>
      <c r="P66" s="37"/>
      <c r="Q66" s="37"/>
      <c r="R66" s="37"/>
      <c r="S66" s="37"/>
      <c r="T66" s="37"/>
      <c r="U66" s="37"/>
      <c r="V66" s="37"/>
      <c r="W66" s="37"/>
      <c r="Y66" s="21">
        <f t="shared" si="6"/>
        <v>-2.6</v>
      </c>
      <c r="Z66" s="21">
        <f t="shared" si="7"/>
        <v>-2.7</v>
      </c>
      <c r="AA66" s="21">
        <f t="shared" si="8"/>
        <v>-2.6</v>
      </c>
      <c r="AB66" s="21">
        <f t="shared" si="9"/>
        <v>-2.2999999999999998</v>
      </c>
      <c r="AC66" s="21"/>
    </row>
    <row r="67" spans="1:29" x14ac:dyDescent="0.2">
      <c r="A67" s="37"/>
      <c r="B67" s="164"/>
      <c r="C67" s="1">
        <v>76</v>
      </c>
      <c r="D67" s="3" t="s">
        <v>39</v>
      </c>
      <c r="E67" s="70">
        <v>-2.4</v>
      </c>
      <c r="F67" s="70">
        <v>-2.6</v>
      </c>
      <c r="G67" s="70">
        <v>-2.6</v>
      </c>
      <c r="H67" s="70">
        <v>-2.6</v>
      </c>
      <c r="I67" s="70">
        <f t="shared" si="10"/>
        <v>-2.5499999999999998</v>
      </c>
      <c r="J67" s="70">
        <f t="shared" si="11"/>
        <v>-2.6</v>
      </c>
      <c r="K67" s="3" t="s">
        <v>26</v>
      </c>
      <c r="L67" s="37"/>
      <c r="M67" s="37"/>
      <c r="N67" s="37"/>
      <c r="O67" s="37"/>
      <c r="P67" s="37"/>
      <c r="Q67" s="37"/>
      <c r="R67" s="37"/>
      <c r="S67" s="37"/>
      <c r="T67" s="37"/>
      <c r="U67" s="37"/>
      <c r="V67" s="37"/>
      <c r="W67" s="37"/>
      <c r="Y67" s="21">
        <f t="shared" si="6"/>
        <v>-2.4</v>
      </c>
      <c r="Z67" s="21">
        <f t="shared" si="7"/>
        <v>-2.6</v>
      </c>
      <c r="AA67" s="21">
        <f t="shared" si="8"/>
        <v>-2.6</v>
      </c>
      <c r="AB67" s="21">
        <f t="shared" si="9"/>
        <v>-2.6</v>
      </c>
      <c r="AC67" s="21"/>
    </row>
    <row r="68" spans="1:29" x14ac:dyDescent="0.2">
      <c r="A68" s="37"/>
      <c r="B68" s="164"/>
      <c r="C68" s="1">
        <v>88</v>
      </c>
      <c r="D68" s="3" t="s">
        <v>39</v>
      </c>
      <c r="E68" s="70">
        <v>-2.6</v>
      </c>
      <c r="F68" s="70">
        <v>-2.7</v>
      </c>
      <c r="G68" s="70">
        <v>-2.7</v>
      </c>
      <c r="H68" s="70">
        <v>-2.5</v>
      </c>
      <c r="I68" s="70">
        <f t="shared" si="10"/>
        <v>-2.625</v>
      </c>
      <c r="J68" s="70">
        <f t="shared" si="11"/>
        <v>-2.7</v>
      </c>
      <c r="K68" s="3" t="s">
        <v>26</v>
      </c>
      <c r="L68" s="37"/>
      <c r="M68" s="37"/>
      <c r="N68" s="37"/>
      <c r="O68" s="37"/>
      <c r="P68" s="37"/>
      <c r="Q68" s="37"/>
      <c r="R68" s="37"/>
      <c r="S68" s="37"/>
      <c r="T68" s="37"/>
      <c r="U68" s="37"/>
      <c r="V68" s="37"/>
      <c r="W68" s="37"/>
      <c r="Y68" s="21">
        <f t="shared" si="6"/>
        <v>-2.6</v>
      </c>
      <c r="Z68" s="21">
        <f t="shared" si="7"/>
        <v>-2.7</v>
      </c>
      <c r="AA68" s="21">
        <f t="shared" si="8"/>
        <v>-2.7</v>
      </c>
      <c r="AB68" s="21">
        <f t="shared" si="9"/>
        <v>-2.5</v>
      </c>
      <c r="AC68" s="21"/>
    </row>
    <row r="69" spans="1:29" ht="7.5" customHeight="1" x14ac:dyDescent="0.2">
      <c r="A69" s="37"/>
      <c r="B69" s="37"/>
      <c r="C69" s="37"/>
      <c r="D69" s="37"/>
      <c r="E69" s="37"/>
      <c r="F69" s="37"/>
      <c r="G69" s="37"/>
      <c r="H69" s="37"/>
      <c r="I69" s="37"/>
      <c r="J69" s="37"/>
      <c r="K69" s="37"/>
      <c r="L69" s="37"/>
      <c r="M69" s="37"/>
      <c r="N69" s="37"/>
      <c r="O69" s="37"/>
      <c r="P69" s="37"/>
      <c r="Q69" s="37"/>
      <c r="R69" s="37"/>
      <c r="S69" s="37"/>
      <c r="T69" s="37"/>
      <c r="U69" s="37"/>
      <c r="V69" s="37"/>
      <c r="W69" s="37"/>
      <c r="Y69" s="21"/>
      <c r="Z69" s="21"/>
      <c r="AA69" s="21"/>
      <c r="AB69" s="21"/>
      <c r="AC69" s="21"/>
    </row>
    <row r="70" spans="1:29" x14ac:dyDescent="0.2">
      <c r="A70" s="37"/>
      <c r="B70" s="37"/>
      <c r="C70" s="37"/>
      <c r="D70" s="37"/>
      <c r="E70" s="37"/>
      <c r="F70" s="37"/>
      <c r="G70" s="37"/>
      <c r="H70" s="37"/>
      <c r="I70" s="37"/>
      <c r="J70" s="37"/>
      <c r="K70" s="37"/>
      <c r="L70" s="37"/>
      <c r="M70" s="37"/>
      <c r="N70" s="37"/>
      <c r="O70" s="37"/>
      <c r="P70" s="37"/>
      <c r="Q70" s="37"/>
      <c r="R70" s="37"/>
      <c r="S70" s="37"/>
      <c r="T70" s="37"/>
      <c r="U70" s="37"/>
      <c r="V70" s="37"/>
      <c r="W70" s="37"/>
      <c r="Y70" s="21"/>
      <c r="Z70" s="21"/>
      <c r="AA70" s="21"/>
      <c r="AB70" s="22">
        <f>MAX(E57:H68)</f>
        <v>0.4</v>
      </c>
      <c r="AC70" s="21"/>
    </row>
    <row r="71" spans="1:29" x14ac:dyDescent="0.2">
      <c r="A71" s="37"/>
      <c r="B71" s="159" t="s">
        <v>184</v>
      </c>
      <c r="C71" s="160"/>
      <c r="D71" s="161"/>
      <c r="E71" s="53" t="s">
        <v>225</v>
      </c>
      <c r="F71" s="53" t="s">
        <v>226</v>
      </c>
      <c r="G71" s="53" t="s">
        <v>227</v>
      </c>
      <c r="H71" s="53" t="s">
        <v>228</v>
      </c>
      <c r="I71" s="37"/>
      <c r="J71" s="37"/>
      <c r="K71" s="37"/>
      <c r="L71" s="37"/>
      <c r="M71" s="37"/>
      <c r="N71" s="37"/>
      <c r="O71" s="37"/>
      <c r="P71" s="37"/>
      <c r="Q71" s="37"/>
      <c r="R71" s="37"/>
      <c r="S71" s="37"/>
      <c r="T71" s="37"/>
      <c r="U71" s="37"/>
      <c r="V71" s="37"/>
      <c r="W71" s="37"/>
      <c r="Y71" s="21"/>
      <c r="Z71" s="21"/>
      <c r="AA71" s="21"/>
      <c r="AB71" s="22">
        <f>MIN(J57:J68)</f>
        <v>-2.7</v>
      </c>
      <c r="AC71" s="21"/>
    </row>
    <row r="72" spans="1:29" x14ac:dyDescent="0.2">
      <c r="A72" s="37"/>
      <c r="B72" s="57" t="s">
        <v>11</v>
      </c>
      <c r="C72" s="162" t="s">
        <v>229</v>
      </c>
      <c r="D72" s="163"/>
      <c r="E72" s="44"/>
      <c r="F72" s="73">
        <f>IF(F61="N/A", "N/A",IF(Y73&lt;Mask_100_Thresh,AA73,(Y73-Mask_100_n)/Mask_100_m))</f>
        <v>3.9610800465862899</v>
      </c>
      <c r="G72" s="73">
        <f>IF(G61="N/A", "N/A",IF(Z73&lt;Mask_100_Thresh,AB73,(Z73-Mask_100_n)/Mask_100_m))</f>
        <v>3.8928044244914082</v>
      </c>
      <c r="H72" s="44"/>
      <c r="I72" s="37"/>
      <c r="J72" s="37"/>
      <c r="K72" s="37"/>
      <c r="L72" s="37"/>
      <c r="M72" s="37"/>
      <c r="N72" s="37"/>
      <c r="O72" s="37"/>
      <c r="P72" s="37"/>
      <c r="Q72" s="37"/>
      <c r="R72" s="37"/>
      <c r="S72" s="37"/>
      <c r="T72" s="37"/>
      <c r="U72" s="37"/>
      <c r="V72" s="37"/>
      <c r="W72" s="37"/>
      <c r="Y72" s="21">
        <f>IF(E45="N/A", "N/A",AVERAGE(E65:E67)-AVERAGE(E63,E45))</f>
        <v>4.9999999999999822E-2</v>
      </c>
      <c r="Z72" s="21">
        <f>IF(F45="N/A", "N/A",AVERAGE(F65:F67)-AVERAGE(F63,F45))</f>
        <v>-3.3333333333333215E-2</v>
      </c>
      <c r="AA72" s="21">
        <f>IF(G45="N/A", "N/A",AVERAGE(G65:G67)-AVERAGE(G63,G45))</f>
        <v>-0.16666666666666652</v>
      </c>
      <c r="AB72" s="21">
        <f>IF(H45="N/A", "N/A",AVERAGE(H65:H67)-AVERAGE(H63,H45))</f>
        <v>-0.1166666666666667</v>
      </c>
      <c r="AC72" s="21"/>
    </row>
    <row r="73" spans="1:29" x14ac:dyDescent="0.2">
      <c r="A73" s="37"/>
      <c r="B73" s="57" t="s">
        <v>3</v>
      </c>
      <c r="C73" s="162" t="s">
        <v>185</v>
      </c>
      <c r="D73" s="163"/>
      <c r="E73" s="74" t="str">
        <f>IF(E45="N/A", "N/A",IF(Y72&lt;Mask_1000_min,"Fit_Problem",IF(Y72&gt;Mask_1000_max,"Fit_Problem",IF(Y72&lt;Mask_1000_lo,"Marginal",IF(Y72&gt;Mask_1000_hi,"Marginal","Fit_OK")))))</f>
        <v>Fit_OK</v>
      </c>
      <c r="F73" s="74" t="str">
        <f>IF(F45="N/A", "N/A",IF(Z72&lt;Mask_1000_min,"Fit_Problem",IF(Z72&gt;Mask_1000_max,"Fit_Problem",IF(Z72&lt;Mask_1000_lo,"Marginal",IF(Z72&gt;Mask_1000_hi,"Marginal","Fit_OK")))))</f>
        <v>Fit_OK</v>
      </c>
      <c r="G73" s="74" t="str">
        <f>IF(G45="N/A", "N/A",IF(AA72&lt;Mask_1000_min,"Fit_Problem",IF(AA72&gt;Mask_1000_max,"Fit_Problem",IF(AA72&lt;Mask_1000_lo,"Marginal",IF(AA72&gt;Mask_1000_hi,"Marginal","Fit_OK")))))</f>
        <v>Fit_OK</v>
      </c>
      <c r="H73" s="74" t="str">
        <f>IF(H45="N/A", "N/A",IF(AB72&lt;Mask_1000_min,"Fit_Problem",IF(AB72&gt;Mask_1000_max,"Fit_Problem",IF(AB72&lt;Mask_1000_lo,"Marginal",IF(AB72&gt;Mask_1000_hi,"Marginal","Fit_OK")))))</f>
        <v>Fit_OK</v>
      </c>
      <c r="I73" s="37"/>
      <c r="J73" s="37"/>
      <c r="K73" s="37"/>
      <c r="L73" s="37"/>
      <c r="M73" s="37"/>
      <c r="N73" s="37"/>
      <c r="O73" s="37"/>
      <c r="P73" s="37"/>
      <c r="Q73" s="37"/>
      <c r="R73" s="37"/>
      <c r="S73" s="37"/>
      <c r="T73" s="37"/>
      <c r="U73" s="37"/>
      <c r="V73" s="37"/>
      <c r="W73" s="37"/>
      <c r="Y73" s="21">
        <f>AVERAGE(F61,F62)-F58</f>
        <v>-0.35</v>
      </c>
      <c r="Z73" s="21">
        <f>AVERAGE(G61,G62)-G58</f>
        <v>-0.25</v>
      </c>
      <c r="AA73" s="21">
        <f>(-Mask_100_b-SQRT(Mask_100_b^2-4*Mask_100_a*(Mask_100_c-Y73)))/(2*Mask_100_a)</f>
        <v>3.9610800465862899</v>
      </c>
      <c r="AB73" s="21">
        <f>(-Mask_100_b-SQRT(Mask_100_b^2-4*Mask_100_a*(Mask_100_c-Z73)))/(2*Mask_100_a)</f>
        <v>3.8928044244914082</v>
      </c>
      <c r="AC73" s="21"/>
    </row>
    <row r="74" spans="1:29" x14ac:dyDescent="0.2">
      <c r="A74" s="37"/>
      <c r="B74" s="37"/>
      <c r="C74" s="37"/>
      <c r="D74" s="37"/>
      <c r="E74" s="37"/>
      <c r="F74" s="37"/>
      <c r="G74" s="37"/>
      <c r="H74" s="37"/>
      <c r="I74" s="37"/>
      <c r="J74" s="37"/>
      <c r="K74" s="37"/>
      <c r="L74" s="37"/>
      <c r="M74" s="37"/>
      <c r="N74" s="37"/>
      <c r="O74" s="37"/>
      <c r="P74" s="37"/>
      <c r="Q74" s="37"/>
      <c r="R74" s="37"/>
      <c r="S74" s="37"/>
      <c r="T74" s="37"/>
      <c r="U74" s="37"/>
      <c r="V74" s="37"/>
      <c r="W74" s="37"/>
      <c r="Y74" s="20"/>
      <c r="Z74" s="20"/>
      <c r="AA74" s="20"/>
      <c r="AB74" s="20"/>
    </row>
    <row r="75" spans="1:29" ht="20.25" customHeight="1" x14ac:dyDescent="0.2">
      <c r="A75" s="37"/>
      <c r="B75" s="37"/>
      <c r="C75" s="37"/>
      <c r="D75" s="37"/>
      <c r="E75" s="37"/>
      <c r="F75" s="37"/>
      <c r="G75" s="37"/>
      <c r="H75" s="37"/>
      <c r="I75" s="37"/>
      <c r="J75" s="37"/>
      <c r="K75" s="37"/>
      <c r="L75" s="37"/>
      <c r="M75" s="37"/>
      <c r="N75" s="37"/>
      <c r="O75" s="37"/>
      <c r="P75" s="37"/>
      <c r="Q75" s="37"/>
      <c r="R75" s="37"/>
      <c r="S75" s="37"/>
      <c r="T75" s="37"/>
      <c r="U75" s="37"/>
      <c r="V75" s="37"/>
      <c r="W75" s="37"/>
    </row>
    <row r="76" spans="1:29" x14ac:dyDescent="0.2">
      <c r="A76" s="37"/>
      <c r="B76" s="158" t="s">
        <v>41</v>
      </c>
      <c r="C76" s="158"/>
      <c r="D76" s="45" t="s">
        <v>42</v>
      </c>
      <c r="E76" s="37"/>
      <c r="F76" s="37"/>
      <c r="G76" s="37"/>
      <c r="H76" s="37"/>
      <c r="I76" s="37"/>
      <c r="J76" s="37"/>
      <c r="K76" s="37"/>
      <c r="L76" s="37"/>
      <c r="M76" s="37"/>
      <c r="N76" s="37"/>
      <c r="O76" s="37"/>
      <c r="P76" s="37"/>
      <c r="Q76" s="37"/>
      <c r="R76" s="37"/>
      <c r="S76" s="37"/>
      <c r="T76" s="37"/>
      <c r="U76" s="37"/>
      <c r="V76" s="37"/>
      <c r="W76" s="37"/>
    </row>
    <row r="77" spans="1:29" ht="4.5" customHeight="1" x14ac:dyDescent="0.2">
      <c r="A77" s="37"/>
      <c r="B77" s="37"/>
      <c r="C77" s="37"/>
      <c r="D77" s="37"/>
      <c r="E77" s="37"/>
      <c r="F77" s="37"/>
      <c r="G77" s="37"/>
      <c r="H77" s="37"/>
      <c r="I77" s="37"/>
      <c r="J77" s="37"/>
      <c r="K77" s="37"/>
      <c r="L77" s="37"/>
      <c r="M77" s="37"/>
      <c r="N77" s="37"/>
      <c r="O77" s="37"/>
      <c r="P77" s="37"/>
      <c r="Q77" s="37"/>
      <c r="R77" s="37"/>
      <c r="S77" s="37"/>
      <c r="T77" s="37"/>
      <c r="U77" s="37"/>
      <c r="V77" s="37"/>
      <c r="W77" s="37"/>
    </row>
    <row r="78" spans="1:29" x14ac:dyDescent="0.2">
      <c r="A78" s="37"/>
      <c r="B78" s="37"/>
      <c r="C78" s="58" t="s">
        <v>21</v>
      </c>
      <c r="D78" s="58" t="s">
        <v>22</v>
      </c>
      <c r="E78" s="58" t="s">
        <v>23</v>
      </c>
      <c r="F78" s="58" t="s">
        <v>24</v>
      </c>
      <c r="G78" s="58" t="s">
        <v>29</v>
      </c>
      <c r="H78" s="58" t="s">
        <v>46</v>
      </c>
      <c r="I78" s="53" t="s">
        <v>25</v>
      </c>
      <c r="J78" s="37"/>
      <c r="K78" s="37"/>
      <c r="L78" s="37"/>
      <c r="M78" s="37"/>
      <c r="N78" s="37"/>
      <c r="O78" s="37"/>
      <c r="P78" s="37"/>
      <c r="Q78" s="37"/>
      <c r="R78" s="37"/>
      <c r="S78" s="37"/>
      <c r="T78" s="37"/>
      <c r="U78" s="37"/>
      <c r="V78" s="37"/>
      <c r="W78" s="37"/>
    </row>
    <row r="79" spans="1:29" x14ac:dyDescent="0.2">
      <c r="A79" s="37"/>
      <c r="B79" s="57" t="s">
        <v>43</v>
      </c>
      <c r="C79" s="69">
        <v>0</v>
      </c>
      <c r="D79" s="69">
        <v>0</v>
      </c>
      <c r="E79" s="69">
        <v>0</v>
      </c>
      <c r="F79" s="69">
        <v>0</v>
      </c>
      <c r="G79" s="69">
        <f>IF(C79="N/A","",IF(D79="N/A","",IF(E79="N/A","",IF(F79="N/A","",MODE(C79:F79)))))</f>
        <v>0</v>
      </c>
      <c r="H79" s="69">
        <f>IF(G79="","",MAX(C79:F79))</f>
        <v>0</v>
      </c>
      <c r="I79" s="3" t="s">
        <v>47</v>
      </c>
      <c r="J79" s="37"/>
      <c r="K79" s="37"/>
      <c r="L79" s="37"/>
      <c r="M79" s="37"/>
      <c r="N79" s="37"/>
      <c r="O79" s="37"/>
      <c r="P79" s="37"/>
      <c r="Q79" s="37"/>
      <c r="R79" s="37"/>
      <c r="S79" s="37"/>
      <c r="T79" s="37"/>
      <c r="U79" s="37"/>
      <c r="V79" s="37"/>
      <c r="W79" s="37"/>
    </row>
    <row r="80" spans="1:29" x14ac:dyDescent="0.2">
      <c r="A80" s="37"/>
      <c r="B80" s="57" t="s">
        <v>44</v>
      </c>
      <c r="C80" s="69">
        <v>-26</v>
      </c>
      <c r="D80" s="69">
        <v>-25.4</v>
      </c>
      <c r="E80" s="69">
        <v>-25.8</v>
      </c>
      <c r="F80" s="69">
        <v>-25.5</v>
      </c>
      <c r="G80" s="69">
        <f>IF(C80="N/A","",IF(D80="N/A","",IF(E80="N/A","",IF(F80="N/A","",AVERAGE(C80:F80)))))</f>
        <v>-25.675000000000001</v>
      </c>
      <c r="H80" s="69">
        <f>IF(G80="","",MAX(C80:F80))</f>
        <v>-25.4</v>
      </c>
      <c r="I80" s="3" t="s">
        <v>26</v>
      </c>
      <c r="J80" s="37"/>
      <c r="K80" s="37"/>
      <c r="L80" s="37"/>
      <c r="M80" s="37"/>
      <c r="N80" s="37"/>
      <c r="O80" s="37"/>
      <c r="P80" s="37"/>
      <c r="Q80" s="37"/>
      <c r="R80" s="37"/>
      <c r="S80" s="37"/>
      <c r="T80" s="37"/>
      <c r="U80" s="37"/>
      <c r="V80" s="37"/>
      <c r="W80" s="37"/>
    </row>
    <row r="81" spans="1:27" x14ac:dyDescent="0.2">
      <c r="A81" s="37"/>
      <c r="B81" s="59"/>
      <c r="C81" s="58" t="s">
        <v>61</v>
      </c>
      <c r="D81" s="58" t="s">
        <v>62</v>
      </c>
      <c r="E81" s="58" t="s">
        <v>63</v>
      </c>
      <c r="F81" s="58" t="s">
        <v>64</v>
      </c>
      <c r="G81" s="58" t="s">
        <v>65</v>
      </c>
      <c r="H81" s="58" t="s">
        <v>66</v>
      </c>
      <c r="I81" s="58" t="s">
        <v>29</v>
      </c>
      <c r="J81" s="58" t="s">
        <v>46</v>
      </c>
      <c r="K81" s="53" t="s">
        <v>25</v>
      </c>
      <c r="L81" s="37"/>
      <c r="M81" s="37"/>
      <c r="N81" s="37"/>
      <c r="O81" s="37"/>
      <c r="P81" s="37"/>
      <c r="Q81" s="37"/>
      <c r="R81" s="37"/>
      <c r="S81" s="37"/>
      <c r="T81" s="37"/>
      <c r="U81" s="37"/>
      <c r="V81" s="37"/>
      <c r="W81" s="37"/>
    </row>
    <row r="82" spans="1:27" x14ac:dyDescent="0.2">
      <c r="A82" s="37"/>
      <c r="B82" s="55" t="s">
        <v>45</v>
      </c>
      <c r="C82" s="69">
        <v>-39</v>
      </c>
      <c r="D82" s="69">
        <v>-39</v>
      </c>
      <c r="E82" s="69">
        <v>-39</v>
      </c>
      <c r="F82" s="69">
        <v>-39</v>
      </c>
      <c r="G82" s="69">
        <v>-39</v>
      </c>
      <c r="H82" s="69">
        <v>-39</v>
      </c>
      <c r="I82" s="69">
        <f>IF(C82="N/A","",IF(D82="N/A","",IF(E82="N/A","",IF(F82="N/A","",IF(G82="N/A","",IF(H82="N/A","",AVERAGE(C82:H82)))))))</f>
        <v>-39</v>
      </c>
      <c r="J82" s="69">
        <f>IF(I82="","",MAX(C82:H82))</f>
        <v>-39</v>
      </c>
      <c r="K82" s="3" t="s">
        <v>26</v>
      </c>
      <c r="L82" s="37"/>
      <c r="M82" s="37"/>
      <c r="N82" s="37"/>
      <c r="O82" s="37"/>
      <c r="P82" s="37"/>
      <c r="Q82" s="37"/>
      <c r="R82" s="37"/>
      <c r="S82" s="37"/>
      <c r="T82" s="37"/>
      <c r="U82" s="37"/>
      <c r="V82" s="37"/>
      <c r="W82" s="37"/>
    </row>
    <row r="83" spans="1:27" ht="5.25" customHeight="1" x14ac:dyDescent="0.2">
      <c r="A83" s="37"/>
      <c r="B83" s="37"/>
      <c r="C83" s="37"/>
      <c r="D83" s="37"/>
      <c r="E83" s="37"/>
      <c r="F83" s="37"/>
      <c r="G83" s="37"/>
      <c r="H83" s="37"/>
      <c r="I83" s="37"/>
      <c r="J83" s="37"/>
      <c r="K83" s="37"/>
      <c r="L83" s="37"/>
      <c r="M83" s="37"/>
      <c r="N83" s="37"/>
      <c r="O83" s="37"/>
      <c r="P83" s="37"/>
      <c r="Q83" s="37"/>
      <c r="R83" s="37"/>
      <c r="S83" s="37"/>
      <c r="T83" s="37"/>
      <c r="U83" s="37"/>
      <c r="V83" s="37"/>
      <c r="W83" s="37"/>
    </row>
    <row r="84" spans="1:27" x14ac:dyDescent="0.2">
      <c r="A84" s="37"/>
      <c r="B84" s="37"/>
      <c r="C84" s="37"/>
      <c r="D84" s="37"/>
      <c r="E84" s="37"/>
      <c r="F84" s="37"/>
      <c r="G84" s="37"/>
      <c r="H84" s="37"/>
      <c r="I84" s="37"/>
      <c r="J84" s="37"/>
      <c r="K84" s="37"/>
      <c r="L84" s="37"/>
      <c r="M84" s="37"/>
      <c r="N84" s="37"/>
      <c r="O84" s="37"/>
      <c r="P84" s="37"/>
      <c r="Q84" s="37"/>
      <c r="R84" s="37"/>
      <c r="S84" s="37"/>
      <c r="T84" s="37"/>
      <c r="U84" s="37"/>
      <c r="V84" s="37"/>
      <c r="W84" s="37"/>
    </row>
    <row r="85" spans="1:27" x14ac:dyDescent="0.2">
      <c r="A85" s="37"/>
      <c r="B85" s="37"/>
      <c r="C85" s="37"/>
      <c r="D85" s="37"/>
      <c r="E85" s="37"/>
      <c r="F85" s="37"/>
      <c r="G85" s="37"/>
      <c r="H85" s="37"/>
      <c r="I85" s="37"/>
      <c r="J85" s="37"/>
      <c r="K85" s="37"/>
      <c r="L85" s="37"/>
      <c r="M85" s="37"/>
      <c r="N85" s="37"/>
      <c r="O85" s="37"/>
      <c r="P85" s="37"/>
      <c r="Q85" s="37"/>
      <c r="R85" s="37"/>
      <c r="S85" s="37"/>
      <c r="T85" s="37"/>
      <c r="U85" s="37"/>
      <c r="V85" s="37"/>
      <c r="W85" s="37"/>
    </row>
    <row r="86" spans="1:27" x14ac:dyDescent="0.2">
      <c r="A86" s="37"/>
      <c r="B86" s="37"/>
      <c r="C86" s="37"/>
      <c r="D86" s="37"/>
      <c r="E86" s="37"/>
      <c r="F86" s="37"/>
      <c r="G86" s="37"/>
      <c r="H86" s="37"/>
      <c r="I86" s="37"/>
      <c r="J86" s="37"/>
      <c r="K86" s="37"/>
      <c r="L86" s="37"/>
      <c r="M86" s="37"/>
      <c r="N86" s="37"/>
      <c r="O86" s="37"/>
      <c r="P86" s="37"/>
      <c r="Q86" s="37"/>
      <c r="R86" s="37"/>
      <c r="S86" s="37"/>
      <c r="T86" s="37"/>
      <c r="U86" s="37"/>
      <c r="V86" s="37"/>
      <c r="W86" s="37"/>
    </row>
    <row r="87" spans="1:27" x14ac:dyDescent="0.2">
      <c r="A87" s="37"/>
      <c r="B87" s="37"/>
      <c r="C87" s="37"/>
      <c r="D87" s="37"/>
      <c r="E87" s="37"/>
      <c r="F87" s="37"/>
      <c r="G87" s="37"/>
      <c r="H87" s="37"/>
      <c r="I87" s="37"/>
      <c r="J87" s="37"/>
      <c r="K87" s="37"/>
      <c r="L87" s="37"/>
      <c r="M87" s="37"/>
      <c r="N87" s="37"/>
      <c r="O87" s="37"/>
      <c r="P87" s="37"/>
      <c r="Q87" s="37"/>
      <c r="R87" s="37"/>
      <c r="S87" s="37"/>
      <c r="T87" s="37"/>
      <c r="U87" s="37"/>
      <c r="V87" s="37"/>
      <c r="W87" s="37"/>
    </row>
    <row r="88" spans="1:27" x14ac:dyDescent="0.2">
      <c r="A88" s="37"/>
      <c r="B88" s="37"/>
      <c r="C88" s="37"/>
      <c r="D88" s="37"/>
      <c r="E88" s="37"/>
      <c r="F88" s="37"/>
      <c r="G88" s="37"/>
      <c r="H88" s="37"/>
      <c r="I88" s="37"/>
      <c r="J88" s="37"/>
      <c r="K88" s="37"/>
      <c r="L88" s="37"/>
      <c r="M88" s="37"/>
      <c r="N88" s="37"/>
      <c r="O88" s="37"/>
      <c r="P88" s="37"/>
      <c r="Q88" s="37"/>
      <c r="R88" s="37"/>
      <c r="S88" s="37"/>
      <c r="T88" s="37"/>
      <c r="U88" s="37"/>
      <c r="V88" s="37"/>
      <c r="W88" s="37"/>
    </row>
    <row r="89" spans="1:27" x14ac:dyDescent="0.2">
      <c r="A89" s="37"/>
      <c r="B89" s="37"/>
      <c r="C89" s="37"/>
      <c r="D89" s="37"/>
      <c r="E89" s="37"/>
      <c r="F89" s="37"/>
      <c r="G89" s="37"/>
      <c r="H89" s="37"/>
      <c r="I89" s="37"/>
      <c r="J89" s="37"/>
      <c r="K89" s="37"/>
      <c r="L89" s="37"/>
      <c r="M89" s="37"/>
      <c r="N89" s="37"/>
      <c r="O89" s="37"/>
      <c r="P89" s="37"/>
      <c r="Q89" s="37"/>
      <c r="R89" s="37"/>
      <c r="S89" s="37"/>
      <c r="T89" s="37"/>
      <c r="U89" s="37"/>
      <c r="V89" s="37"/>
      <c r="W89" s="37"/>
    </row>
    <row r="90" spans="1:27" x14ac:dyDescent="0.2">
      <c r="A90" s="37"/>
      <c r="B90" s="37"/>
      <c r="C90" s="37"/>
      <c r="D90" s="37"/>
      <c r="E90" s="37"/>
      <c r="F90" s="37"/>
      <c r="G90" s="37"/>
      <c r="H90" s="37"/>
      <c r="I90" s="37"/>
      <c r="J90" s="37"/>
      <c r="K90" s="37"/>
      <c r="L90" s="37"/>
      <c r="M90" s="37"/>
      <c r="N90" s="37"/>
      <c r="O90" s="37"/>
      <c r="P90" s="37"/>
      <c r="Q90" s="37"/>
      <c r="R90" s="37"/>
      <c r="S90" s="37"/>
      <c r="T90" s="37"/>
      <c r="U90" s="37"/>
      <c r="V90" s="37"/>
      <c r="W90" s="37"/>
    </row>
    <row r="91" spans="1:27" ht="18" x14ac:dyDescent="0.25">
      <c r="A91" s="37"/>
      <c r="B91" s="157" t="s">
        <v>144</v>
      </c>
      <c r="C91" s="157"/>
      <c r="D91" s="157"/>
      <c r="E91" s="37"/>
      <c r="F91" s="37"/>
      <c r="G91" s="37"/>
      <c r="H91" s="37"/>
      <c r="I91" s="37"/>
      <c r="J91" s="37"/>
      <c r="K91" s="37"/>
      <c r="L91" s="37"/>
      <c r="M91" s="37"/>
      <c r="N91" s="37"/>
      <c r="O91" s="37"/>
      <c r="P91" s="37"/>
      <c r="Q91" s="37"/>
      <c r="R91" s="37"/>
      <c r="S91" s="37"/>
      <c r="T91" s="37"/>
      <c r="U91" s="37"/>
      <c r="V91" s="37"/>
      <c r="W91" s="37"/>
    </row>
    <row r="92" spans="1:27" ht="3.75" customHeight="1" x14ac:dyDescent="0.2">
      <c r="A92" s="37"/>
      <c r="B92" s="51"/>
      <c r="C92" s="51"/>
      <c r="D92" s="51"/>
      <c r="E92" s="51"/>
      <c r="F92" s="51"/>
      <c r="G92" s="51"/>
      <c r="H92" s="51"/>
      <c r="I92" s="51"/>
      <c r="J92" s="51"/>
      <c r="K92" s="51"/>
      <c r="L92" s="51"/>
      <c r="M92" s="51"/>
      <c r="N92" s="51"/>
      <c r="O92" s="51"/>
      <c r="P92" s="51"/>
      <c r="Q92" s="51"/>
      <c r="R92" s="51"/>
      <c r="S92" s="51"/>
      <c r="T92" s="51"/>
      <c r="U92" s="51"/>
      <c r="V92" s="51"/>
      <c r="W92" s="37"/>
    </row>
    <row r="93" spans="1:27" ht="12.75" customHeight="1" x14ac:dyDescent="0.2">
      <c r="A93" s="37"/>
      <c r="B93" s="37"/>
      <c r="C93" s="37"/>
      <c r="D93" s="37"/>
      <c r="E93" s="37"/>
      <c r="F93" s="37"/>
      <c r="G93" s="37"/>
      <c r="H93" s="37"/>
      <c r="I93" s="37"/>
      <c r="J93" s="37"/>
      <c r="K93" s="37"/>
      <c r="L93" s="37"/>
      <c r="M93" s="37"/>
      <c r="N93" s="37"/>
      <c r="O93" s="37"/>
      <c r="P93" s="37"/>
      <c r="Q93" s="37"/>
      <c r="R93" s="37"/>
      <c r="S93" s="37"/>
      <c r="T93" s="37"/>
      <c r="U93" s="37"/>
      <c r="V93" s="37"/>
      <c r="W93" s="37"/>
      <c r="Y93" s="6" t="s">
        <v>148</v>
      </c>
      <c r="Z93" s="6"/>
      <c r="AA93" s="6"/>
    </row>
    <row r="94" spans="1:27" ht="12.75" customHeight="1" x14ac:dyDescent="0.2">
      <c r="A94" s="37"/>
      <c r="B94" s="198" t="s">
        <v>315</v>
      </c>
      <c r="C94" s="198"/>
      <c r="D94" s="198"/>
      <c r="E94" s="83" t="s">
        <v>118</v>
      </c>
      <c r="F94" s="37"/>
      <c r="G94" s="198" t="s">
        <v>313</v>
      </c>
      <c r="H94" s="198"/>
      <c r="I94" s="198"/>
      <c r="J94" s="83" t="s">
        <v>362</v>
      </c>
      <c r="K94" s="37"/>
      <c r="L94" s="37"/>
      <c r="M94" s="198" t="s">
        <v>345</v>
      </c>
      <c r="N94" s="198"/>
      <c r="O94" s="198"/>
      <c r="P94" s="83" t="s">
        <v>362</v>
      </c>
      <c r="Q94" s="37"/>
      <c r="R94" s="37"/>
      <c r="S94" s="52" t="s">
        <v>147</v>
      </c>
      <c r="T94" s="37"/>
      <c r="U94" s="37"/>
      <c r="V94" s="37"/>
      <c r="W94" s="37"/>
      <c r="Y94" s="6" t="s">
        <v>1</v>
      </c>
      <c r="Z94" s="6" t="s">
        <v>161</v>
      </c>
      <c r="AA94" s="6" t="s">
        <v>3</v>
      </c>
    </row>
    <row r="95" spans="1:27" ht="12.75" customHeight="1" x14ac:dyDescent="0.2">
      <c r="A95" s="37"/>
      <c r="B95" s="77" t="s">
        <v>199</v>
      </c>
      <c r="C95" s="78" t="s">
        <v>118</v>
      </c>
      <c r="D95" s="80" t="s">
        <v>151</v>
      </c>
      <c r="E95" s="81" t="s">
        <v>118</v>
      </c>
      <c r="F95" s="37" t="str">
        <f>IF(E$94="Link_Chk","","%")</f>
        <v>%</v>
      </c>
      <c r="G95" s="77" t="s">
        <v>363</v>
      </c>
      <c r="H95" s="78" t="s">
        <v>364</v>
      </c>
      <c r="I95" s="80" t="s">
        <v>151</v>
      </c>
      <c r="J95" s="81">
        <v>100</v>
      </c>
      <c r="K95" s="48" t="str">
        <f>IF(J$94="Link_Chk","","%")</f>
        <v>%</v>
      </c>
      <c r="L95" s="37"/>
      <c r="M95" s="77" t="s">
        <v>363</v>
      </c>
      <c r="N95" s="78" t="s">
        <v>371</v>
      </c>
      <c r="O95" s="80" t="s">
        <v>152</v>
      </c>
      <c r="P95" s="81">
        <v>100</v>
      </c>
      <c r="Q95" s="48" t="str">
        <f>IF(P$94="Link_Chk","","%")</f>
        <v>%</v>
      </c>
      <c r="R95" s="37"/>
      <c r="S95" s="86" t="s">
        <v>149</v>
      </c>
      <c r="T95" s="84" t="s">
        <v>68</v>
      </c>
      <c r="U95" s="84" t="str">
        <f>IF(E94="Packets","Good",IF(Y120&gt;100,IF(Z120&gt;100,"Good*","Good"),"Good"))</f>
        <v>Good</v>
      </c>
      <c r="V95" s="84" t="s">
        <v>70</v>
      </c>
      <c r="W95" s="37"/>
      <c r="Y95" s="6" t="str">
        <f>IF(E95="UP",101,IF(E95="DOWN",0,E95))</f>
        <v>N/A</v>
      </c>
      <c r="Z95" s="6">
        <f>IF(J95="UP",101,IF(J95="DOWN",0,J95))</f>
        <v>100</v>
      </c>
      <c r="AA95" s="6">
        <f>IF(P95="UP",101,IF(P95="DOWN",0,P95))</f>
        <v>100</v>
      </c>
    </row>
    <row r="96" spans="1:27" ht="12.75" customHeight="1" x14ac:dyDescent="0.2">
      <c r="A96" s="37"/>
      <c r="B96" s="77" t="s">
        <v>200</v>
      </c>
      <c r="C96" s="79" t="s">
        <v>118</v>
      </c>
      <c r="D96" s="82" t="s">
        <v>67</v>
      </c>
      <c r="E96" s="81" t="s">
        <v>118</v>
      </c>
      <c r="F96" s="37" t="str">
        <f t="shared" ref="F96:F105" si="12">IF(E$94="Link_Chk","","%")</f>
        <v>%</v>
      </c>
      <c r="G96" s="77" t="s">
        <v>365</v>
      </c>
      <c r="H96" s="79">
        <v>-50</v>
      </c>
      <c r="I96" s="82" t="s">
        <v>67</v>
      </c>
      <c r="J96" s="81">
        <v>100</v>
      </c>
      <c r="K96" s="48" t="str">
        <f t="shared" ref="K96:K104" si="13">IF(J$94="Link_Chk","","%")</f>
        <v>%</v>
      </c>
      <c r="L96" s="37"/>
      <c r="M96" s="77" t="s">
        <v>363</v>
      </c>
      <c r="N96" s="78" t="s">
        <v>364</v>
      </c>
      <c r="O96" s="80" t="s">
        <v>151</v>
      </c>
      <c r="P96" s="81">
        <v>100</v>
      </c>
      <c r="Q96" s="48" t="str">
        <f t="shared" ref="Q96:Q104" si="14">IF(P$94="Link_Chk","","%")</f>
        <v>%</v>
      </c>
      <c r="R96" s="37"/>
      <c r="S96" s="84" t="s">
        <v>146</v>
      </c>
      <c r="T96" s="85">
        <f>IF($Y$121=-1,-1,IF($Y121&lt;D198,1,0))</f>
        <v>-1</v>
      </c>
      <c r="U96" s="85">
        <f>IF($Y$121=-1,-1,IF($Y$121&gt;=D198,IF($Y$121&lt;E198,1,0),0))</f>
        <v>-1</v>
      </c>
      <c r="V96" s="85">
        <f>IF($Y$121=-1,-1,IF($Y121&gt;=E198,1,0))</f>
        <v>-1</v>
      </c>
      <c r="W96" s="37"/>
      <c r="Y96" s="6" t="str">
        <f t="shared" ref="Y96:Y105" si="15">IF(E96="UP",101,IF(E96="DOWN",0,E96))</f>
        <v>N/A</v>
      </c>
      <c r="Z96" s="6">
        <f t="shared" ref="Z96:Z105" si="16">IF(J96="UP",101,IF(J96="DOWN",0,J96))</f>
        <v>100</v>
      </c>
      <c r="AA96" s="6">
        <f t="shared" ref="AA96:AA105" si="17">IF(P96="UP",101,IF(P96="DOWN",0,P96))</f>
        <v>100</v>
      </c>
    </row>
    <row r="97" spans="1:27" ht="12.75" customHeight="1" x14ac:dyDescent="0.2">
      <c r="A97" s="37"/>
      <c r="B97" s="77" t="s">
        <v>201</v>
      </c>
      <c r="C97" s="79" t="s">
        <v>118</v>
      </c>
      <c r="D97" s="82" t="s">
        <v>67</v>
      </c>
      <c r="E97" s="81" t="s">
        <v>118</v>
      </c>
      <c r="F97" s="37" t="str">
        <f t="shared" si="12"/>
        <v>%</v>
      </c>
      <c r="G97" s="77" t="s">
        <v>365</v>
      </c>
      <c r="H97" s="79">
        <v>50</v>
      </c>
      <c r="I97" s="82" t="s">
        <v>67</v>
      </c>
      <c r="J97" s="81">
        <v>100</v>
      </c>
      <c r="K97" s="48" t="str">
        <f t="shared" si="13"/>
        <v>%</v>
      </c>
      <c r="L97" s="37"/>
      <c r="M97" s="77" t="s">
        <v>366</v>
      </c>
      <c r="N97" s="78">
        <v>-1</v>
      </c>
      <c r="O97" s="82" t="s">
        <v>96</v>
      </c>
      <c r="P97" s="81">
        <v>100</v>
      </c>
      <c r="Q97" s="48" t="str">
        <f t="shared" si="14"/>
        <v>%</v>
      </c>
      <c r="R97" s="37"/>
      <c r="S97" s="48"/>
      <c r="T97" s="37"/>
      <c r="U97" s="37"/>
      <c r="V97" s="37"/>
      <c r="W97" s="37"/>
      <c r="Y97" s="6" t="str">
        <f t="shared" si="15"/>
        <v>N/A</v>
      </c>
      <c r="Z97" s="6">
        <f t="shared" si="16"/>
        <v>100</v>
      </c>
      <c r="AA97" s="6">
        <f t="shared" si="17"/>
        <v>100</v>
      </c>
    </row>
    <row r="98" spans="1:27" ht="12.75" customHeight="1" x14ac:dyDescent="0.2">
      <c r="A98" s="37"/>
      <c r="B98" s="77" t="s">
        <v>202</v>
      </c>
      <c r="C98" s="79" t="s">
        <v>118</v>
      </c>
      <c r="D98" s="82" t="s">
        <v>67</v>
      </c>
      <c r="E98" s="81" t="s">
        <v>118</v>
      </c>
      <c r="F98" s="37" t="str">
        <f t="shared" si="12"/>
        <v>%</v>
      </c>
      <c r="G98" s="77" t="s">
        <v>365</v>
      </c>
      <c r="H98" s="79">
        <v>-100</v>
      </c>
      <c r="I98" s="82" t="s">
        <v>67</v>
      </c>
      <c r="J98" s="81">
        <v>100</v>
      </c>
      <c r="K98" s="48" t="str">
        <f t="shared" si="13"/>
        <v>%</v>
      </c>
      <c r="L98" s="37"/>
      <c r="M98" s="77" t="s">
        <v>366</v>
      </c>
      <c r="N98" s="78">
        <v>1.5</v>
      </c>
      <c r="O98" s="82" t="s">
        <v>96</v>
      </c>
      <c r="P98" s="81">
        <v>100</v>
      </c>
      <c r="Q98" s="48" t="str">
        <f t="shared" si="14"/>
        <v>%</v>
      </c>
      <c r="R98" s="37"/>
      <c r="S98" s="86"/>
      <c r="T98" s="84" t="s">
        <v>68</v>
      </c>
      <c r="U98" s="84" t="str">
        <f>IF(Z120&gt;100,"Good*","Good")</f>
        <v>Good</v>
      </c>
      <c r="V98" s="84" t="s">
        <v>70</v>
      </c>
      <c r="W98" s="37"/>
      <c r="Y98" s="6" t="str">
        <f t="shared" si="15"/>
        <v>N/A</v>
      </c>
      <c r="Z98" s="6">
        <f t="shared" si="16"/>
        <v>100</v>
      </c>
      <c r="AA98" s="6">
        <f t="shared" si="17"/>
        <v>100</v>
      </c>
    </row>
    <row r="99" spans="1:27" ht="12.75" customHeight="1" x14ac:dyDescent="0.2">
      <c r="A99" s="37"/>
      <c r="B99" s="77" t="s">
        <v>203</v>
      </c>
      <c r="C99" s="79" t="s">
        <v>118</v>
      </c>
      <c r="D99" s="82" t="s">
        <v>67</v>
      </c>
      <c r="E99" s="81" t="s">
        <v>118</v>
      </c>
      <c r="F99" s="37" t="str">
        <f t="shared" si="12"/>
        <v>%</v>
      </c>
      <c r="G99" s="77" t="s">
        <v>365</v>
      </c>
      <c r="H99" s="79">
        <v>100</v>
      </c>
      <c r="I99" s="82" t="s">
        <v>67</v>
      </c>
      <c r="J99" s="81">
        <v>100</v>
      </c>
      <c r="K99" s="48" t="str">
        <f t="shared" si="13"/>
        <v>%</v>
      </c>
      <c r="L99" s="37"/>
      <c r="M99" s="77" t="s">
        <v>366</v>
      </c>
      <c r="N99" s="78">
        <v>4</v>
      </c>
      <c r="O99" s="82" t="s">
        <v>96</v>
      </c>
      <c r="P99" s="81">
        <v>100</v>
      </c>
      <c r="Q99" s="48" t="str">
        <f t="shared" si="14"/>
        <v>%</v>
      </c>
      <c r="R99" s="37"/>
      <c r="S99" s="84" t="s">
        <v>318</v>
      </c>
      <c r="T99" s="87">
        <f>IF($Z$121=-1,-1,IF($Z121&lt;D201,1,0))</f>
        <v>1</v>
      </c>
      <c r="U99" s="87">
        <f>IF($Z$121=-1,-1,IF($Z$121&gt;=D201,IF($Z$121&lt;E201,1,0),0))</f>
        <v>0</v>
      </c>
      <c r="V99" s="87">
        <f>IF($Z$121=-1,-1,IF($Z121&gt;E201,1,0))</f>
        <v>0</v>
      </c>
      <c r="W99" s="37"/>
      <c r="Y99" s="6" t="str">
        <f t="shared" si="15"/>
        <v>N/A</v>
      </c>
      <c r="Z99" s="6">
        <f t="shared" si="16"/>
        <v>100</v>
      </c>
      <c r="AA99" s="6">
        <f t="shared" si="17"/>
        <v>100</v>
      </c>
    </row>
    <row r="100" spans="1:27" ht="12.75" customHeight="1" x14ac:dyDescent="0.2">
      <c r="A100" s="37"/>
      <c r="B100" s="77" t="s">
        <v>204</v>
      </c>
      <c r="C100" s="78" t="s">
        <v>118</v>
      </c>
      <c r="D100" s="82" t="s">
        <v>96</v>
      </c>
      <c r="E100" s="81" t="s">
        <v>118</v>
      </c>
      <c r="F100" s="37" t="str">
        <f t="shared" si="12"/>
        <v>%</v>
      </c>
      <c r="G100" s="77" t="s">
        <v>366</v>
      </c>
      <c r="H100" s="78">
        <v>5</v>
      </c>
      <c r="I100" s="82" t="s">
        <v>96</v>
      </c>
      <c r="J100" s="81">
        <v>100</v>
      </c>
      <c r="K100" s="48" t="str">
        <f t="shared" si="13"/>
        <v>%</v>
      </c>
      <c r="L100" s="37"/>
      <c r="M100" s="77" t="s">
        <v>367</v>
      </c>
      <c r="N100" s="78">
        <v>-1</v>
      </c>
      <c r="O100" s="82" t="s">
        <v>97</v>
      </c>
      <c r="P100" s="81">
        <v>100</v>
      </c>
      <c r="Q100" s="48" t="str">
        <f t="shared" si="14"/>
        <v>%</v>
      </c>
      <c r="R100" s="37"/>
      <c r="S100" s="48"/>
      <c r="T100" s="37"/>
      <c r="U100" s="37"/>
      <c r="V100" s="37"/>
      <c r="W100" s="37"/>
      <c r="Y100" s="6" t="str">
        <f t="shared" si="15"/>
        <v>N/A</v>
      </c>
      <c r="Z100" s="6">
        <f t="shared" si="16"/>
        <v>100</v>
      </c>
      <c r="AA100" s="6">
        <f t="shared" si="17"/>
        <v>100</v>
      </c>
    </row>
    <row r="101" spans="1:27" ht="12.75" customHeight="1" x14ac:dyDescent="0.2">
      <c r="A101" s="37"/>
      <c r="B101" s="77" t="s">
        <v>205</v>
      </c>
      <c r="C101" s="78" t="s">
        <v>118</v>
      </c>
      <c r="D101" s="82" t="s">
        <v>96</v>
      </c>
      <c r="E101" s="81" t="s">
        <v>118</v>
      </c>
      <c r="F101" s="37" t="str">
        <f t="shared" si="12"/>
        <v>%</v>
      </c>
      <c r="G101" s="77" t="s">
        <v>366</v>
      </c>
      <c r="H101" s="78">
        <v>11</v>
      </c>
      <c r="I101" s="82" t="s">
        <v>96</v>
      </c>
      <c r="J101" s="81">
        <v>100</v>
      </c>
      <c r="K101" s="48" t="str">
        <f t="shared" si="13"/>
        <v>%</v>
      </c>
      <c r="L101" s="37"/>
      <c r="M101" s="77" t="s">
        <v>367</v>
      </c>
      <c r="N101" s="78">
        <v>1</v>
      </c>
      <c r="O101" s="82" t="s">
        <v>97</v>
      </c>
      <c r="P101" s="81">
        <v>100</v>
      </c>
      <c r="Q101" s="48" t="str">
        <f t="shared" si="14"/>
        <v>%</v>
      </c>
      <c r="R101" s="37"/>
      <c r="S101" s="86"/>
      <c r="T101" s="84" t="s">
        <v>68</v>
      </c>
      <c r="U101" s="84" t="s">
        <v>69</v>
      </c>
      <c r="V101" s="84" t="s">
        <v>70</v>
      </c>
      <c r="W101" s="37"/>
      <c r="Y101" s="6" t="str">
        <f t="shared" si="15"/>
        <v>N/A</v>
      </c>
      <c r="Z101" s="6">
        <f t="shared" si="16"/>
        <v>100</v>
      </c>
      <c r="AA101" s="6">
        <f t="shared" si="17"/>
        <v>100</v>
      </c>
    </row>
    <row r="102" spans="1:27" ht="12.75" customHeight="1" x14ac:dyDescent="0.2">
      <c r="A102" s="37"/>
      <c r="B102" s="77" t="s">
        <v>206</v>
      </c>
      <c r="C102" s="78" t="s">
        <v>118</v>
      </c>
      <c r="D102" s="82" t="s">
        <v>97</v>
      </c>
      <c r="E102" s="81" t="s">
        <v>118</v>
      </c>
      <c r="F102" s="37" t="str">
        <f t="shared" si="12"/>
        <v>%</v>
      </c>
      <c r="G102" s="77" t="s">
        <v>367</v>
      </c>
      <c r="H102" s="78">
        <v>10.5</v>
      </c>
      <c r="I102" s="82" t="s">
        <v>97</v>
      </c>
      <c r="J102" s="81">
        <v>5</v>
      </c>
      <c r="K102" s="48" t="str">
        <f t="shared" si="13"/>
        <v>%</v>
      </c>
      <c r="L102" s="37"/>
      <c r="M102" s="77" t="s">
        <v>367</v>
      </c>
      <c r="N102" s="78">
        <v>3</v>
      </c>
      <c r="O102" s="82" t="s">
        <v>97</v>
      </c>
      <c r="P102" s="81">
        <v>100</v>
      </c>
      <c r="Q102" s="48" t="str">
        <f t="shared" si="14"/>
        <v>%</v>
      </c>
      <c r="R102" s="37"/>
      <c r="S102" s="84" t="s">
        <v>150</v>
      </c>
      <c r="T102" s="87">
        <f>IF($AA$121=-1,-1,IF($AA$121&lt;D204,1,0))</f>
        <v>0</v>
      </c>
      <c r="U102" s="87">
        <f>IF($AA$121=-1,-1,IF($AA$121&gt;=D204,IF($AA$121&lt;E204,1,0),0))</f>
        <v>0</v>
      </c>
      <c r="V102" s="87">
        <f>IF($AA$121=-1,-1,IF($AA$121&gt;=E204,1,0))</f>
        <v>1</v>
      </c>
      <c r="W102" s="37"/>
      <c r="Y102" s="6" t="str">
        <f t="shared" si="15"/>
        <v>N/A</v>
      </c>
      <c r="Z102" s="6">
        <f t="shared" si="16"/>
        <v>5</v>
      </c>
      <c r="AA102" s="6">
        <f t="shared" si="17"/>
        <v>100</v>
      </c>
    </row>
    <row r="103" spans="1:27" ht="12.75" customHeight="1" x14ac:dyDescent="0.2">
      <c r="A103" s="37"/>
      <c r="B103" s="77" t="s">
        <v>207</v>
      </c>
      <c r="C103" s="78" t="s">
        <v>118</v>
      </c>
      <c r="D103" s="82" t="s">
        <v>97</v>
      </c>
      <c r="E103" s="81" t="s">
        <v>118</v>
      </c>
      <c r="F103" s="37" t="str">
        <f t="shared" si="12"/>
        <v>%</v>
      </c>
      <c r="G103" s="77" t="s">
        <v>367</v>
      </c>
      <c r="H103" s="78">
        <v>16</v>
      </c>
      <c r="I103" s="82" t="s">
        <v>97</v>
      </c>
      <c r="J103" s="81">
        <v>6</v>
      </c>
      <c r="K103" s="48" t="str">
        <f t="shared" si="13"/>
        <v>%</v>
      </c>
      <c r="L103" s="37"/>
      <c r="M103" s="77" t="s">
        <v>368</v>
      </c>
      <c r="N103" s="79" t="s">
        <v>372</v>
      </c>
      <c r="O103" s="82" t="s">
        <v>175</v>
      </c>
      <c r="P103" s="81">
        <v>100</v>
      </c>
      <c r="Q103" s="48" t="str">
        <f t="shared" si="14"/>
        <v>%</v>
      </c>
      <c r="R103" s="37"/>
      <c r="S103" s="49" t="str">
        <f>IF(P94="Link_Chk","*WARNING! 1000Base-T Remote_Rx_Status FAILS!","")</f>
        <v/>
      </c>
      <c r="T103" s="37"/>
      <c r="U103" s="37"/>
      <c r="V103" s="37"/>
      <c r="W103" s="37"/>
      <c r="Y103" s="6" t="str">
        <f t="shared" si="15"/>
        <v>N/A</v>
      </c>
      <c r="Z103" s="6">
        <f t="shared" si="16"/>
        <v>6</v>
      </c>
      <c r="AA103" s="6">
        <f t="shared" si="17"/>
        <v>100</v>
      </c>
    </row>
    <row r="104" spans="1:27" ht="12.75" customHeight="1" x14ac:dyDescent="0.2">
      <c r="A104" s="37"/>
      <c r="B104" s="77" t="s">
        <v>208</v>
      </c>
      <c r="C104" s="78" t="s">
        <v>118</v>
      </c>
      <c r="D104" s="82" t="s">
        <v>175</v>
      </c>
      <c r="E104" s="81" t="s">
        <v>118</v>
      </c>
      <c r="F104" s="37" t="str">
        <f t="shared" si="12"/>
        <v>%</v>
      </c>
      <c r="G104" s="77" t="s">
        <v>368</v>
      </c>
      <c r="H104" s="78" t="s">
        <v>369</v>
      </c>
      <c r="I104" s="82" t="s">
        <v>175</v>
      </c>
      <c r="J104" s="81">
        <v>4</v>
      </c>
      <c r="K104" s="48" t="str">
        <f t="shared" si="13"/>
        <v>%</v>
      </c>
      <c r="L104" s="37"/>
      <c r="M104" s="77" t="s">
        <v>368</v>
      </c>
      <c r="N104" s="78" t="s">
        <v>373</v>
      </c>
      <c r="O104" s="82" t="s">
        <v>175</v>
      </c>
      <c r="P104" s="81">
        <v>100</v>
      </c>
      <c r="Q104" s="48" t="str">
        <f t="shared" si="14"/>
        <v>%</v>
      </c>
      <c r="R104" s="37"/>
      <c r="S104" s="49" t="str">
        <f>IF(U95="Good",IF(U98="Good","","* NOTE: Link Monitor cannot measure performance"),"* NOTE: Link Monitor cannot measure performance")</f>
        <v/>
      </c>
      <c r="T104" s="37"/>
      <c r="U104" s="37"/>
      <c r="V104" s="37"/>
      <c r="W104" s="37"/>
      <c r="Y104" s="6" t="str">
        <f t="shared" si="15"/>
        <v>N/A</v>
      </c>
      <c r="Z104" s="6">
        <f t="shared" si="16"/>
        <v>4</v>
      </c>
      <c r="AA104" s="6">
        <f t="shared" si="17"/>
        <v>100</v>
      </c>
    </row>
    <row r="105" spans="1:27" ht="12.75" customHeight="1" x14ac:dyDescent="0.2">
      <c r="A105" s="37"/>
      <c r="B105" s="77" t="s">
        <v>209</v>
      </c>
      <c r="C105" s="78" t="s">
        <v>118</v>
      </c>
      <c r="D105" s="82" t="s">
        <v>175</v>
      </c>
      <c r="E105" s="81" t="s">
        <v>118</v>
      </c>
      <c r="F105" s="37" t="str">
        <f t="shared" si="12"/>
        <v>%</v>
      </c>
      <c r="G105" s="77" t="s">
        <v>368</v>
      </c>
      <c r="H105" s="78" t="s">
        <v>370</v>
      </c>
      <c r="I105" s="82" t="s">
        <v>175</v>
      </c>
      <c r="J105" s="81">
        <v>6</v>
      </c>
      <c r="K105" s="48" t="str">
        <f>IF(J$94="Link_Chk","SNR1","% SNR1")</f>
        <v>% SNR1</v>
      </c>
      <c r="L105" s="37"/>
      <c r="M105" s="77" t="s">
        <v>368</v>
      </c>
      <c r="N105" s="78" t="s">
        <v>374</v>
      </c>
      <c r="O105" s="82" t="s">
        <v>175</v>
      </c>
      <c r="P105" s="81">
        <v>100</v>
      </c>
      <c r="Q105" s="48" t="str">
        <f>IF(P$94="Link_Chk","SNR3","% SNR3")</f>
        <v>% SNR3</v>
      </c>
      <c r="R105" s="37"/>
      <c r="S105" s="49" t="str">
        <f>IF(U95="Good",IF(U98="Good","","   because DUT remains linked at &gt;100% Packet Loss"),"   because DUT remains linked at &gt;100% Packet Loss")</f>
        <v/>
      </c>
      <c r="T105" s="37"/>
      <c r="U105" s="37"/>
      <c r="V105" s="37"/>
      <c r="W105" s="37"/>
      <c r="Y105" s="6" t="str">
        <f t="shared" si="15"/>
        <v>N/A</v>
      </c>
      <c r="Z105" s="6">
        <f t="shared" si="16"/>
        <v>6</v>
      </c>
      <c r="AA105" s="6">
        <f t="shared" si="17"/>
        <v>100</v>
      </c>
    </row>
    <row r="106" spans="1:27" ht="12.75" customHeight="1" x14ac:dyDescent="0.2">
      <c r="A106" s="37"/>
      <c r="B106" s="37"/>
      <c r="C106" s="37"/>
      <c r="D106" s="37"/>
      <c r="E106" s="50"/>
      <c r="F106" s="37"/>
      <c r="G106" s="37"/>
      <c r="H106" s="37"/>
      <c r="I106" s="37"/>
      <c r="J106" s="50"/>
      <c r="K106" s="37"/>
      <c r="L106" s="37"/>
      <c r="M106" s="37"/>
      <c r="N106" s="37"/>
      <c r="O106" s="37"/>
      <c r="P106" s="50"/>
      <c r="Q106" s="37"/>
      <c r="R106" s="37"/>
      <c r="S106" s="37"/>
      <c r="T106" s="37"/>
      <c r="U106" s="37"/>
      <c r="V106" s="37"/>
      <c r="W106" s="37"/>
      <c r="Y106" s="6">
        <f>IF(Y95="N/A",-1,SUM(Y95:Y105))</f>
        <v>-1</v>
      </c>
      <c r="Z106" s="6">
        <f>IF(Z95="N/A",-1,SUM(Z95:Z105))</f>
        <v>721</v>
      </c>
      <c r="AA106" s="6">
        <f>IF(AA95="N/A",-1,SUM(AA95:AA105))</f>
        <v>1100</v>
      </c>
    </row>
    <row r="107" spans="1:27" ht="12.75" customHeight="1" x14ac:dyDescent="0.2">
      <c r="A107" s="37"/>
      <c r="B107" s="198" t="s">
        <v>316</v>
      </c>
      <c r="C107" s="198"/>
      <c r="D107" s="198"/>
      <c r="E107" s="83" t="s">
        <v>118</v>
      </c>
      <c r="F107" s="37"/>
      <c r="G107" s="200" t="s">
        <v>314</v>
      </c>
      <c r="H107" s="200"/>
      <c r="I107" s="200"/>
      <c r="J107" s="75" t="s">
        <v>362</v>
      </c>
      <c r="K107" s="37"/>
      <c r="L107" s="37"/>
      <c r="M107" s="198" t="s">
        <v>346</v>
      </c>
      <c r="N107" s="198"/>
      <c r="O107" s="198"/>
      <c r="P107" s="83" t="s">
        <v>362</v>
      </c>
      <c r="Q107" s="37"/>
      <c r="R107" s="37"/>
      <c r="S107" s="199" t="s">
        <v>160</v>
      </c>
      <c r="T107" s="199"/>
      <c r="U107" s="199"/>
      <c r="V107" s="84" t="s">
        <v>159</v>
      </c>
      <c r="W107" s="37"/>
      <c r="Y107" s="6"/>
      <c r="Z107" s="6"/>
      <c r="AA107" s="6"/>
    </row>
    <row r="108" spans="1:27" ht="12.75" customHeight="1" x14ac:dyDescent="0.2">
      <c r="A108" s="37"/>
      <c r="B108" s="77" t="s">
        <v>210</v>
      </c>
      <c r="C108" s="78" t="s">
        <v>118</v>
      </c>
      <c r="D108" s="80" t="s">
        <v>151</v>
      </c>
      <c r="E108" s="81" t="s">
        <v>118</v>
      </c>
      <c r="F108" s="37" t="str">
        <f>IF(E$107="Link_Chk","","%")</f>
        <v>%</v>
      </c>
      <c r="G108" s="60" t="s">
        <v>363</v>
      </c>
      <c r="H108" s="61" t="s">
        <v>364</v>
      </c>
      <c r="I108" s="62" t="s">
        <v>151</v>
      </c>
      <c r="J108" s="76">
        <v>100</v>
      </c>
      <c r="K108" s="48" t="str">
        <f>IF(J$107="Link_Chk","","%")</f>
        <v>%</v>
      </c>
      <c r="L108" s="37"/>
      <c r="M108" s="77" t="s">
        <v>363</v>
      </c>
      <c r="N108" s="78" t="s">
        <v>364</v>
      </c>
      <c r="O108" s="80" t="s">
        <v>151</v>
      </c>
      <c r="P108" s="81">
        <v>100</v>
      </c>
      <c r="Q108" s="48" t="str">
        <f>IF(P$107="Link_Chk","","%")</f>
        <v>%</v>
      </c>
      <c r="R108" s="37"/>
      <c r="S108" s="196" t="s">
        <v>157</v>
      </c>
      <c r="T108" s="197"/>
      <c r="U108" s="88" t="s">
        <v>153</v>
      </c>
      <c r="V108" s="89" t="s">
        <v>118</v>
      </c>
      <c r="W108" s="37"/>
      <c r="Y108" s="6" t="str">
        <f t="shared" ref="Y108:Y118" si="18">IF(E108="UP",101,IF(E108="DOWN",0,E108))</f>
        <v>N/A</v>
      </c>
      <c r="Z108" s="6">
        <f t="shared" ref="Z108:Z118" si="19">IF(J108="UP",101,IF(J108="DOWN",0,J108))</f>
        <v>100</v>
      </c>
      <c r="AA108" s="6">
        <f t="shared" ref="AA108:AA118" si="20">IF(P108="UP",101,IF(P108="DOWN",0,P108))</f>
        <v>100</v>
      </c>
    </row>
    <row r="109" spans="1:27" ht="12.75" customHeight="1" x14ac:dyDescent="0.2">
      <c r="A109" s="37"/>
      <c r="B109" s="77" t="s">
        <v>211</v>
      </c>
      <c r="C109" s="79" t="s">
        <v>118</v>
      </c>
      <c r="D109" s="82" t="s">
        <v>67</v>
      </c>
      <c r="E109" s="81" t="s">
        <v>118</v>
      </c>
      <c r="F109" s="37" t="str">
        <f t="shared" ref="F109:F118" si="21">IF(E$107="Link_Chk","","%")</f>
        <v>%</v>
      </c>
      <c r="G109" s="60" t="s">
        <v>365</v>
      </c>
      <c r="H109" s="63">
        <v>-50</v>
      </c>
      <c r="I109" s="64" t="s">
        <v>67</v>
      </c>
      <c r="J109" s="76">
        <v>100</v>
      </c>
      <c r="K109" s="48" t="str">
        <f t="shared" ref="K109:K117" si="22">IF(J$107="Link_Chk","","%")</f>
        <v>%</v>
      </c>
      <c r="L109" s="37"/>
      <c r="M109" s="77" t="s">
        <v>365</v>
      </c>
      <c r="N109" s="79">
        <v>-100</v>
      </c>
      <c r="O109" s="82" t="s">
        <v>67</v>
      </c>
      <c r="P109" s="81">
        <v>100</v>
      </c>
      <c r="Q109" s="48" t="str">
        <f t="shared" ref="Q109:Q117" si="23">IF(P$107="Link_Chk","","%")</f>
        <v>%</v>
      </c>
      <c r="R109" s="37"/>
      <c r="S109" s="196" t="s">
        <v>157</v>
      </c>
      <c r="T109" s="197"/>
      <c r="U109" s="88" t="s">
        <v>154</v>
      </c>
      <c r="V109" s="90" t="s">
        <v>118</v>
      </c>
      <c r="W109" s="37"/>
      <c r="Y109" s="6" t="str">
        <f t="shared" si="18"/>
        <v>N/A</v>
      </c>
      <c r="Z109" s="6">
        <f t="shared" si="19"/>
        <v>100</v>
      </c>
      <c r="AA109" s="6">
        <f t="shared" si="20"/>
        <v>100</v>
      </c>
    </row>
    <row r="110" spans="1:27" ht="12.75" customHeight="1" x14ac:dyDescent="0.2">
      <c r="A110" s="37"/>
      <c r="B110" s="77" t="s">
        <v>212</v>
      </c>
      <c r="C110" s="79" t="s">
        <v>118</v>
      </c>
      <c r="D110" s="82" t="s">
        <v>67</v>
      </c>
      <c r="E110" s="81" t="s">
        <v>118</v>
      </c>
      <c r="F110" s="37" t="str">
        <f t="shared" si="21"/>
        <v>%</v>
      </c>
      <c r="G110" s="60" t="s">
        <v>365</v>
      </c>
      <c r="H110" s="63">
        <v>50</v>
      </c>
      <c r="I110" s="64" t="s">
        <v>67</v>
      </c>
      <c r="J110" s="76">
        <v>100</v>
      </c>
      <c r="K110" s="48" t="str">
        <f t="shared" si="22"/>
        <v>%</v>
      </c>
      <c r="L110" s="37"/>
      <c r="M110" s="77" t="s">
        <v>365</v>
      </c>
      <c r="N110" s="79">
        <v>100</v>
      </c>
      <c r="O110" s="82" t="s">
        <v>67</v>
      </c>
      <c r="P110" s="81">
        <v>100</v>
      </c>
      <c r="Q110" s="48" t="str">
        <f t="shared" si="23"/>
        <v>%</v>
      </c>
      <c r="R110" s="37"/>
      <c r="S110" s="196" t="s">
        <v>158</v>
      </c>
      <c r="T110" s="197"/>
      <c r="U110" s="88" t="s">
        <v>155</v>
      </c>
      <c r="V110" s="90">
        <v>22.7</v>
      </c>
      <c r="W110" s="37"/>
      <c r="Y110" s="6" t="str">
        <f t="shared" si="18"/>
        <v>N/A</v>
      </c>
      <c r="Z110" s="6">
        <f t="shared" si="19"/>
        <v>100</v>
      </c>
      <c r="AA110" s="6">
        <f t="shared" si="20"/>
        <v>100</v>
      </c>
    </row>
    <row r="111" spans="1:27" ht="12.75" customHeight="1" x14ac:dyDescent="0.2">
      <c r="A111" s="37"/>
      <c r="B111" s="77" t="s">
        <v>213</v>
      </c>
      <c r="C111" s="79" t="s">
        <v>118</v>
      </c>
      <c r="D111" s="82" t="s">
        <v>67</v>
      </c>
      <c r="E111" s="81" t="s">
        <v>118</v>
      </c>
      <c r="F111" s="37" t="str">
        <f t="shared" si="21"/>
        <v>%</v>
      </c>
      <c r="G111" s="60" t="s">
        <v>365</v>
      </c>
      <c r="H111" s="63">
        <v>-100</v>
      </c>
      <c r="I111" s="64" t="s">
        <v>67</v>
      </c>
      <c r="J111" s="76">
        <v>100</v>
      </c>
      <c r="K111" s="48" t="str">
        <f t="shared" si="22"/>
        <v>%</v>
      </c>
      <c r="L111" s="37"/>
      <c r="M111" s="77" t="s">
        <v>365</v>
      </c>
      <c r="N111" s="79">
        <v>-115</v>
      </c>
      <c r="O111" s="82" t="s">
        <v>67</v>
      </c>
      <c r="P111" s="81">
        <v>100</v>
      </c>
      <c r="Q111" s="48" t="str">
        <f t="shared" si="23"/>
        <v>%</v>
      </c>
      <c r="R111" s="37"/>
      <c r="S111" s="196" t="s">
        <v>158</v>
      </c>
      <c r="T111" s="197"/>
      <c r="U111" s="88" t="s">
        <v>156</v>
      </c>
      <c r="V111" s="90">
        <v>21.7</v>
      </c>
      <c r="W111" s="37"/>
      <c r="Y111" s="6" t="str">
        <f t="shared" si="18"/>
        <v>N/A</v>
      </c>
      <c r="Z111" s="6">
        <f t="shared" si="19"/>
        <v>100</v>
      </c>
      <c r="AA111" s="6">
        <f t="shared" si="20"/>
        <v>100</v>
      </c>
    </row>
    <row r="112" spans="1:27" ht="12.75" customHeight="1" x14ac:dyDescent="0.2">
      <c r="A112" s="37"/>
      <c r="B112" s="77" t="s">
        <v>214</v>
      </c>
      <c r="C112" s="79" t="s">
        <v>118</v>
      </c>
      <c r="D112" s="82" t="s">
        <v>67</v>
      </c>
      <c r="E112" s="81" t="s">
        <v>118</v>
      </c>
      <c r="F112" s="37" t="str">
        <f t="shared" si="21"/>
        <v>%</v>
      </c>
      <c r="G112" s="60" t="s">
        <v>365</v>
      </c>
      <c r="H112" s="63">
        <v>100</v>
      </c>
      <c r="I112" s="64" t="s">
        <v>67</v>
      </c>
      <c r="J112" s="76">
        <v>100</v>
      </c>
      <c r="K112" s="48" t="str">
        <f t="shared" si="22"/>
        <v>%</v>
      </c>
      <c r="L112" s="37"/>
      <c r="M112" s="77" t="s">
        <v>365</v>
      </c>
      <c r="N112" s="79">
        <v>115</v>
      </c>
      <c r="O112" s="82" t="s">
        <v>67</v>
      </c>
      <c r="P112" s="81">
        <v>100</v>
      </c>
      <c r="Q112" s="48" t="str">
        <f t="shared" si="23"/>
        <v>%</v>
      </c>
      <c r="R112" s="37"/>
      <c r="S112" s="37"/>
      <c r="T112" s="37"/>
      <c r="U112" s="37"/>
      <c r="V112" s="37"/>
      <c r="W112" s="37"/>
      <c r="Y112" s="6" t="str">
        <f t="shared" si="18"/>
        <v>N/A</v>
      </c>
      <c r="Z112" s="6">
        <f t="shared" si="19"/>
        <v>100</v>
      </c>
      <c r="AA112" s="6">
        <f t="shared" si="20"/>
        <v>100</v>
      </c>
    </row>
    <row r="113" spans="1:27" ht="12.75" customHeight="1" x14ac:dyDescent="0.2">
      <c r="A113" s="37"/>
      <c r="B113" s="77" t="s">
        <v>215</v>
      </c>
      <c r="C113" s="78" t="s">
        <v>118</v>
      </c>
      <c r="D113" s="82" t="s">
        <v>96</v>
      </c>
      <c r="E113" s="81" t="s">
        <v>118</v>
      </c>
      <c r="F113" s="37" t="str">
        <f t="shared" si="21"/>
        <v>%</v>
      </c>
      <c r="G113" s="60" t="s">
        <v>366</v>
      </c>
      <c r="H113" s="61">
        <v>5</v>
      </c>
      <c r="I113" s="64" t="s">
        <v>96</v>
      </c>
      <c r="J113" s="76">
        <v>100</v>
      </c>
      <c r="K113" s="48" t="str">
        <f t="shared" si="22"/>
        <v>%</v>
      </c>
      <c r="L113" s="37"/>
      <c r="M113" s="77" t="s">
        <v>375</v>
      </c>
      <c r="N113" s="78" t="s">
        <v>376</v>
      </c>
      <c r="O113" s="82" t="s">
        <v>176</v>
      </c>
      <c r="P113" s="81">
        <v>100</v>
      </c>
      <c r="Q113" s="48" t="str">
        <f t="shared" si="23"/>
        <v>%</v>
      </c>
      <c r="R113" s="37"/>
      <c r="S113" s="49" t="str">
        <f>IF(E94="Packets",IF(Y106=-11,"WARNING! DUT bridge failure in 10Base-T",IF(Y119=-11,"WARNING! DUT bridge failure in 10Base-T","")),"")</f>
        <v/>
      </c>
      <c r="T113" s="37"/>
      <c r="U113" s="37"/>
      <c r="V113" s="37"/>
      <c r="W113" s="37"/>
      <c r="Y113" s="6" t="str">
        <f t="shared" si="18"/>
        <v>N/A</v>
      </c>
      <c r="Z113" s="6">
        <f t="shared" si="19"/>
        <v>100</v>
      </c>
      <c r="AA113" s="6">
        <f t="shared" si="20"/>
        <v>100</v>
      </c>
    </row>
    <row r="114" spans="1:27" ht="12.75" customHeight="1" x14ac:dyDescent="0.2">
      <c r="A114" s="37"/>
      <c r="B114" s="77" t="s">
        <v>216</v>
      </c>
      <c r="C114" s="78" t="s">
        <v>118</v>
      </c>
      <c r="D114" s="82" t="s">
        <v>96</v>
      </c>
      <c r="E114" s="81" t="s">
        <v>118</v>
      </c>
      <c r="F114" s="37" t="str">
        <f t="shared" si="21"/>
        <v>%</v>
      </c>
      <c r="G114" s="60" t="s">
        <v>366</v>
      </c>
      <c r="H114" s="61">
        <v>11</v>
      </c>
      <c r="I114" s="64" t="s">
        <v>96</v>
      </c>
      <c r="J114" s="76">
        <v>100</v>
      </c>
      <c r="K114" s="48" t="str">
        <f t="shared" si="22"/>
        <v>%</v>
      </c>
      <c r="L114" s="37"/>
      <c r="M114" s="77" t="s">
        <v>375</v>
      </c>
      <c r="N114" s="78" t="s">
        <v>377</v>
      </c>
      <c r="O114" s="82" t="s">
        <v>176</v>
      </c>
      <c r="P114" s="81">
        <v>100</v>
      </c>
      <c r="Q114" s="48" t="str">
        <f t="shared" si="23"/>
        <v>%</v>
      </c>
      <c r="R114" s="37"/>
      <c r="S114" s="49" t="str">
        <f>IF(J94="Packets",IF(Z106=-11,"WARNING! DUT bridge failure in 100Base-Tx",IF(Z119=-11,"WARNING! DUT bridge failure in 100Base-Tx","")),"")</f>
        <v/>
      </c>
      <c r="T114" s="37"/>
      <c r="U114" s="37"/>
      <c r="V114" s="37"/>
      <c r="W114" s="37"/>
      <c r="Y114" s="6" t="str">
        <f t="shared" si="18"/>
        <v>N/A</v>
      </c>
      <c r="Z114" s="6">
        <f t="shared" si="19"/>
        <v>100</v>
      </c>
      <c r="AA114" s="6">
        <f t="shared" si="20"/>
        <v>100</v>
      </c>
    </row>
    <row r="115" spans="1:27" ht="12.75" customHeight="1" x14ac:dyDescent="0.2">
      <c r="A115" s="37"/>
      <c r="B115" s="77" t="s">
        <v>217</v>
      </c>
      <c r="C115" s="78" t="s">
        <v>118</v>
      </c>
      <c r="D115" s="82" t="s">
        <v>97</v>
      </c>
      <c r="E115" s="81" t="s">
        <v>118</v>
      </c>
      <c r="F115" s="37" t="str">
        <f t="shared" si="21"/>
        <v>%</v>
      </c>
      <c r="G115" s="60" t="s">
        <v>367</v>
      </c>
      <c r="H115" s="61">
        <v>10.5</v>
      </c>
      <c r="I115" s="64" t="s">
        <v>97</v>
      </c>
      <c r="J115" s="76">
        <v>4</v>
      </c>
      <c r="K115" s="48" t="str">
        <f t="shared" si="22"/>
        <v>%</v>
      </c>
      <c r="L115" s="37"/>
      <c r="M115" s="77" t="s">
        <v>375</v>
      </c>
      <c r="N115" s="78" t="s">
        <v>378</v>
      </c>
      <c r="O115" s="82" t="s">
        <v>176</v>
      </c>
      <c r="P115" s="81">
        <v>100</v>
      </c>
      <c r="Q115" s="48" t="str">
        <f t="shared" si="23"/>
        <v>%</v>
      </c>
      <c r="R115" s="37"/>
      <c r="S115" s="49" t="str">
        <f>IF(P94="Packets",IF(AA106=-11,"WARNING! DUT bridge failure in 1000Base-T",IF(AA119=-11,"WARNING! DUT bridge failure in 1000Base-T","")),"")</f>
        <v/>
      </c>
      <c r="T115" s="37"/>
      <c r="U115" s="37"/>
      <c r="V115" s="37"/>
      <c r="W115" s="37"/>
      <c r="Y115" s="6" t="str">
        <f t="shared" si="18"/>
        <v>N/A</v>
      </c>
      <c r="Z115" s="6">
        <f t="shared" si="19"/>
        <v>4</v>
      </c>
      <c r="AA115" s="6">
        <f t="shared" si="20"/>
        <v>100</v>
      </c>
    </row>
    <row r="116" spans="1:27" ht="12.75" customHeight="1" x14ac:dyDescent="0.2">
      <c r="A116" s="37"/>
      <c r="B116" s="77" t="s">
        <v>218</v>
      </c>
      <c r="C116" s="78" t="s">
        <v>118</v>
      </c>
      <c r="D116" s="82" t="s">
        <v>97</v>
      </c>
      <c r="E116" s="81" t="s">
        <v>118</v>
      </c>
      <c r="F116" s="37" t="str">
        <f t="shared" si="21"/>
        <v>%</v>
      </c>
      <c r="G116" s="60" t="s">
        <v>367</v>
      </c>
      <c r="H116" s="61">
        <v>16</v>
      </c>
      <c r="I116" s="64" t="s">
        <v>97</v>
      </c>
      <c r="J116" s="76">
        <v>5</v>
      </c>
      <c r="K116" s="48" t="str">
        <f t="shared" si="22"/>
        <v>%</v>
      </c>
      <c r="L116" s="37"/>
      <c r="M116" s="77" t="s">
        <v>375</v>
      </c>
      <c r="N116" s="78" t="s">
        <v>379</v>
      </c>
      <c r="O116" s="82" t="s">
        <v>176</v>
      </c>
      <c r="P116" s="81">
        <v>100</v>
      </c>
      <c r="Q116" s="48" t="str">
        <f t="shared" si="23"/>
        <v>%</v>
      </c>
      <c r="R116" s="37"/>
      <c r="S116" s="49" t="str">
        <f>IF(E93="Packets",IF(Y118=-11,"    to bridge packets to other DUT ports.",""),"")</f>
        <v/>
      </c>
      <c r="T116" s="37"/>
      <c r="U116" s="37"/>
      <c r="V116" s="37"/>
      <c r="W116" s="37"/>
      <c r="Y116" s="6" t="str">
        <f t="shared" si="18"/>
        <v>N/A</v>
      </c>
      <c r="Z116" s="6">
        <f t="shared" si="19"/>
        <v>5</v>
      </c>
      <c r="AA116" s="6">
        <f t="shared" si="20"/>
        <v>100</v>
      </c>
    </row>
    <row r="117" spans="1:27" ht="12.75" customHeight="1" x14ac:dyDescent="0.2">
      <c r="A117" s="37"/>
      <c r="B117" s="77" t="s">
        <v>219</v>
      </c>
      <c r="C117" s="78" t="s">
        <v>118</v>
      </c>
      <c r="D117" s="82" t="s">
        <v>175</v>
      </c>
      <c r="E117" s="81" t="s">
        <v>118</v>
      </c>
      <c r="F117" s="37" t="str">
        <f t="shared" si="21"/>
        <v>%</v>
      </c>
      <c r="G117" s="60" t="s">
        <v>368</v>
      </c>
      <c r="H117" s="61" t="s">
        <v>369</v>
      </c>
      <c r="I117" s="64" t="s">
        <v>175</v>
      </c>
      <c r="J117" s="76">
        <v>2</v>
      </c>
      <c r="K117" s="48" t="str">
        <f t="shared" si="22"/>
        <v>%</v>
      </c>
      <c r="L117" s="37"/>
      <c r="M117" s="77" t="s">
        <v>375</v>
      </c>
      <c r="N117" s="78" t="s">
        <v>380</v>
      </c>
      <c r="O117" s="82" t="s">
        <v>176</v>
      </c>
      <c r="P117" s="81">
        <v>100</v>
      </c>
      <c r="Q117" s="48" t="str">
        <f t="shared" si="23"/>
        <v>%</v>
      </c>
      <c r="R117" s="37"/>
      <c r="S117" s="37"/>
      <c r="T117" s="37"/>
      <c r="U117" s="37"/>
      <c r="V117" s="37"/>
      <c r="W117" s="37"/>
      <c r="Y117" s="6" t="str">
        <f t="shared" si="18"/>
        <v>N/A</v>
      </c>
      <c r="Z117" s="6">
        <f t="shared" si="19"/>
        <v>2</v>
      </c>
      <c r="AA117" s="6">
        <f t="shared" si="20"/>
        <v>100</v>
      </c>
    </row>
    <row r="118" spans="1:27" ht="12.75" customHeight="1" x14ac:dyDescent="0.2">
      <c r="A118" s="37"/>
      <c r="B118" s="77" t="s">
        <v>220</v>
      </c>
      <c r="C118" s="78" t="s">
        <v>118</v>
      </c>
      <c r="D118" s="82" t="s">
        <v>175</v>
      </c>
      <c r="E118" s="81" t="s">
        <v>118</v>
      </c>
      <c r="F118" s="37" t="str">
        <f t="shared" si="21"/>
        <v>%</v>
      </c>
      <c r="G118" s="60" t="s">
        <v>368</v>
      </c>
      <c r="H118" s="61" t="s">
        <v>370</v>
      </c>
      <c r="I118" s="64" t="s">
        <v>175</v>
      </c>
      <c r="J118" s="76">
        <v>7</v>
      </c>
      <c r="K118" s="48" t="str">
        <f>IF(J$107="Link_Chk","SNR2","% SNR2")</f>
        <v>% SNR2</v>
      </c>
      <c r="L118" s="37"/>
      <c r="M118" s="77" t="s">
        <v>375</v>
      </c>
      <c r="N118" s="78" t="s">
        <v>381</v>
      </c>
      <c r="O118" s="82" t="s">
        <v>176</v>
      </c>
      <c r="P118" s="81">
        <v>100</v>
      </c>
      <c r="Q118" s="48" t="str">
        <f>IF(P$107="Link_Chk","SNR4","% SNR4")</f>
        <v>% SNR4</v>
      </c>
      <c r="R118" s="37"/>
      <c r="S118" s="37"/>
      <c r="T118" s="37"/>
      <c r="U118" s="37"/>
      <c r="V118" s="37"/>
      <c r="W118" s="37"/>
      <c r="Y118" s="6" t="str">
        <f t="shared" si="18"/>
        <v>N/A</v>
      </c>
      <c r="Z118" s="6">
        <f t="shared" si="19"/>
        <v>7</v>
      </c>
      <c r="AA118" s="6">
        <f t="shared" si="20"/>
        <v>100</v>
      </c>
    </row>
    <row r="119" spans="1:27" ht="12.75" customHeight="1" x14ac:dyDescent="0.2">
      <c r="A119" s="37"/>
      <c r="B119" s="37"/>
      <c r="C119" s="37"/>
      <c r="D119" s="37"/>
      <c r="E119" s="37"/>
      <c r="F119" s="37"/>
      <c r="G119" s="37"/>
      <c r="H119" s="37"/>
      <c r="I119" s="37"/>
      <c r="J119" s="37"/>
      <c r="K119" s="37"/>
      <c r="L119" s="37"/>
      <c r="M119" s="37"/>
      <c r="N119" s="37"/>
      <c r="O119" s="37"/>
      <c r="P119" s="37"/>
      <c r="Q119" s="37"/>
      <c r="R119" s="37"/>
      <c r="S119" s="37"/>
      <c r="T119" s="37"/>
      <c r="U119" s="46" t="s">
        <v>98</v>
      </c>
      <c r="V119" s="47" t="str">
        <f>Report_Version</f>
        <v>5.0.00</v>
      </c>
      <c r="W119" s="37"/>
      <c r="Y119" s="6">
        <f>IF(Y108="N/A",-1,SUM(Y108:Y118))</f>
        <v>-1</v>
      </c>
      <c r="Z119" s="6">
        <f>IF(Z108="N/A",-1,SUM(Z108:Z118))</f>
        <v>718</v>
      </c>
      <c r="AA119" s="6">
        <f>IF(AA108="N/A",-1,SUM(AA108:AA118))</f>
        <v>1100</v>
      </c>
    </row>
    <row r="120" spans="1:27" x14ac:dyDescent="0.2">
      <c r="Y120" s="6">
        <f>IF(Y106=-1,IF(Y119=-1,-1,AVERAGE(Y108:Y118)),IF(Y119=-1,AVERAGE(Y95:Y105),AVERAGE(Y95:Y105,Y108:Y118)))</f>
        <v>-1</v>
      </c>
      <c r="Z120" s="6">
        <f>IF(Z106=-1,IF(Z119=-1,-1,AVERAGE(Z108:Z118)),IF(Z119=-1,AVERAGE(Z95:Z105),AVERAGE(Z95:Z105,Z108:Z118)))</f>
        <v>65.409090909090907</v>
      </c>
      <c r="AA120" s="6">
        <f>IF(AA106=-1,IF(AA119=-1,-1,AVERAGE(AA108:AA118)),IF(AA119=-1,AVERAGE(AA95:AA105),AVERAGE(AA95:AA105,AA108:AA118)))</f>
        <v>100</v>
      </c>
    </row>
    <row r="121" spans="1:27" x14ac:dyDescent="0.2">
      <c r="Y121" s="6">
        <f>IF(Y120&gt;100,IF(Z120&gt;100,95,100),Y120)</f>
        <v>-1</v>
      </c>
      <c r="Z121" s="6">
        <f>IF(Z120&gt;100,95,Z120)</f>
        <v>65.409090909090907</v>
      </c>
      <c r="AA121" s="6">
        <f>AA120</f>
        <v>100</v>
      </c>
    </row>
    <row r="122" spans="1:27" x14ac:dyDescent="0.2">
      <c r="A122" s="11"/>
      <c r="B122" s="6" t="s">
        <v>85</v>
      </c>
      <c r="C122" s="6"/>
      <c r="D122" s="6" t="s">
        <v>9</v>
      </c>
      <c r="E122" s="6" t="s">
        <v>10</v>
      </c>
      <c r="F122" s="6"/>
      <c r="G122" s="6"/>
      <c r="H122" s="6"/>
      <c r="I122" s="6"/>
      <c r="J122" s="12"/>
    </row>
    <row r="123" spans="1:27" x14ac:dyDescent="0.2">
      <c r="A123" s="11"/>
      <c r="B123" s="6" t="s">
        <v>86</v>
      </c>
      <c r="C123" s="6" t="e">
        <f>IF(Gigabit="HALF",1,IF(Gigabit="FULL",1,IF(Gigabit="HALF+FULL",1,0)))</f>
        <v>#NAME?</v>
      </c>
      <c r="D123" s="6" t="e">
        <f>IF(C123=1,"EXTENDED",IF(C124=1,"BASE","NO"))</f>
        <v>#NAME?</v>
      </c>
      <c r="E123" s="6" t="e">
        <f>IF(C123=1,"EXTENDED",IF(C124=1,"BASE","N/A"))</f>
        <v>#NAME?</v>
      </c>
      <c r="F123" s="6"/>
      <c r="G123" s="6"/>
      <c r="H123" s="6"/>
      <c r="I123" s="6"/>
      <c r="J123" s="12"/>
    </row>
    <row r="124" spans="1:27" x14ac:dyDescent="0.2">
      <c r="A124" s="11"/>
      <c r="B124" s="6" t="s">
        <v>87</v>
      </c>
      <c r="C124" s="6">
        <f>IF(Fast_Enet="HALF",1,IF(Fast_Enet="FULL",1,IF(Fast_Enet="HALF+FULL",1,0)))</f>
        <v>1</v>
      </c>
      <c r="D124" s="6"/>
      <c r="E124" s="6"/>
      <c r="F124" s="6"/>
      <c r="G124" s="6"/>
      <c r="H124" s="6"/>
      <c r="I124" s="6"/>
      <c r="J124" s="12"/>
    </row>
    <row r="125" spans="1:27" x14ac:dyDescent="0.2">
      <c r="A125" s="11"/>
      <c r="B125" s="6"/>
      <c r="C125" s="6"/>
      <c r="D125" s="6"/>
      <c r="E125" s="6"/>
      <c r="F125" s="6"/>
      <c r="G125" s="6"/>
      <c r="H125" s="6"/>
      <c r="I125" s="6"/>
      <c r="J125" s="12"/>
    </row>
    <row r="126" spans="1:27" x14ac:dyDescent="0.2">
      <c r="A126" s="11"/>
      <c r="B126" s="6" t="s">
        <v>138</v>
      </c>
      <c r="C126" s="6"/>
      <c r="D126" s="6"/>
      <c r="E126" s="6"/>
      <c r="F126" s="6"/>
      <c r="G126" s="6"/>
      <c r="H126" s="6"/>
      <c r="I126" s="6"/>
      <c r="J126" s="12"/>
      <c r="V126" s="11"/>
    </row>
    <row r="127" spans="1:27" x14ac:dyDescent="0.2">
      <c r="A127" s="11"/>
      <c r="B127" s="6"/>
      <c r="C127" s="6"/>
      <c r="D127" s="6" t="s">
        <v>57</v>
      </c>
      <c r="E127" s="6" t="s">
        <v>58</v>
      </c>
      <c r="F127" s="6" t="s">
        <v>53</v>
      </c>
      <c r="G127" s="6" t="s">
        <v>54</v>
      </c>
      <c r="H127" s="6" t="s">
        <v>55</v>
      </c>
      <c r="I127" s="6" t="s">
        <v>56</v>
      </c>
      <c r="J127" s="12"/>
    </row>
    <row r="128" spans="1:27" x14ac:dyDescent="0.2">
      <c r="A128" s="11"/>
      <c r="B128" s="6"/>
      <c r="C128" s="6" t="s">
        <v>111</v>
      </c>
      <c r="D128" s="13">
        <f>AVERAGE(Rx_Red_100_Lo,Rx_Yellow_100_Lo)</f>
        <v>-0.82052789422304506</v>
      </c>
      <c r="E128" s="13">
        <f>D128</f>
        <v>-0.82052789422304506</v>
      </c>
      <c r="F128" s="13">
        <f>AVERAGE(Rx_Red_1000_Lo,Rx_Yellow_1000_Lo)</f>
        <v>-1.4797292138174716</v>
      </c>
      <c r="G128" s="13">
        <f t="shared" ref="G128:I129" si="24">$F128</f>
        <v>-1.4797292138174716</v>
      </c>
      <c r="H128" s="13">
        <f t="shared" si="24"/>
        <v>-1.4797292138174716</v>
      </c>
      <c r="I128" s="13">
        <f t="shared" si="24"/>
        <v>-1.4797292138174716</v>
      </c>
      <c r="J128" s="12"/>
      <c r="V128" s="11"/>
    </row>
    <row r="129" spans="1:21" x14ac:dyDescent="0.2">
      <c r="A129" s="11"/>
      <c r="B129" s="6"/>
      <c r="C129" s="6" t="s">
        <v>112</v>
      </c>
      <c r="D129" s="13">
        <f>AVERAGE(Rx_Red_100_Hi,Rx_Yellow_100_Hi)</f>
        <v>0.64878598139876176</v>
      </c>
      <c r="E129" s="13">
        <f>D129</f>
        <v>0.64878598139876176</v>
      </c>
      <c r="F129" s="13">
        <f>AVERAGE(Rx_Red_1000_Hi,Rx_Yellow_1000_Hi)</f>
        <v>1.0250517798403322</v>
      </c>
      <c r="G129" s="13">
        <f t="shared" si="24"/>
        <v>1.0250517798403322</v>
      </c>
      <c r="H129" s="13">
        <f t="shared" si="24"/>
        <v>1.0250517798403322</v>
      </c>
      <c r="I129" s="13">
        <f t="shared" si="24"/>
        <v>1.0250517798403322</v>
      </c>
      <c r="J129" s="12"/>
    </row>
    <row r="130" spans="1:21" x14ac:dyDescent="0.2">
      <c r="A130" s="11"/>
      <c r="B130" s="6"/>
      <c r="C130" s="6" t="s">
        <v>119</v>
      </c>
      <c r="D130" s="6">
        <f>IF(D24="N/A","",IF(D24&gt;Rx_Yellow_100_Lo,IF(D24&lt;Rx_Yellow_100_Hi,IF(D24=0,0.1,D24),0),0))</f>
        <v>0.1</v>
      </c>
      <c r="E130" s="6">
        <f>IF(E24="N/A","",IF(E24&gt;Rx_Yellow_100_Lo,IF(E24&lt;Rx_Yellow_100_Hi,IF(E24=0,0.1,E24),0),0))</f>
        <v>0.2</v>
      </c>
      <c r="F130" s="6"/>
      <c r="G130" s="6"/>
      <c r="H130" s="6"/>
      <c r="I130" s="6"/>
      <c r="J130" s="12"/>
    </row>
    <row r="131" spans="1:21" x14ac:dyDescent="0.2">
      <c r="A131" s="11"/>
      <c r="B131" s="6"/>
      <c r="C131" s="6" t="s">
        <v>113</v>
      </c>
      <c r="D131" s="6">
        <f>IF(D24&lt;Rx_Yellow_100_Lo,IF(D24&gt;D128,D24,D128),0)</f>
        <v>0</v>
      </c>
      <c r="E131" s="6">
        <f>IF(E24&lt;Rx_Yellow_100_Lo,IF(E24&gt;E128,E24,E128),0)</f>
        <v>0</v>
      </c>
      <c r="F131" s="6"/>
      <c r="G131" s="6"/>
      <c r="H131" s="6"/>
      <c r="I131" s="6"/>
      <c r="J131" s="12"/>
    </row>
    <row r="132" spans="1:21" x14ac:dyDescent="0.2">
      <c r="A132" s="11"/>
      <c r="B132" s="6"/>
      <c r="C132" s="6" t="s">
        <v>114</v>
      </c>
      <c r="D132" s="6">
        <f>IF(D24&lt;D128,D24-D128,0)</f>
        <v>0</v>
      </c>
      <c r="E132" s="6">
        <f>IF(E24&lt;E128,E24-E128,0)</f>
        <v>0</v>
      </c>
      <c r="F132" s="6"/>
      <c r="G132" s="6"/>
      <c r="H132" s="6"/>
      <c r="I132" s="6"/>
      <c r="J132" s="12"/>
    </row>
    <row r="133" spans="1:21" x14ac:dyDescent="0.2">
      <c r="A133" s="11"/>
      <c r="B133" s="6"/>
      <c r="C133" s="6" t="s">
        <v>115</v>
      </c>
      <c r="D133" s="6">
        <f>IF(D24="N/A","",IF(D24&gt;Rx_Yellow_100_Hi,IF(D24&lt;D129,D24,D129),0))</f>
        <v>0</v>
      </c>
      <c r="E133" s="6">
        <f>IF(E24="N/A","",IF(E24&gt;Rx_Yellow_100_Hi,IF(E24&lt;E129,E24,E129),0))</f>
        <v>0</v>
      </c>
      <c r="F133" s="6"/>
      <c r="G133" s="6"/>
      <c r="H133" s="6"/>
      <c r="I133" s="6"/>
      <c r="J133" s="12"/>
    </row>
    <row r="134" spans="1:21" x14ac:dyDescent="0.2">
      <c r="A134" s="11"/>
      <c r="B134" s="6"/>
      <c r="C134" s="6" t="s">
        <v>116</v>
      </c>
      <c r="D134" s="6">
        <f>IF(D24&gt;D129,D24-D129,0)</f>
        <v>0</v>
      </c>
      <c r="E134" s="6">
        <f>IF(E24&gt;E129,E24-E129,0)</f>
        <v>0</v>
      </c>
      <c r="F134" s="6"/>
      <c r="G134" s="6"/>
      <c r="H134" s="6"/>
      <c r="I134" s="6"/>
      <c r="J134" s="12"/>
    </row>
    <row r="135" spans="1:21" x14ac:dyDescent="0.2">
      <c r="A135" s="11"/>
      <c r="B135" s="6"/>
      <c r="C135" s="6" t="s">
        <v>119</v>
      </c>
      <c r="D135" s="6"/>
      <c r="E135" s="6"/>
      <c r="F135" s="6">
        <f>IF(C25="N/A","",IF(C25&gt;Rx_Yellow_1000_Lo,IF(C25&lt;Rx_Yellow_1000_Hi,IF(C25=0,0.1,C25),0),0))</f>
        <v>0</v>
      </c>
      <c r="G135" s="6">
        <f>IF(D25="N/A","",IF(D25&gt;Rx_Yellow_1000_Lo,IF(D25&lt;Rx_Yellow_1000_Hi,IF(D25=0,0.1,D25),0),0))</f>
        <v>0</v>
      </c>
      <c r="H135" s="6">
        <f>IF(E25="N/A","",IF(E25&gt;Rx_Yellow_1000_Lo,IF(E25&lt;Rx_Yellow_1000_Hi,IF(E25=0,0.1,E25),0),0))</f>
        <v>0</v>
      </c>
      <c r="I135" s="6">
        <f>IF(F25="N/A","",IF(F25&gt;Rx_Yellow_1000_Lo,IF(F25&lt;Rx_Yellow_1000_Hi,IF(F25=0,0.1,F25),0),0))</f>
        <v>0</v>
      </c>
      <c r="J135" s="12"/>
    </row>
    <row r="136" spans="1:21" x14ac:dyDescent="0.2">
      <c r="A136" s="11"/>
      <c r="B136" s="6"/>
      <c r="C136" s="6" t="s">
        <v>113</v>
      </c>
      <c r="D136" s="6"/>
      <c r="E136" s="6"/>
      <c r="F136" s="6">
        <f>IF(C25&lt;Rx_Yellow_1000_Lo,IF(C25&gt;F128,C25,F128),0)</f>
        <v>-1.4797292138174716</v>
      </c>
      <c r="G136" s="6">
        <f>IF(D25&lt;Rx_Yellow_1000_Lo,IF(D25&gt;G128,D25,G128),0)</f>
        <v>-1.4797292138174716</v>
      </c>
      <c r="H136" s="6">
        <f>IF(E25&lt;Rx_Yellow_1000_Lo,IF(E25&gt;H128,E25,H128),0)</f>
        <v>-1.4797292138174716</v>
      </c>
      <c r="I136" s="6">
        <f>IF(F25&lt;Rx_Yellow_1000_Lo,IF(F25&gt;I128,F25,I128),0)</f>
        <v>-1.4797292138174716</v>
      </c>
      <c r="J136" s="12"/>
    </row>
    <row r="137" spans="1:21" x14ac:dyDescent="0.2">
      <c r="A137" s="11"/>
      <c r="B137" s="6"/>
      <c r="C137" s="6" t="s">
        <v>114</v>
      </c>
      <c r="D137" s="6"/>
      <c r="E137" s="6"/>
      <c r="F137" s="6">
        <f>IF(C25&lt;F128,C25-F128,0)</f>
        <v>-1.1202707861825285</v>
      </c>
      <c r="G137" s="6">
        <f>IF(D25&lt;G128,D25-G128,0)</f>
        <v>-1.3202707861825282</v>
      </c>
      <c r="H137" s="6">
        <f>IF(E25&lt;H128,E25-H128,0)</f>
        <v>-1.1202707861825285</v>
      </c>
      <c r="I137" s="6">
        <f>IF(F25&lt;I128,F25-I128,0)</f>
        <v>-1.0202707861825284</v>
      </c>
      <c r="J137" s="12"/>
    </row>
    <row r="138" spans="1:21" x14ac:dyDescent="0.2">
      <c r="A138" s="11"/>
      <c r="B138" s="6"/>
      <c r="C138" s="6" t="s">
        <v>115</v>
      </c>
      <c r="D138" s="6"/>
      <c r="E138" s="6"/>
      <c r="F138" s="6">
        <f>IF(C25="N/A","",IF(C25&gt;Rx_Yellow_1000_Hi,IF(C25&lt;F129,C25,F129),0))</f>
        <v>0</v>
      </c>
      <c r="G138" s="6">
        <f>IF(D25="N/A","",IF(D25&gt;Rx_Yellow_1000_Hi,IF(D25&lt;G129,D25,G129),0))</f>
        <v>0</v>
      </c>
      <c r="H138" s="6">
        <f>IF(E25="N/A","",IF(E25&gt;Rx_Yellow_1000_Hi,IF(E25&lt;H129,E25,H129),0))</f>
        <v>0</v>
      </c>
      <c r="I138" s="6">
        <f>IF(F25="N/A","",IF(F25&gt;Rx_Yellow_1000_Hi,IF(F25&lt;I129,F25,I129),0))</f>
        <v>0</v>
      </c>
      <c r="J138" s="12"/>
    </row>
    <row r="139" spans="1:21" x14ac:dyDescent="0.2">
      <c r="A139" s="11"/>
      <c r="B139" s="6"/>
      <c r="C139" s="6" t="s">
        <v>116</v>
      </c>
      <c r="D139" s="6"/>
      <c r="E139" s="6"/>
      <c r="F139" s="6">
        <f>IF(C25&gt;F129,C25-F129,0)</f>
        <v>0</v>
      </c>
      <c r="G139" s="6">
        <f>IF(D25&gt;G129,D25-G129,0)</f>
        <v>0</v>
      </c>
      <c r="H139" s="6">
        <f>IF(E25&gt;H129,E25-H129,0)</f>
        <v>0</v>
      </c>
      <c r="I139" s="6">
        <f>IF(F25&gt;I129,F25-I129,0)</f>
        <v>0</v>
      </c>
      <c r="J139" s="12"/>
      <c r="U139" s="11"/>
    </row>
    <row r="140" spans="1:21" x14ac:dyDescent="0.2">
      <c r="A140" s="11"/>
      <c r="B140" s="6"/>
      <c r="C140" s="6"/>
      <c r="D140" s="6"/>
      <c r="E140" s="6"/>
      <c r="F140" s="6"/>
      <c r="G140" s="6"/>
      <c r="H140" s="6"/>
      <c r="I140" s="6"/>
      <c r="J140" s="12"/>
    </row>
    <row r="141" spans="1:21" x14ac:dyDescent="0.2">
      <c r="A141" s="11"/>
      <c r="B141" s="6" t="s">
        <v>139</v>
      </c>
      <c r="C141" s="6"/>
      <c r="D141" s="6"/>
      <c r="E141" s="6"/>
      <c r="F141" s="6"/>
      <c r="G141" s="6"/>
      <c r="H141" s="6"/>
      <c r="I141" s="6"/>
      <c r="J141" s="12"/>
    </row>
    <row r="142" spans="1:21" x14ac:dyDescent="0.2">
      <c r="A142" s="11"/>
      <c r="B142" s="6"/>
      <c r="C142" s="6"/>
      <c r="D142" s="6" t="s">
        <v>57</v>
      </c>
      <c r="E142" s="6" t="s">
        <v>58</v>
      </c>
      <c r="F142" s="6" t="s">
        <v>53</v>
      </c>
      <c r="G142" s="6" t="s">
        <v>54</v>
      </c>
      <c r="H142" s="6" t="s">
        <v>55</v>
      </c>
      <c r="I142" s="6" t="s">
        <v>56</v>
      </c>
      <c r="J142" s="12"/>
      <c r="U142" s="11"/>
    </row>
    <row r="143" spans="1:21" x14ac:dyDescent="0.2">
      <c r="A143" s="11"/>
      <c r="B143" s="6" t="s">
        <v>50</v>
      </c>
      <c r="C143" s="6"/>
      <c r="D143" s="6">
        <f>IF(D30="N/A","",IF(D30&gt;SNR_Red,SNR_Red,D30))</f>
        <v>27</v>
      </c>
      <c r="E143" s="6">
        <f>IF(E30="N/A","",IF(E30&gt;SNR_Red,SNR_Red,E30))</f>
        <v>27</v>
      </c>
      <c r="F143" s="6">
        <v>16</v>
      </c>
      <c r="G143" s="6">
        <v>16</v>
      </c>
      <c r="H143" s="6">
        <v>16</v>
      </c>
      <c r="I143" s="6">
        <v>16</v>
      </c>
      <c r="J143" s="12"/>
    </row>
    <row r="144" spans="1:21" x14ac:dyDescent="0.2">
      <c r="A144" s="11"/>
      <c r="B144" s="6" t="s">
        <v>51</v>
      </c>
      <c r="C144" s="6"/>
      <c r="D144" s="6">
        <f>IF(D30&gt;SNR_Yellow,SNR_Yellow-SNR_Red,MAX(0,D30-SNR_Red))</f>
        <v>4</v>
      </c>
      <c r="E144" s="6">
        <f>IF(E30&gt;SNR_Yellow,SNR_Yellow-SNR_Red,MAX(0,E30-SNR_Red))</f>
        <v>4</v>
      </c>
      <c r="F144" s="6"/>
      <c r="G144" s="6"/>
      <c r="H144" s="6"/>
      <c r="I144" s="6"/>
      <c r="J144" s="12"/>
      <c r="U144" s="11"/>
    </row>
    <row r="145" spans="1:21" x14ac:dyDescent="0.2">
      <c r="A145" s="11"/>
      <c r="B145" s="6" t="s">
        <v>52</v>
      </c>
      <c r="C145" s="6"/>
      <c r="D145" s="6">
        <f>MAX(0,D30-SNR_Yellow)</f>
        <v>5</v>
      </c>
      <c r="E145" s="6">
        <f>MAX(0,E30-SNR_Yellow)</f>
        <v>5</v>
      </c>
      <c r="F145" s="6"/>
      <c r="G145" s="6"/>
      <c r="H145" s="6"/>
      <c r="I145" s="6"/>
      <c r="J145" s="12"/>
    </row>
    <row r="146" spans="1:21" x14ac:dyDescent="0.2">
      <c r="A146" s="11"/>
      <c r="B146" s="6" t="s">
        <v>50</v>
      </c>
      <c r="C146" s="6"/>
      <c r="D146" s="6"/>
      <c r="E146" s="6"/>
      <c r="F146" s="6">
        <f>IF(C31="N/A",0,IF(C31&gt;SNR_Red,SNR_Red,C31))-16</f>
        <v>11</v>
      </c>
      <c r="G146" s="6">
        <f>IF(D31="N/A",0,IF(D31&gt;SNR_Red,SNR_Red,D31))-16</f>
        <v>11</v>
      </c>
      <c r="H146" s="6">
        <f>IF(E31="N/A",0,IF(E31&gt;SNR_Red,SNR_Red,E31))-16</f>
        <v>11</v>
      </c>
      <c r="I146" s="6">
        <f>IF(F31="N/A",0,IF(F31&gt;SNR_Red,SNR_Red,F31))-16</f>
        <v>11</v>
      </c>
      <c r="J146" s="12"/>
      <c r="U146" s="11"/>
    </row>
    <row r="147" spans="1:21" x14ac:dyDescent="0.2">
      <c r="A147" s="11"/>
      <c r="B147" s="6" t="s">
        <v>51</v>
      </c>
      <c r="C147" s="6"/>
      <c r="D147" s="6"/>
      <c r="E147" s="6"/>
      <c r="F147" s="6">
        <f>IF(C31&gt;SNR_Yellow,SNR_Yellow-SNR_Red,MAX(0,C31-SNR_Red))</f>
        <v>4</v>
      </c>
      <c r="G147" s="6">
        <f>IF(D31&gt;SNR_Yellow,SNR_Yellow-SNR_Red,MAX(0,D31-SNR_Red))</f>
        <v>4</v>
      </c>
      <c r="H147" s="6">
        <f>IF(E31&gt;SNR_Yellow,SNR_Yellow-SNR_Red,MAX(0,E31-SNR_Red))</f>
        <v>4</v>
      </c>
      <c r="I147" s="6">
        <f>IF(F31&gt;SNR_Yellow,SNR_Yellow-SNR_Red,MAX(0,F31-SNR_Red))</f>
        <v>4</v>
      </c>
      <c r="J147" s="12"/>
      <c r="U147" s="11"/>
    </row>
    <row r="148" spans="1:21" x14ac:dyDescent="0.2">
      <c r="A148" s="11"/>
      <c r="B148" s="6" t="s">
        <v>52</v>
      </c>
      <c r="C148" s="6"/>
      <c r="D148" s="6"/>
      <c r="E148" s="6"/>
      <c r="F148" s="6">
        <f>MAX(0,C31-SNR_Yellow)</f>
        <v>3.2000000000000028</v>
      </c>
      <c r="G148" s="6">
        <f>MAX(0,D31-SNR_Yellow)</f>
        <v>5</v>
      </c>
      <c r="H148" s="6">
        <f>MAX(0,E31-SNR_Yellow)</f>
        <v>5</v>
      </c>
      <c r="I148" s="6">
        <f>MAX(0,F31-SNR_Yellow)</f>
        <v>5</v>
      </c>
      <c r="J148" s="12"/>
      <c r="U148" s="11"/>
    </row>
    <row r="149" spans="1:21" x14ac:dyDescent="0.2">
      <c r="A149" s="11"/>
      <c r="B149" s="6"/>
      <c r="C149" s="6"/>
      <c r="D149" s="6"/>
      <c r="E149" s="6"/>
      <c r="F149" s="6"/>
      <c r="G149" s="6"/>
      <c r="H149" s="6"/>
      <c r="I149" s="6"/>
      <c r="J149" s="12"/>
      <c r="U149" s="11"/>
    </row>
    <row r="150" spans="1:21" x14ac:dyDescent="0.2">
      <c r="A150" s="11"/>
      <c r="B150" s="6" t="s">
        <v>59</v>
      </c>
      <c r="C150" s="6"/>
      <c r="D150" s="6"/>
      <c r="E150" s="6"/>
      <c r="F150" s="6"/>
      <c r="G150" s="6"/>
      <c r="H150" s="6"/>
      <c r="I150" s="6"/>
      <c r="J150" s="12"/>
      <c r="U150" s="11"/>
    </row>
    <row r="151" spans="1:21" x14ac:dyDescent="0.2">
      <c r="A151" s="11"/>
      <c r="B151" s="6"/>
      <c r="C151" s="6"/>
      <c r="D151" s="6" t="s">
        <v>21</v>
      </c>
      <c r="E151" s="6" t="s">
        <v>22</v>
      </c>
      <c r="F151" s="6" t="s">
        <v>23</v>
      </c>
      <c r="G151" s="6" t="s">
        <v>24</v>
      </c>
      <c r="H151" s="6"/>
      <c r="I151" s="6"/>
      <c r="J151" s="12"/>
    </row>
    <row r="152" spans="1:21" x14ac:dyDescent="0.2">
      <c r="A152" s="11"/>
      <c r="B152" s="6" t="s">
        <v>50</v>
      </c>
      <c r="C152" s="6"/>
      <c r="D152" s="6">
        <f>IF(C80&lt;RL_Red,RL_Red,C80)</f>
        <v>-19</v>
      </c>
      <c r="E152" s="6">
        <f>IF(D80&lt;RL_Red,RL_Red,D80)</f>
        <v>-19</v>
      </c>
      <c r="F152" s="6">
        <f>IF(E80&lt;RL_Red,RL_Red,E80)</f>
        <v>-19</v>
      </c>
      <c r="G152" s="6">
        <f>IF(F80&lt;RL_Red,RL_Red,F80)</f>
        <v>-19</v>
      </c>
      <c r="H152" s="6"/>
      <c r="I152" s="6"/>
      <c r="J152" s="12"/>
    </row>
    <row r="153" spans="1:21" x14ac:dyDescent="0.2">
      <c r="A153" s="11"/>
      <c r="B153" s="6" t="s">
        <v>51</v>
      </c>
      <c r="C153" s="6"/>
      <c r="D153" s="6">
        <f>IF(C80&lt;RL_Yellow,RL_Yellow-RL_Red,MIN(0,C80-RL_Red))</f>
        <v>-1.5</v>
      </c>
      <c r="E153" s="6">
        <f>IF(D80&lt;RL_Yellow,RL_Yellow-RL_Red,MIN(0,D80-RL_Red))</f>
        <v>-1.5</v>
      </c>
      <c r="F153" s="6">
        <f>IF(E80&lt;RL_Yellow,RL_Yellow-RL_Red,MIN(0,E80-RL_Red))</f>
        <v>-1.5</v>
      </c>
      <c r="G153" s="6">
        <f>IF(F80&lt;RL_Yellow,RL_Yellow-RL_Red,MIN(0,F80-RL_Red))</f>
        <v>-1.5</v>
      </c>
      <c r="H153" s="6"/>
      <c r="I153" s="6"/>
      <c r="J153" s="12"/>
    </row>
    <row r="154" spans="1:21" x14ac:dyDescent="0.2">
      <c r="A154" s="11"/>
      <c r="B154" s="6" t="s">
        <v>52</v>
      </c>
      <c r="C154" s="6"/>
      <c r="D154" s="7">
        <f>MIN(0,C80-RL_Yellow)</f>
        <v>-5.5</v>
      </c>
      <c r="E154" s="7">
        <f>MIN(0,D80-RL_Yellow)</f>
        <v>-4.8999999999999986</v>
      </c>
      <c r="F154" s="7">
        <f>MIN(0,E80-RL_Yellow)</f>
        <v>-5.3000000000000007</v>
      </c>
      <c r="G154" s="7">
        <f>MIN(0,F80-RL_Yellow)</f>
        <v>-5</v>
      </c>
      <c r="H154" s="6"/>
      <c r="I154" s="6"/>
      <c r="J154" s="12"/>
    </row>
    <row r="155" spans="1:21" x14ac:dyDescent="0.2">
      <c r="A155" s="11"/>
      <c r="B155" s="6"/>
      <c r="C155" s="6"/>
      <c r="D155" s="6"/>
      <c r="E155" s="6"/>
      <c r="F155" s="6"/>
      <c r="G155" s="6"/>
      <c r="H155" s="6"/>
      <c r="I155" s="6"/>
      <c r="J155" s="12"/>
    </row>
    <row r="156" spans="1:21" x14ac:dyDescent="0.2">
      <c r="A156" s="11"/>
      <c r="B156" s="6" t="s">
        <v>60</v>
      </c>
      <c r="C156" s="6"/>
      <c r="D156" s="6"/>
      <c r="E156" s="6"/>
      <c r="F156" s="6"/>
      <c r="G156" s="6"/>
      <c r="H156" s="6"/>
      <c r="I156" s="6"/>
      <c r="J156" s="12"/>
    </row>
    <row r="157" spans="1:21" x14ac:dyDescent="0.2">
      <c r="A157" s="11"/>
      <c r="B157" s="6"/>
      <c r="C157" s="6"/>
      <c r="D157" s="6" t="s">
        <v>61</v>
      </c>
      <c r="E157" s="6" t="s">
        <v>62</v>
      </c>
      <c r="F157" s="6" t="s">
        <v>63</v>
      </c>
      <c r="G157" s="6" t="s">
        <v>64</v>
      </c>
      <c r="H157" s="6" t="s">
        <v>65</v>
      </c>
      <c r="I157" s="6" t="s">
        <v>66</v>
      </c>
      <c r="J157" s="12"/>
    </row>
    <row r="158" spans="1:21" x14ac:dyDescent="0.2">
      <c r="A158" s="11"/>
      <c r="B158" s="6" t="s">
        <v>50</v>
      </c>
      <c r="C158" s="6"/>
      <c r="D158" s="6">
        <f t="shared" ref="D158:I158" si="25">IF(C82&lt;Xtalk_Red,Xtalk_Red,C82)</f>
        <v>-31</v>
      </c>
      <c r="E158" s="6">
        <f t="shared" si="25"/>
        <v>-31</v>
      </c>
      <c r="F158" s="6">
        <f t="shared" si="25"/>
        <v>-31</v>
      </c>
      <c r="G158" s="6">
        <f t="shared" si="25"/>
        <v>-31</v>
      </c>
      <c r="H158" s="6">
        <f t="shared" si="25"/>
        <v>-31</v>
      </c>
      <c r="I158" s="6">
        <f t="shared" si="25"/>
        <v>-31</v>
      </c>
      <c r="J158" s="12"/>
    </row>
    <row r="159" spans="1:21" x14ac:dyDescent="0.2">
      <c r="A159" s="11"/>
      <c r="B159" s="6" t="s">
        <v>51</v>
      </c>
      <c r="C159" s="6"/>
      <c r="D159" s="6">
        <f t="shared" ref="D159:I159" si="26">IF(C82&lt;Xtalk_Yellow,Xtalk_Yellow-Xtalk_Red,MIN(0,C82-Xtalk_Red))</f>
        <v>-3</v>
      </c>
      <c r="E159" s="6">
        <f t="shared" si="26"/>
        <v>-3</v>
      </c>
      <c r="F159" s="6">
        <f t="shared" si="26"/>
        <v>-3</v>
      </c>
      <c r="G159" s="6">
        <f t="shared" si="26"/>
        <v>-3</v>
      </c>
      <c r="H159" s="6">
        <f t="shared" si="26"/>
        <v>-3</v>
      </c>
      <c r="I159" s="6">
        <f t="shared" si="26"/>
        <v>-3</v>
      </c>
      <c r="J159" s="12"/>
    </row>
    <row r="160" spans="1:21" x14ac:dyDescent="0.2">
      <c r="A160" s="11"/>
      <c r="B160" s="6" t="s">
        <v>52</v>
      </c>
      <c r="C160" s="6"/>
      <c r="D160" s="7">
        <f t="shared" ref="D160:I160" si="27">MIN(0,C82-Xtalk_Yellow)</f>
        <v>-5</v>
      </c>
      <c r="E160" s="7">
        <f t="shared" si="27"/>
        <v>-5</v>
      </c>
      <c r="F160" s="7">
        <f t="shared" si="27"/>
        <v>-5</v>
      </c>
      <c r="G160" s="7">
        <f t="shared" si="27"/>
        <v>-5</v>
      </c>
      <c r="H160" s="7">
        <f t="shared" si="27"/>
        <v>-5</v>
      </c>
      <c r="I160" s="7">
        <f t="shared" si="27"/>
        <v>-5</v>
      </c>
      <c r="J160" s="12"/>
    </row>
    <row r="161" spans="1:10" x14ac:dyDescent="0.2">
      <c r="A161" s="11"/>
      <c r="B161" s="6"/>
      <c r="C161" s="6"/>
      <c r="D161" s="6"/>
      <c r="E161" s="6"/>
      <c r="F161" s="6"/>
      <c r="G161" s="6"/>
      <c r="H161" s="6"/>
      <c r="I161" s="6"/>
      <c r="J161" s="12"/>
    </row>
    <row r="162" spans="1:10" x14ac:dyDescent="0.2">
      <c r="A162" s="11"/>
      <c r="B162" s="6" t="s">
        <v>84</v>
      </c>
      <c r="C162" s="6"/>
      <c r="D162" s="6"/>
      <c r="E162" s="6"/>
      <c r="F162" s="6"/>
      <c r="G162" s="6"/>
      <c r="H162" s="6"/>
      <c r="I162" s="6"/>
      <c r="J162" s="12"/>
    </row>
    <row r="163" spans="1:10" x14ac:dyDescent="0.2">
      <c r="A163" s="11"/>
      <c r="B163" s="6"/>
      <c r="C163" s="6"/>
      <c r="D163" s="6" t="s">
        <v>49</v>
      </c>
      <c r="E163" s="6" t="s">
        <v>48</v>
      </c>
      <c r="F163" s="6" t="s">
        <v>25</v>
      </c>
      <c r="G163" s="6" t="s">
        <v>99</v>
      </c>
      <c r="H163" s="6" t="s">
        <v>100</v>
      </c>
      <c r="I163" s="6"/>
      <c r="J163" s="12"/>
    </row>
    <row r="164" spans="1:10" x14ac:dyDescent="0.2">
      <c r="A164" s="11"/>
      <c r="B164" s="8" t="s">
        <v>18</v>
      </c>
      <c r="C164" s="9"/>
      <c r="D164" s="8">
        <f>LI_Red</f>
        <v>99</v>
      </c>
      <c r="E164" s="8">
        <f>LI_Yellow</f>
        <v>99</v>
      </c>
      <c r="F164" s="8" t="s">
        <v>72</v>
      </c>
      <c r="G164" s="6"/>
      <c r="H164" s="6"/>
      <c r="I164" s="6"/>
      <c r="J164" s="12"/>
    </row>
    <row r="165" spans="1:10" x14ac:dyDescent="0.2">
      <c r="A165" s="11"/>
      <c r="B165" s="8" t="s">
        <v>108</v>
      </c>
      <c r="C165" s="9"/>
      <c r="D165" s="14">
        <f>Rx_Red_100_Lo</f>
        <v>-0.89552789422304513</v>
      </c>
      <c r="E165" s="14">
        <f>Rx_Yellow_100_Lo</f>
        <v>-0.745527894223045</v>
      </c>
      <c r="F165" s="8" t="s">
        <v>26</v>
      </c>
      <c r="G165" s="13">
        <f>Rx_Red_100_Hi</f>
        <v>0.72378598139876182</v>
      </c>
      <c r="H165" s="13">
        <f>Rx_Yellow_100_Hi</f>
        <v>0.5737859813987618</v>
      </c>
      <c r="I165" s="8" t="s">
        <v>26</v>
      </c>
      <c r="J165" s="12"/>
    </row>
    <row r="166" spans="1:10" x14ac:dyDescent="0.2">
      <c r="A166" s="11"/>
      <c r="B166" s="8" t="s">
        <v>109</v>
      </c>
      <c r="C166" s="9"/>
      <c r="D166" s="14">
        <f>Rx_Red_1000_Lo</f>
        <v>-1.6797292138174715</v>
      </c>
      <c r="E166" s="14">
        <f>Rx_Yellow_1000_Lo</f>
        <v>-1.2797292138174714</v>
      </c>
      <c r="F166" s="8" t="s">
        <v>26</v>
      </c>
      <c r="G166" s="13">
        <f>Rx_Red_1000_Hi</f>
        <v>1.1250517798403323</v>
      </c>
      <c r="H166" s="13">
        <f>Rx_Yellow_1000_Hi</f>
        <v>0.92505177984033238</v>
      </c>
      <c r="I166" s="8" t="s">
        <v>26</v>
      </c>
      <c r="J166" s="12"/>
    </row>
    <row r="167" spans="1:10" x14ac:dyDescent="0.2">
      <c r="A167" s="11"/>
      <c r="B167" s="8" t="s">
        <v>28</v>
      </c>
      <c r="C167" s="9"/>
      <c r="D167" s="8">
        <f>SNR_Red</f>
        <v>27</v>
      </c>
      <c r="E167" s="8">
        <f>SNR_Yellow</f>
        <v>31</v>
      </c>
      <c r="F167" s="8" t="s">
        <v>26</v>
      </c>
      <c r="G167" s="6"/>
      <c r="H167" s="6"/>
      <c r="I167" s="6"/>
      <c r="J167" s="12"/>
    </row>
    <row r="168" spans="1:10" x14ac:dyDescent="0.2">
      <c r="A168" s="11"/>
      <c r="B168" s="8" t="s">
        <v>140</v>
      </c>
      <c r="C168" s="8"/>
      <c r="D168" s="8"/>
      <c r="E168" s="8"/>
      <c r="F168" s="8"/>
      <c r="G168" s="8" t="s">
        <v>104</v>
      </c>
      <c r="H168" s="8" t="s">
        <v>105</v>
      </c>
      <c r="I168" s="6"/>
      <c r="J168" s="12"/>
    </row>
    <row r="169" spans="1:10" x14ac:dyDescent="0.2">
      <c r="A169" s="11"/>
      <c r="B169" s="8" t="s">
        <v>73</v>
      </c>
      <c r="C169" s="8"/>
      <c r="D169" s="14">
        <f>Limits!D12</f>
        <v>-9</v>
      </c>
      <c r="E169" s="14">
        <f>Limits!E12</f>
        <v>-7.4</v>
      </c>
      <c r="F169" s="8" t="s">
        <v>26</v>
      </c>
      <c r="G169" s="14">
        <f>Limits!G12</f>
        <v>2</v>
      </c>
      <c r="H169" s="14">
        <f>Limits!F12</f>
        <v>1.8</v>
      </c>
      <c r="I169" s="8" t="s">
        <v>26</v>
      </c>
      <c r="J169" s="12"/>
    </row>
    <row r="170" spans="1:10" x14ac:dyDescent="0.2">
      <c r="A170" s="11"/>
      <c r="B170" s="8" t="s">
        <v>74</v>
      </c>
      <c r="C170" s="8"/>
      <c r="D170" s="14">
        <f>Limits!D13</f>
        <v>-5</v>
      </c>
      <c r="E170" s="14">
        <f>Limits!E13</f>
        <v>-4.3</v>
      </c>
      <c r="F170" s="8" t="s">
        <v>26</v>
      </c>
      <c r="G170" s="14">
        <f>Limits!G13</f>
        <v>2</v>
      </c>
      <c r="H170" s="14">
        <f>Limits!F13</f>
        <v>1.8</v>
      </c>
      <c r="I170" s="8" t="s">
        <v>26</v>
      </c>
      <c r="J170" s="12"/>
    </row>
    <row r="171" spans="1:10" x14ac:dyDescent="0.2">
      <c r="A171" s="11"/>
      <c r="B171" s="8" t="s">
        <v>75</v>
      </c>
      <c r="C171" s="8"/>
      <c r="D171" s="14">
        <f>Limits!D14</f>
        <v>-1.25</v>
      </c>
      <c r="E171" s="14">
        <f>Limits!E14</f>
        <v>-1</v>
      </c>
      <c r="F171" s="8" t="s">
        <v>26</v>
      </c>
      <c r="G171" s="14">
        <f>Limits!G14</f>
        <v>2</v>
      </c>
      <c r="H171" s="14">
        <f>Limits!F14</f>
        <v>1.8</v>
      </c>
      <c r="I171" s="8" t="s">
        <v>26</v>
      </c>
      <c r="J171" s="12"/>
    </row>
    <row r="172" spans="1:10" x14ac:dyDescent="0.2">
      <c r="A172" s="11"/>
      <c r="B172" s="8" t="s">
        <v>76</v>
      </c>
      <c r="C172" s="8"/>
      <c r="D172" s="14">
        <f>Limits!D15</f>
        <v>-0.85</v>
      </c>
      <c r="E172" s="14">
        <f>Limits!E15</f>
        <v>-0.6</v>
      </c>
      <c r="F172" s="8" t="s">
        <v>26</v>
      </c>
      <c r="G172" s="14">
        <f>Limits!G15</f>
        <v>0.85</v>
      </c>
      <c r="H172" s="14">
        <f>Limits!F15</f>
        <v>0.6</v>
      </c>
      <c r="I172" s="8" t="s">
        <v>26</v>
      </c>
      <c r="J172" s="12"/>
    </row>
    <row r="173" spans="1:10" x14ac:dyDescent="0.2">
      <c r="A173" s="11"/>
      <c r="B173" s="8" t="s">
        <v>77</v>
      </c>
      <c r="C173" s="8"/>
      <c r="D173" s="14">
        <f>Limits!D16</f>
        <v>-0.85</v>
      </c>
      <c r="E173" s="14">
        <f>Limits!E16</f>
        <v>-0.6</v>
      </c>
      <c r="F173" s="8" t="s">
        <v>26</v>
      </c>
      <c r="G173" s="14">
        <f>Limits!G16</f>
        <v>0.8</v>
      </c>
      <c r="H173" s="14">
        <f>Limits!F16</f>
        <v>0.55000000000000004</v>
      </c>
      <c r="I173" s="8" t="s">
        <v>26</v>
      </c>
      <c r="J173" s="12"/>
    </row>
    <row r="174" spans="1:10" x14ac:dyDescent="0.2">
      <c r="A174" s="11"/>
      <c r="B174" s="8" t="s">
        <v>141</v>
      </c>
      <c r="C174" s="8"/>
      <c r="D174" s="8"/>
      <c r="E174" s="8"/>
      <c r="F174" s="8"/>
      <c r="G174" s="8" t="s">
        <v>104</v>
      </c>
      <c r="H174" s="8" t="s">
        <v>105</v>
      </c>
      <c r="I174" s="6"/>
      <c r="J174" s="12"/>
    </row>
    <row r="175" spans="1:10" x14ac:dyDescent="0.2">
      <c r="A175" s="11"/>
      <c r="B175" s="8" t="s">
        <v>73</v>
      </c>
      <c r="C175" s="8"/>
      <c r="D175" s="14">
        <f>Limits!D17</f>
        <v>-12.2</v>
      </c>
      <c r="E175" s="14">
        <f>Limits!E17</f>
        <v>-10</v>
      </c>
      <c r="F175" s="8" t="s">
        <v>26</v>
      </c>
      <c r="G175" s="14">
        <f>Limits!G17</f>
        <v>1.3</v>
      </c>
      <c r="H175" s="14">
        <f>Limits!F17</f>
        <v>1.05</v>
      </c>
      <c r="I175" s="8" t="s">
        <v>26</v>
      </c>
      <c r="J175" s="12"/>
    </row>
    <row r="176" spans="1:10" x14ac:dyDescent="0.2">
      <c r="A176" s="11"/>
      <c r="B176" s="8" t="s">
        <v>74</v>
      </c>
      <c r="C176" s="8"/>
      <c r="D176" s="14">
        <f>Limits!D18</f>
        <v>-8.25</v>
      </c>
      <c r="E176" s="14">
        <f>Limits!E18</f>
        <v>-6.75</v>
      </c>
      <c r="F176" s="8" t="s">
        <v>26</v>
      </c>
      <c r="G176" s="14">
        <f>Limits!G18</f>
        <v>1.3</v>
      </c>
      <c r="H176" s="14">
        <f>Limits!F18</f>
        <v>1.05</v>
      </c>
      <c r="I176" s="8" t="s">
        <v>26</v>
      </c>
      <c r="J176" s="12"/>
    </row>
    <row r="177" spans="1:10" x14ac:dyDescent="0.2">
      <c r="A177" s="11"/>
      <c r="B177" s="8" t="s">
        <v>75</v>
      </c>
      <c r="C177" s="8"/>
      <c r="D177" s="14">
        <f>Limits!D19</f>
        <v>-1.75</v>
      </c>
      <c r="E177" s="14">
        <f>Limits!E19</f>
        <v>-1.45</v>
      </c>
      <c r="F177" s="8" t="s">
        <v>26</v>
      </c>
      <c r="G177" s="14">
        <f>Limits!G19</f>
        <v>1.3</v>
      </c>
      <c r="H177" s="14">
        <f>Limits!F19</f>
        <v>1.05</v>
      </c>
      <c r="I177" s="8" t="s">
        <v>26</v>
      </c>
      <c r="J177" s="12"/>
    </row>
    <row r="178" spans="1:10" x14ac:dyDescent="0.2">
      <c r="A178" s="11"/>
      <c r="B178" s="8" t="s">
        <v>76</v>
      </c>
      <c r="C178" s="8"/>
      <c r="D178" s="14">
        <f>Limits!D20</f>
        <v>-1.35</v>
      </c>
      <c r="E178" s="14">
        <f>Limits!E20</f>
        <v>-1</v>
      </c>
      <c r="F178" s="8" t="s">
        <v>26</v>
      </c>
      <c r="G178" s="14">
        <f>Limits!G20</f>
        <v>1.2</v>
      </c>
      <c r="H178" s="14">
        <f>Limits!F20</f>
        <v>0.95</v>
      </c>
      <c r="I178" s="8" t="s">
        <v>26</v>
      </c>
      <c r="J178" s="12"/>
    </row>
    <row r="179" spans="1:10" x14ac:dyDescent="0.2">
      <c r="A179" s="11"/>
      <c r="B179" s="8" t="s">
        <v>77</v>
      </c>
      <c r="C179" s="8"/>
      <c r="D179" s="14">
        <f>Limits!D21</f>
        <v>-1.35</v>
      </c>
      <c r="E179" s="14">
        <f>Limits!E21</f>
        <v>-1</v>
      </c>
      <c r="F179" s="8" t="s">
        <v>26</v>
      </c>
      <c r="G179" s="14">
        <f>Limits!G21</f>
        <v>1.2</v>
      </c>
      <c r="H179" s="14">
        <f>Limits!F21</f>
        <v>0.95</v>
      </c>
      <c r="I179" s="8" t="s">
        <v>26</v>
      </c>
      <c r="J179" s="12"/>
    </row>
    <row r="180" spans="1:10" x14ac:dyDescent="0.2">
      <c r="A180" s="11"/>
      <c r="B180" s="8" t="s">
        <v>142</v>
      </c>
      <c r="C180" s="8"/>
      <c r="D180" s="8"/>
      <c r="E180" s="8"/>
      <c r="F180" s="8"/>
      <c r="G180" s="8" t="s">
        <v>104</v>
      </c>
      <c r="H180" s="8" t="s">
        <v>105</v>
      </c>
      <c r="I180" s="6"/>
      <c r="J180" s="12"/>
    </row>
    <row r="181" spans="1:10" x14ac:dyDescent="0.2">
      <c r="A181" s="11"/>
      <c r="B181" s="8" t="s">
        <v>80</v>
      </c>
      <c r="C181" s="8"/>
      <c r="D181" s="14">
        <f>Limits!D24</f>
        <v>-1</v>
      </c>
      <c r="E181" s="8">
        <f>Limits!E24</f>
        <v>-0.75</v>
      </c>
      <c r="F181" s="8" t="s">
        <v>26</v>
      </c>
      <c r="G181" s="14">
        <f>Limits!G24</f>
        <v>1</v>
      </c>
      <c r="H181" s="14">
        <f>Limits!F24</f>
        <v>0.7</v>
      </c>
      <c r="I181" s="8" t="s">
        <v>26</v>
      </c>
      <c r="J181" s="12"/>
    </row>
    <row r="182" spans="1:10" x14ac:dyDescent="0.2">
      <c r="A182" s="11"/>
      <c r="B182" s="8" t="s">
        <v>78</v>
      </c>
      <c r="C182" s="8"/>
      <c r="D182" s="8">
        <f>Limits!D25</f>
        <v>-1.3</v>
      </c>
      <c r="E182" s="8">
        <f>Limits!E25</f>
        <v>-1.05</v>
      </c>
      <c r="F182" s="8" t="s">
        <v>26</v>
      </c>
      <c r="G182" s="14">
        <f>Limits!G25</f>
        <v>1</v>
      </c>
      <c r="H182" s="14">
        <f>Limits!F25</f>
        <v>0.7</v>
      </c>
      <c r="I182" s="8" t="s">
        <v>26</v>
      </c>
      <c r="J182" s="12"/>
    </row>
    <row r="183" spans="1:10" x14ac:dyDescent="0.2">
      <c r="A183" s="11"/>
      <c r="B183" s="8" t="s">
        <v>101</v>
      </c>
      <c r="C183" s="8"/>
      <c r="D183" s="8">
        <f>Limits!D26</f>
        <v>-1.75</v>
      </c>
      <c r="E183" s="8">
        <f>Limits!E26</f>
        <v>-1.5</v>
      </c>
      <c r="F183" s="8" t="s">
        <v>26</v>
      </c>
      <c r="G183" s="14">
        <f>Limits!G26</f>
        <v>1</v>
      </c>
      <c r="H183" s="14">
        <f>Limits!F26</f>
        <v>0.7</v>
      </c>
      <c r="I183" s="8" t="s">
        <v>26</v>
      </c>
      <c r="J183" s="12"/>
    </row>
    <row r="184" spans="1:10" x14ac:dyDescent="0.2">
      <c r="A184" s="11"/>
      <c r="B184" s="8" t="s">
        <v>102</v>
      </c>
      <c r="C184" s="8"/>
      <c r="D184" s="8">
        <f>Limits!D27</f>
        <v>-2.4</v>
      </c>
      <c r="E184" s="8">
        <f>Limits!E27</f>
        <v>-2.15</v>
      </c>
      <c r="F184" s="8" t="s">
        <v>26</v>
      </c>
      <c r="G184" s="14">
        <f>Limits!G27</f>
        <v>1</v>
      </c>
      <c r="H184" s="14">
        <f>Limits!F27</f>
        <v>0.7</v>
      </c>
      <c r="I184" s="8" t="s">
        <v>26</v>
      </c>
      <c r="J184" s="12"/>
    </row>
    <row r="185" spans="1:10" x14ac:dyDescent="0.2">
      <c r="A185" s="11"/>
      <c r="B185" s="8" t="s">
        <v>103</v>
      </c>
      <c r="C185" s="8"/>
      <c r="D185" s="8">
        <f>Limits!D28</f>
        <v>-2.95</v>
      </c>
      <c r="E185" s="8">
        <f>Limits!E28</f>
        <v>-2.7</v>
      </c>
      <c r="F185" s="8" t="s">
        <v>26</v>
      </c>
      <c r="G185" s="14">
        <f>Limits!G28</f>
        <v>1.1000000000000001</v>
      </c>
      <c r="H185" s="14">
        <f>Limits!F28</f>
        <v>0.8</v>
      </c>
      <c r="I185" s="8" t="s">
        <v>26</v>
      </c>
      <c r="J185" s="12"/>
    </row>
    <row r="186" spans="1:10" x14ac:dyDescent="0.2">
      <c r="A186" s="11"/>
      <c r="B186" s="8" t="s">
        <v>79</v>
      </c>
      <c r="C186" s="8"/>
      <c r="D186" s="8">
        <f>Limits!D29</f>
        <v>-3.45</v>
      </c>
      <c r="E186" s="8">
        <f>Limits!E29</f>
        <v>-3.05</v>
      </c>
      <c r="F186" s="8" t="s">
        <v>26</v>
      </c>
      <c r="G186" s="14">
        <f>Limits!G29</f>
        <v>1.5</v>
      </c>
      <c r="H186" s="14">
        <f>Limits!F29</f>
        <v>1.1499999999999999</v>
      </c>
      <c r="I186" s="8" t="s">
        <v>26</v>
      </c>
      <c r="J186" s="12"/>
    </row>
    <row r="187" spans="1:10" x14ac:dyDescent="0.2">
      <c r="A187" s="11"/>
      <c r="B187" s="8" t="s">
        <v>143</v>
      </c>
      <c r="C187" s="8"/>
      <c r="D187" s="8"/>
      <c r="E187" s="8"/>
      <c r="F187" s="8"/>
      <c r="G187" s="8" t="s">
        <v>104</v>
      </c>
      <c r="H187" s="8" t="s">
        <v>105</v>
      </c>
      <c r="I187" s="6"/>
      <c r="J187" s="12"/>
    </row>
    <row r="188" spans="1:10" x14ac:dyDescent="0.2">
      <c r="A188" s="11"/>
      <c r="B188" s="8" t="s">
        <v>80</v>
      </c>
      <c r="C188" s="8"/>
      <c r="D188" s="14">
        <f>Limits!D30</f>
        <v>-1.55</v>
      </c>
      <c r="E188" s="14">
        <f>Limits!E30</f>
        <v>-1.3</v>
      </c>
      <c r="F188" s="8" t="s">
        <v>26</v>
      </c>
      <c r="G188" s="14">
        <f>Limits!G30</f>
        <v>1.4</v>
      </c>
      <c r="H188" s="14">
        <f>Limits!F30</f>
        <v>1.1000000000000001</v>
      </c>
      <c r="I188" s="8" t="s">
        <v>26</v>
      </c>
      <c r="J188" s="12"/>
    </row>
    <row r="189" spans="1:10" x14ac:dyDescent="0.2">
      <c r="A189" s="11"/>
      <c r="B189" s="8" t="s">
        <v>78</v>
      </c>
      <c r="C189" s="8"/>
      <c r="D189" s="14">
        <f>Limits!D31</f>
        <v>-1.85</v>
      </c>
      <c r="E189" s="14">
        <f>Limits!E31</f>
        <v>-1.6</v>
      </c>
      <c r="F189" s="8" t="s">
        <v>26</v>
      </c>
      <c r="G189" s="14">
        <f>Limits!G31</f>
        <v>1.4</v>
      </c>
      <c r="H189" s="14">
        <f>Limits!F31</f>
        <v>1.1000000000000001</v>
      </c>
      <c r="I189" s="8" t="s">
        <v>26</v>
      </c>
      <c r="J189" s="12"/>
    </row>
    <row r="190" spans="1:10" x14ac:dyDescent="0.2">
      <c r="A190" s="11"/>
      <c r="B190" s="8" t="s">
        <v>101</v>
      </c>
      <c r="C190" s="8"/>
      <c r="D190" s="14">
        <f>Limits!D32</f>
        <v>-2.2999999999999998</v>
      </c>
      <c r="E190" s="14">
        <f>Limits!E32</f>
        <v>-2.0499999999999998</v>
      </c>
      <c r="F190" s="8" t="s">
        <v>26</v>
      </c>
      <c r="G190" s="14">
        <f>Limits!G32</f>
        <v>1.4</v>
      </c>
      <c r="H190" s="14">
        <f>Limits!F32</f>
        <v>1.1000000000000001</v>
      </c>
      <c r="I190" s="8" t="s">
        <v>26</v>
      </c>
      <c r="J190" s="12"/>
    </row>
    <row r="191" spans="1:10" x14ac:dyDescent="0.2">
      <c r="A191" s="11"/>
      <c r="B191" s="8" t="s">
        <v>102</v>
      </c>
      <c r="C191" s="8"/>
      <c r="D191" s="14">
        <f>Limits!D33</f>
        <v>-2.95</v>
      </c>
      <c r="E191" s="14">
        <f>Limits!E33</f>
        <v>-2.7</v>
      </c>
      <c r="F191" s="8" t="s">
        <v>26</v>
      </c>
      <c r="G191" s="14">
        <f>Limits!G33</f>
        <v>1.4</v>
      </c>
      <c r="H191" s="14">
        <f>Limits!F33</f>
        <v>1.1000000000000001</v>
      </c>
      <c r="I191" s="8" t="s">
        <v>26</v>
      </c>
      <c r="J191" s="12"/>
    </row>
    <row r="192" spans="1:10" x14ac:dyDescent="0.2">
      <c r="A192" s="11"/>
      <c r="B192" s="8" t="s">
        <v>103</v>
      </c>
      <c r="C192" s="8"/>
      <c r="D192" s="14">
        <f>Limits!D34</f>
        <v>-3.6</v>
      </c>
      <c r="E192" s="14">
        <f>Limits!E34</f>
        <v>-3.25</v>
      </c>
      <c r="F192" s="8" t="s">
        <v>26</v>
      </c>
      <c r="G192" s="14">
        <f>Limits!G34</f>
        <v>1.55</v>
      </c>
      <c r="H192" s="14">
        <f>Limits!F34</f>
        <v>1.2</v>
      </c>
      <c r="I192" s="8" t="s">
        <v>26</v>
      </c>
      <c r="J192" s="12"/>
    </row>
    <row r="193" spans="1:10" x14ac:dyDescent="0.2">
      <c r="A193" s="11"/>
      <c r="B193" s="8" t="s">
        <v>233</v>
      </c>
      <c r="C193" s="8"/>
      <c r="D193" s="14">
        <f>Limits!D35</f>
        <v>-3.9</v>
      </c>
      <c r="E193" s="14">
        <f>Limits!E35</f>
        <v>-3.4</v>
      </c>
      <c r="F193" s="8" t="s">
        <v>26</v>
      </c>
      <c r="G193" s="14">
        <f>Limits!G35</f>
        <v>1.85</v>
      </c>
      <c r="H193" s="14">
        <f>Limits!F35</f>
        <v>1.35</v>
      </c>
      <c r="I193" s="8" t="s">
        <v>26</v>
      </c>
      <c r="J193" s="12"/>
    </row>
    <row r="194" spans="1:10" x14ac:dyDescent="0.2">
      <c r="A194" s="11"/>
      <c r="B194" s="8" t="s">
        <v>81</v>
      </c>
      <c r="C194" s="9"/>
      <c r="D194" s="8">
        <f>Skew_Red</f>
        <v>24</v>
      </c>
      <c r="E194" s="8">
        <f>Skew_Yellow</f>
        <v>16</v>
      </c>
      <c r="F194" s="8" t="s">
        <v>47</v>
      </c>
      <c r="G194" s="6"/>
      <c r="H194" s="6"/>
      <c r="I194" s="6"/>
      <c r="J194" s="12"/>
    </row>
    <row r="195" spans="1:10" x14ac:dyDescent="0.2">
      <c r="A195" s="11"/>
      <c r="B195" s="8" t="s">
        <v>82</v>
      </c>
      <c r="C195" s="9"/>
      <c r="D195" s="8">
        <f>RL_Red</f>
        <v>-19</v>
      </c>
      <c r="E195" s="8">
        <f>RL_Yellow</f>
        <v>-20.5</v>
      </c>
      <c r="F195" s="8" t="s">
        <v>26</v>
      </c>
      <c r="G195" s="6"/>
      <c r="H195" s="6"/>
      <c r="I195" s="6"/>
      <c r="J195" s="12"/>
    </row>
    <row r="196" spans="1:10" x14ac:dyDescent="0.2">
      <c r="A196" s="11"/>
      <c r="B196" s="8" t="s">
        <v>83</v>
      </c>
      <c r="C196" s="9"/>
      <c r="D196" s="8">
        <f>Xtalk_Red</f>
        <v>-31</v>
      </c>
      <c r="E196" s="8">
        <f>Xtalk_Yellow</f>
        <v>-34</v>
      </c>
      <c r="F196" s="8"/>
      <c r="G196" s="12"/>
      <c r="H196" s="6"/>
      <c r="I196" s="6"/>
      <c r="J196" s="12"/>
    </row>
    <row r="197" spans="1:10" x14ac:dyDescent="0.2">
      <c r="A197" s="11"/>
      <c r="B197" s="8" t="s">
        <v>169</v>
      </c>
      <c r="C197" s="9"/>
      <c r="D197" s="8"/>
      <c r="E197" s="8"/>
      <c r="F197" s="8"/>
      <c r="G197" s="12"/>
      <c r="H197" s="6"/>
      <c r="I197" s="6"/>
      <c r="J197" s="12"/>
    </row>
    <row r="198" spans="1:10" x14ac:dyDescent="0.2">
      <c r="A198" s="11"/>
      <c r="B198" s="10" t="s">
        <v>172</v>
      </c>
      <c r="C198" s="9"/>
      <c r="D198" s="8">
        <f>Limits!D44</f>
        <v>95</v>
      </c>
      <c r="E198" s="8">
        <f>Limits!E44</f>
        <v>99.9</v>
      </c>
      <c r="F198" s="8"/>
      <c r="G198" s="6">
        <f>IF(E94="Link_Chk",D199,D198)</f>
        <v>95</v>
      </c>
      <c r="H198" s="6"/>
      <c r="I198" s="6"/>
      <c r="J198" s="12"/>
    </row>
    <row r="199" spans="1:10" x14ac:dyDescent="0.2">
      <c r="A199" s="11"/>
      <c r="B199" s="10" t="s">
        <v>173</v>
      </c>
      <c r="C199" s="9"/>
      <c r="D199" s="8" t="str">
        <f>Limits!D45</f>
        <v>DOWN</v>
      </c>
      <c r="E199" s="8"/>
      <c r="F199" s="8"/>
      <c r="G199" s="6"/>
      <c r="H199" s="6"/>
      <c r="I199" s="6"/>
      <c r="J199" s="12"/>
    </row>
    <row r="200" spans="1:10" x14ac:dyDescent="0.2">
      <c r="A200" s="11"/>
      <c r="B200" s="8" t="s">
        <v>170</v>
      </c>
      <c r="C200" s="9"/>
      <c r="D200" s="8"/>
      <c r="E200" s="8"/>
      <c r="F200" s="8"/>
      <c r="G200" s="6"/>
      <c r="H200" s="6"/>
      <c r="I200" s="6"/>
      <c r="J200" s="12"/>
    </row>
    <row r="201" spans="1:10" x14ac:dyDescent="0.2">
      <c r="A201" s="11"/>
      <c r="B201" s="10" t="s">
        <v>174</v>
      </c>
      <c r="C201" s="9"/>
      <c r="D201" s="8">
        <f>Limits!D48</f>
        <v>95</v>
      </c>
      <c r="E201" s="8">
        <f>Limits!E48</f>
        <v>99.8</v>
      </c>
      <c r="F201" s="8"/>
      <c r="G201" s="6">
        <f>IF(J94="Link_Chk",D202,D201)</f>
        <v>95</v>
      </c>
      <c r="H201" s="6"/>
      <c r="I201" s="6"/>
      <c r="J201" s="12"/>
    </row>
    <row r="202" spans="1:10" x14ac:dyDescent="0.2">
      <c r="A202" s="11"/>
      <c r="B202" s="10" t="s">
        <v>173</v>
      </c>
      <c r="C202" s="9"/>
      <c r="D202" s="8" t="str">
        <f>Limits!D49</f>
        <v>DOWN</v>
      </c>
      <c r="E202" s="8"/>
      <c r="F202" s="8"/>
      <c r="G202" s="6"/>
      <c r="H202" s="6"/>
      <c r="I202" s="6"/>
      <c r="J202" s="12"/>
    </row>
    <row r="203" spans="1:10" x14ac:dyDescent="0.2">
      <c r="A203" s="11"/>
      <c r="B203" s="8" t="s">
        <v>171</v>
      </c>
      <c r="C203" s="9"/>
      <c r="D203" s="8"/>
      <c r="E203" s="8"/>
      <c r="F203" s="8"/>
      <c r="G203" s="6"/>
      <c r="H203" s="6"/>
      <c r="I203" s="6"/>
      <c r="J203" s="12"/>
    </row>
    <row r="204" spans="1:10" x14ac:dyDescent="0.2">
      <c r="A204" s="11"/>
      <c r="B204" s="10" t="s">
        <v>174</v>
      </c>
      <c r="C204" s="9"/>
      <c r="D204" s="8">
        <f>Limits!D52</f>
        <v>95</v>
      </c>
      <c r="E204" s="8">
        <f>Limits!E52</f>
        <v>99.6</v>
      </c>
      <c r="F204" s="8"/>
      <c r="G204" s="6">
        <f>IF(P94="Link_Chk",D205,D204)</f>
        <v>95</v>
      </c>
      <c r="H204" s="6"/>
      <c r="I204" s="6"/>
      <c r="J204" s="12"/>
    </row>
    <row r="205" spans="1:10" x14ac:dyDescent="0.2">
      <c r="A205" s="11"/>
      <c r="B205" s="10" t="s">
        <v>173</v>
      </c>
      <c r="C205" s="9"/>
      <c r="D205" s="8" t="str">
        <f>Limits!D53</f>
        <v>DOWN</v>
      </c>
      <c r="E205" s="8"/>
      <c r="F205" s="8"/>
      <c r="G205" s="6"/>
      <c r="H205" s="6"/>
      <c r="I205" s="6"/>
      <c r="J205" s="12"/>
    </row>
    <row r="206" spans="1:10" x14ac:dyDescent="0.2">
      <c r="A206" s="11"/>
      <c r="B206" s="16"/>
      <c r="C206" s="17"/>
      <c r="D206" s="15"/>
      <c r="E206" s="15"/>
      <c r="F206" s="15"/>
      <c r="G206" s="12"/>
      <c r="H206" s="6"/>
      <c r="I206" s="6"/>
      <c r="J206" s="12"/>
    </row>
    <row r="207" spans="1:10" x14ac:dyDescent="0.2">
      <c r="A207" s="11"/>
      <c r="B207" s="15"/>
      <c r="C207" s="15"/>
      <c r="D207" s="15"/>
      <c r="E207" s="15"/>
      <c r="F207" s="15"/>
      <c r="G207" s="12"/>
      <c r="H207" s="6"/>
      <c r="I207" s="6"/>
      <c r="J207" s="12"/>
    </row>
    <row r="208" spans="1:10" x14ac:dyDescent="0.2">
      <c r="A208" s="11"/>
      <c r="B208" s="12"/>
      <c r="C208" s="12"/>
      <c r="D208" s="12"/>
      <c r="E208" s="12"/>
      <c r="F208" s="12"/>
      <c r="G208" s="12"/>
      <c r="H208" s="12"/>
      <c r="I208" s="12"/>
      <c r="J208" s="12"/>
    </row>
    <row r="209" spans="1:10" x14ac:dyDescent="0.2">
      <c r="A209" s="11"/>
      <c r="B209" s="12"/>
      <c r="C209" s="12"/>
      <c r="D209" s="12"/>
      <c r="E209" s="12"/>
      <c r="F209" s="12"/>
      <c r="G209" s="12"/>
      <c r="H209" s="12"/>
      <c r="I209" s="12"/>
      <c r="J209" s="12"/>
    </row>
    <row r="210" spans="1:10" x14ac:dyDescent="0.2">
      <c r="B210" s="12"/>
      <c r="C210" s="12"/>
      <c r="D210" s="12"/>
      <c r="E210" s="12"/>
      <c r="F210" s="12"/>
      <c r="G210" s="12"/>
      <c r="H210" s="12"/>
      <c r="I210" s="12"/>
      <c r="J210" s="12"/>
    </row>
    <row r="211" spans="1:10" x14ac:dyDescent="0.2">
      <c r="B211" s="12"/>
      <c r="C211" s="12"/>
      <c r="D211" s="12"/>
      <c r="E211" s="12"/>
      <c r="F211" s="12"/>
      <c r="G211" s="12"/>
      <c r="H211" s="12"/>
      <c r="I211" s="12"/>
      <c r="J211" s="12"/>
    </row>
    <row r="212" spans="1:10" x14ac:dyDescent="0.2">
      <c r="B212" s="12"/>
      <c r="C212" s="12"/>
      <c r="D212" s="12"/>
      <c r="E212" s="12"/>
      <c r="F212" s="12"/>
      <c r="G212" s="12"/>
      <c r="H212" s="12"/>
      <c r="I212" s="12"/>
      <c r="J212" s="12"/>
    </row>
    <row r="213" spans="1:10" x14ac:dyDescent="0.2">
      <c r="B213" s="12"/>
      <c r="C213" s="12"/>
      <c r="D213" s="12"/>
      <c r="E213" s="12"/>
      <c r="F213" s="12"/>
      <c r="G213" s="12"/>
      <c r="H213" s="12"/>
      <c r="I213" s="12"/>
      <c r="J213" s="12"/>
    </row>
    <row r="214" spans="1:10" x14ac:dyDescent="0.2">
      <c r="B214" s="12"/>
      <c r="C214" s="12"/>
      <c r="D214" s="12"/>
      <c r="E214" s="12"/>
      <c r="F214" s="12"/>
      <c r="G214" s="12"/>
      <c r="H214" s="12"/>
      <c r="I214" s="12"/>
      <c r="J214" s="12"/>
    </row>
  </sheetData>
  <mergeCells count="53">
    <mergeCell ref="S111:T111"/>
    <mergeCell ref="B94:D94"/>
    <mergeCell ref="B107:D107"/>
    <mergeCell ref="S107:U107"/>
    <mergeCell ref="S108:T108"/>
    <mergeCell ref="S109:T109"/>
    <mergeCell ref="S110:T110"/>
    <mergeCell ref="G94:I94"/>
    <mergeCell ref="M94:O94"/>
    <mergeCell ref="M107:O107"/>
    <mergeCell ref="G107:I107"/>
    <mergeCell ref="B21:C21"/>
    <mergeCell ref="S12:S13"/>
    <mergeCell ref="B51:B52"/>
    <mergeCell ref="B49:B50"/>
    <mergeCell ref="C35:D35"/>
    <mergeCell ref="B41:B45"/>
    <mergeCell ref="B33:C33"/>
    <mergeCell ref="B36:B40"/>
    <mergeCell ref="B15:C15"/>
    <mergeCell ref="B18:E18"/>
    <mergeCell ref="B27:C27"/>
    <mergeCell ref="I14:J14"/>
    <mergeCell ref="I15:J15"/>
    <mergeCell ref="Q2:R2"/>
    <mergeCell ref="B6:D6"/>
    <mergeCell ref="Q3:U3"/>
    <mergeCell ref="B3:C3"/>
    <mergeCell ref="T12:T13"/>
    <mergeCell ref="L3:N3"/>
    <mergeCell ref="N12:N13"/>
    <mergeCell ref="O12:O13"/>
    <mergeCell ref="P12:Q12"/>
    <mergeCell ref="S11:V11"/>
    <mergeCell ref="U12:V12"/>
    <mergeCell ref="N11:Q11"/>
    <mergeCell ref="G3:H3"/>
    <mergeCell ref="B9:C9"/>
    <mergeCell ref="M9:O9"/>
    <mergeCell ref="B91:D91"/>
    <mergeCell ref="B76:C76"/>
    <mergeCell ref="B48:D48"/>
    <mergeCell ref="C49:D49"/>
    <mergeCell ref="C51:D51"/>
    <mergeCell ref="C73:D73"/>
    <mergeCell ref="B63:B68"/>
    <mergeCell ref="C52:D52"/>
    <mergeCell ref="C50:D50"/>
    <mergeCell ref="B57:B62"/>
    <mergeCell ref="B54:C54"/>
    <mergeCell ref="C72:D72"/>
    <mergeCell ref="B71:D71"/>
    <mergeCell ref="C56:D56"/>
  </mergeCells>
  <phoneticPr fontId="0" type="noConversion"/>
  <conditionalFormatting sqref="J12">
    <cfRule type="cellIs" dxfId="197" priority="60" stopIfTrue="1" operator="notEqual">
      <formula>"AUTO"</formula>
    </cfRule>
  </conditionalFormatting>
  <conditionalFormatting sqref="C32">
    <cfRule type="cellIs" dxfId="196" priority="61" stopIfTrue="1" operator="lessThan">
      <formula>$D$165</formula>
    </cfRule>
    <cfRule type="cellIs" dxfId="195" priority="62" stopIfTrue="1" operator="between">
      <formula>$D$165</formula>
      <formula>$E$165</formula>
    </cfRule>
  </conditionalFormatting>
  <conditionalFormatting sqref="G30:H31">
    <cfRule type="cellIs" dxfId="194" priority="63" stopIfTrue="1" operator="equal">
      <formula>""</formula>
    </cfRule>
    <cfRule type="cellIs" dxfId="193" priority="64" stopIfTrue="1" operator="lessThan">
      <formula>$D$167</formula>
    </cfRule>
    <cfRule type="cellIs" dxfId="192" priority="65" stopIfTrue="1" operator="between">
      <formula>$D$167</formula>
      <formula>$E$167</formula>
    </cfRule>
  </conditionalFormatting>
  <conditionalFormatting sqref="D30:E30 C31:F31">
    <cfRule type="cellIs" dxfId="191" priority="66" stopIfTrue="1" operator="equal">
      <formula>"N/A"</formula>
    </cfRule>
    <cfRule type="cellIs" dxfId="190" priority="67" stopIfTrue="1" operator="lessThan">
      <formula>$D$167</formula>
    </cfRule>
    <cfRule type="cellIs" dxfId="189" priority="68" stopIfTrue="1" operator="between">
      <formula>$D$167</formula>
      <formula>$E$167</formula>
    </cfRule>
  </conditionalFormatting>
  <conditionalFormatting sqref="S14:V15 N14:Q15">
    <cfRule type="cellIs" dxfId="188" priority="17" stopIfTrue="1" operator="equal">
      <formula>"N/A"</formula>
    </cfRule>
    <cfRule type="cellIs" dxfId="187" priority="70" stopIfTrue="1" operator="lessThan">
      <formula>$D$164</formula>
    </cfRule>
    <cfRule type="cellIs" dxfId="186" priority="71" stopIfTrue="1" operator="between">
      <formula>$D$164</formula>
      <formula>$E$164</formula>
    </cfRule>
  </conditionalFormatting>
  <conditionalFormatting sqref="B12">
    <cfRule type="cellIs" dxfId="185" priority="72" stopIfTrue="1" operator="equal">
      <formula>"EXTENDED"</formula>
    </cfRule>
    <cfRule type="cellIs" dxfId="184" priority="73" stopIfTrue="1" operator="equal">
      <formula>"BASE"</formula>
    </cfRule>
    <cfRule type="cellIs" dxfId="183" priority="74" stopIfTrue="1" operator="notEqual">
      <formula>$D$123</formula>
    </cfRule>
  </conditionalFormatting>
  <conditionalFormatting sqref="C12">
    <cfRule type="cellIs" dxfId="182" priority="75" stopIfTrue="1" operator="equal">
      <formula>"EXTENDED"</formula>
    </cfRule>
    <cfRule type="cellIs" dxfId="181" priority="76" stopIfTrue="1" operator="equal">
      <formula>"BASE"</formula>
    </cfRule>
    <cfRule type="cellIs" dxfId="180" priority="77" stopIfTrue="1" operator="notEqual">
      <formula>$E$123</formula>
    </cfRule>
  </conditionalFormatting>
  <conditionalFormatting sqref="I12">
    <cfRule type="cellIs" dxfId="179" priority="80" stopIfTrue="1" operator="equal">
      <formula>"N/A"</formula>
    </cfRule>
    <cfRule type="cellIs" dxfId="178" priority="81" stopIfTrue="1" operator="equal">
      <formula>"GIG_ERR"</formula>
    </cfRule>
    <cfRule type="cellIs" dxfId="177" priority="82" stopIfTrue="1" operator="equal">
      <formula>"FAULT"</formula>
    </cfRule>
  </conditionalFormatting>
  <conditionalFormatting sqref="H12">
    <cfRule type="cellIs" dxfId="176" priority="85" stopIfTrue="1" operator="equal">
      <formula>"RESPOND"</formula>
    </cfRule>
    <cfRule type="cellIs" dxfId="175" priority="86" stopIfTrue="1" operator="equal">
      <formula>"RESPOND+XMIT"</formula>
    </cfRule>
  </conditionalFormatting>
  <conditionalFormatting sqref="G12">
    <cfRule type="cellIs" dxfId="174" priority="87" stopIfTrue="1" operator="equal">
      <formula>"YES"</formula>
    </cfRule>
  </conditionalFormatting>
  <conditionalFormatting sqref="E12:F12">
    <cfRule type="cellIs" dxfId="173" priority="88" stopIfTrue="1" operator="equal">
      <formula>"NO"</formula>
    </cfRule>
  </conditionalFormatting>
  <conditionalFormatting sqref="C79:F79">
    <cfRule type="cellIs" dxfId="172" priority="91" stopIfTrue="1" operator="equal">
      <formula>"N/A"</formula>
    </cfRule>
    <cfRule type="cellIs" dxfId="171" priority="92" stopIfTrue="1" operator="greaterThan">
      <formula>$D$194</formula>
    </cfRule>
    <cfRule type="cellIs" dxfId="170" priority="93" stopIfTrue="1" operator="between">
      <formula>$D$194</formula>
      <formula>$E$194</formula>
    </cfRule>
  </conditionalFormatting>
  <conditionalFormatting sqref="G79:H79">
    <cfRule type="cellIs" dxfId="169" priority="94" stopIfTrue="1" operator="equal">
      <formula>""</formula>
    </cfRule>
    <cfRule type="cellIs" dxfId="168" priority="95" stopIfTrue="1" operator="greaterThan">
      <formula>$D$194</formula>
    </cfRule>
    <cfRule type="cellIs" dxfId="167" priority="96" stopIfTrue="1" operator="between">
      <formula>$D$194</formula>
      <formula>$E$194</formula>
    </cfRule>
  </conditionalFormatting>
  <conditionalFormatting sqref="C80:F80">
    <cfRule type="cellIs" dxfId="166" priority="97" stopIfTrue="1" operator="equal">
      <formula>"N/A"</formula>
    </cfRule>
    <cfRule type="cellIs" dxfId="165" priority="98" stopIfTrue="1" operator="greaterThan">
      <formula>$D$195</formula>
    </cfRule>
    <cfRule type="cellIs" dxfId="164" priority="99" stopIfTrue="1" operator="between">
      <formula>$D$195</formula>
      <formula>$E$195</formula>
    </cfRule>
  </conditionalFormatting>
  <conditionalFormatting sqref="G80:H80">
    <cfRule type="cellIs" dxfId="163" priority="100" stopIfTrue="1" operator="equal">
      <formula>""</formula>
    </cfRule>
    <cfRule type="cellIs" dxfId="162" priority="101" stopIfTrue="1" operator="greaterThan">
      <formula>$D$195</formula>
    </cfRule>
    <cfRule type="cellIs" dxfId="161" priority="102" stopIfTrue="1" operator="between">
      <formula>$D$195</formula>
      <formula>$E$195</formula>
    </cfRule>
  </conditionalFormatting>
  <conditionalFormatting sqref="C82:H82">
    <cfRule type="cellIs" dxfId="160" priority="103" stopIfTrue="1" operator="equal">
      <formula>"N/A"</formula>
    </cfRule>
    <cfRule type="cellIs" dxfId="159" priority="104" stopIfTrue="1" operator="greaterThan">
      <formula>$D$196</formula>
    </cfRule>
    <cfRule type="cellIs" dxfId="158" priority="105" stopIfTrue="1" operator="between">
      <formula>$D$196</formula>
      <formula>$E$196</formula>
    </cfRule>
  </conditionalFormatting>
  <conditionalFormatting sqref="I82:J82">
    <cfRule type="cellIs" dxfId="157" priority="106" stopIfTrue="1" operator="equal">
      <formula>""</formula>
    </cfRule>
    <cfRule type="cellIs" dxfId="156" priority="107" stopIfTrue="1" operator="greaterThan">
      <formula>$D$196</formula>
    </cfRule>
    <cfRule type="cellIs" dxfId="155" priority="108" stopIfTrue="1" operator="between">
      <formula>$D$196</formula>
      <formula>$E$196</formula>
    </cfRule>
  </conditionalFormatting>
  <conditionalFormatting sqref="D24:E24">
    <cfRule type="cellIs" dxfId="154" priority="109" stopIfTrue="1" operator="equal">
      <formula>"N/A"</formula>
    </cfRule>
    <cfRule type="cellIs" dxfId="153" priority="110" stopIfTrue="1" operator="between">
      <formula>$E$165</formula>
      <formula>$H$165</formula>
    </cfRule>
    <cfRule type="cellIs" dxfId="152" priority="111" stopIfTrue="1" operator="between">
      <formula>$D$165</formula>
      <formula>$G$165</formula>
    </cfRule>
  </conditionalFormatting>
  <conditionalFormatting sqref="F36:G36 I36:J36">
    <cfRule type="cellIs" dxfId="151" priority="112" stopIfTrue="1" operator="equal">
      <formula>"N/A"</formula>
    </cfRule>
    <cfRule type="cellIs" dxfId="150" priority="113" stopIfTrue="1" operator="between">
      <formula>$E$169</formula>
      <formula>$H$169</formula>
    </cfRule>
    <cfRule type="cellIs" dxfId="149" priority="114" stopIfTrue="1" operator="between">
      <formula>$D$169</formula>
      <formula>$G$169</formula>
    </cfRule>
  </conditionalFormatting>
  <conditionalFormatting sqref="C25:F25">
    <cfRule type="cellIs" dxfId="148" priority="115" stopIfTrue="1" operator="equal">
      <formula>"N/A"</formula>
    </cfRule>
    <cfRule type="cellIs" dxfId="147" priority="116" stopIfTrue="1" operator="between">
      <formula>$E$166</formula>
      <formula>$H$166</formula>
    </cfRule>
    <cfRule type="cellIs" dxfId="146" priority="117" stopIfTrue="1" operator="between">
      <formula>$D$166</formula>
      <formula>$G$166</formula>
    </cfRule>
  </conditionalFormatting>
  <conditionalFormatting sqref="E41:J41">
    <cfRule type="cellIs" dxfId="145" priority="118" stopIfTrue="1" operator="equal">
      <formula>"N/A"</formula>
    </cfRule>
    <cfRule type="cellIs" dxfId="144" priority="119" stopIfTrue="1" operator="between">
      <formula>$E$175</formula>
      <formula>$H$175</formula>
    </cfRule>
    <cfRule type="cellIs" dxfId="143" priority="120" stopIfTrue="1" operator="between">
      <formula>$D$175</formula>
      <formula>$G$175</formula>
    </cfRule>
  </conditionalFormatting>
  <conditionalFormatting sqref="J94">
    <cfRule type="cellIs" dxfId="142" priority="122" stopIfTrue="1" operator="equal">
      <formula>"Packets"</formula>
    </cfRule>
    <cfRule type="cellIs" dxfId="141" priority="123" stopIfTrue="1" operator="equal">
      <formula>"Link_Chk"</formula>
    </cfRule>
  </conditionalFormatting>
  <conditionalFormatting sqref="U96 U99 U102">
    <cfRule type="cellIs" dxfId="140" priority="125" stopIfTrue="1" operator="equal">
      <formula>-1</formula>
    </cfRule>
    <cfRule type="cellIs" dxfId="139" priority="126" stopIfTrue="1" operator="equal">
      <formula>1</formula>
    </cfRule>
    <cfRule type="cellIs" dxfId="138" priority="127" stopIfTrue="1" operator="equal">
      <formula>0</formula>
    </cfRule>
  </conditionalFormatting>
  <conditionalFormatting sqref="V96 V99 V102">
    <cfRule type="cellIs" dxfId="137" priority="128" stopIfTrue="1" operator="equal">
      <formula>-1</formula>
    </cfRule>
    <cfRule type="cellIs" dxfId="136" priority="129" stopIfTrue="1" operator="equal">
      <formula>1</formula>
    </cfRule>
    <cfRule type="cellIs" dxfId="135" priority="130" stopIfTrue="1" operator="equal">
      <formula>0</formula>
    </cfRule>
  </conditionalFormatting>
  <conditionalFormatting sqref="T96 T99 T102">
    <cfRule type="cellIs" dxfId="134" priority="131" stopIfTrue="1" operator="equal">
      <formula>-1</formula>
    </cfRule>
    <cfRule type="cellIs" dxfId="133" priority="132" stopIfTrue="1" operator="equal">
      <formula>1</formula>
    </cfRule>
    <cfRule type="cellIs" dxfId="132" priority="133" stopIfTrue="1" operator="equal">
      <formula>0</formula>
    </cfRule>
  </conditionalFormatting>
  <conditionalFormatting sqref="J95:J105 J108:J118">
    <cfRule type="cellIs" dxfId="131" priority="134" stopIfTrue="1" operator="equal">
      <formula>"N/A"</formula>
    </cfRule>
    <cfRule type="cellIs" dxfId="130" priority="135" stopIfTrue="1" operator="lessThanOrEqual">
      <formula>$G$201</formula>
    </cfRule>
    <cfRule type="cellIs" dxfId="129" priority="136" stopIfTrue="1" operator="between">
      <formula>$D$201</formula>
      <formula>$E$201</formula>
    </cfRule>
  </conditionalFormatting>
  <conditionalFormatting sqref="E95:E105 E108:E118">
    <cfRule type="cellIs" dxfId="128" priority="137" stopIfTrue="1" operator="equal">
      <formula>"N/A"</formula>
    </cfRule>
    <cfRule type="cellIs" dxfId="127" priority="138" stopIfTrue="1" operator="lessThanOrEqual">
      <formula>$G$198</formula>
    </cfRule>
    <cfRule type="cellIs" dxfId="126" priority="139" stopIfTrue="1" operator="between">
      <formula>$D$198</formula>
      <formula>$E$198</formula>
    </cfRule>
  </conditionalFormatting>
  <conditionalFormatting sqref="P95:P105 P108:P118">
    <cfRule type="cellIs" dxfId="125" priority="140" stopIfTrue="1" operator="equal">
      <formula>"N/A"</formula>
    </cfRule>
    <cfRule type="cellIs" dxfId="124" priority="141" stopIfTrue="1" operator="lessThanOrEqual">
      <formula>$G$204</formula>
    </cfRule>
    <cfRule type="cellIs" dxfId="123" priority="142" stopIfTrue="1" operator="between">
      <formula>$D$204</formula>
      <formula>$E$204</formula>
    </cfRule>
  </conditionalFormatting>
  <conditionalFormatting sqref="V108:V109">
    <cfRule type="cellIs" dxfId="122" priority="143" stopIfTrue="1" operator="equal">
      <formula>"N/A"</formula>
    </cfRule>
    <cfRule type="cellIs" dxfId="121" priority="144" stopIfTrue="1" operator="between">
      <formula>22.5</formula>
      <formula>24</formula>
    </cfRule>
    <cfRule type="cellIs" dxfId="120" priority="145" stopIfTrue="1" operator="lessThan">
      <formula>22.5</formula>
    </cfRule>
  </conditionalFormatting>
  <conditionalFormatting sqref="V110:V111">
    <cfRule type="cellIs" dxfId="119" priority="146" stopIfTrue="1" operator="equal">
      <formula>"N/A"</formula>
    </cfRule>
    <cfRule type="cellIs" dxfId="118" priority="147" stopIfTrue="1" operator="between">
      <formula>21.5</formula>
      <formula>23</formula>
    </cfRule>
    <cfRule type="cellIs" dxfId="117" priority="148" stopIfTrue="1" operator="lessThan">
      <formula>21.5</formula>
    </cfRule>
  </conditionalFormatting>
  <conditionalFormatting sqref="F37:G37 I37:J37">
    <cfRule type="cellIs" dxfId="116" priority="149" stopIfTrue="1" operator="equal">
      <formula>"N/A"</formula>
    </cfRule>
    <cfRule type="cellIs" dxfId="115" priority="150" stopIfTrue="1" operator="between">
      <formula>$E$170</formula>
      <formula>$H$170</formula>
    </cfRule>
    <cfRule type="cellIs" dxfId="114" priority="151" stopIfTrue="1" operator="between">
      <formula>$D$170</formula>
      <formula>$G$170</formula>
    </cfRule>
  </conditionalFormatting>
  <conditionalFormatting sqref="F38:G38 I38:J38">
    <cfRule type="cellIs" dxfId="113" priority="152" stopIfTrue="1" operator="equal">
      <formula>"N/A"</formula>
    </cfRule>
    <cfRule type="cellIs" dxfId="112" priority="153" stopIfTrue="1" operator="between">
      <formula>$E$171</formula>
      <formula>$H$171</formula>
    </cfRule>
    <cfRule type="cellIs" dxfId="111" priority="154" stopIfTrue="1" operator="between">
      <formula>$D$171</formula>
      <formula>$G$171</formula>
    </cfRule>
  </conditionalFormatting>
  <conditionalFormatting sqref="F39:G39 I39:J39">
    <cfRule type="cellIs" dxfId="110" priority="155" stopIfTrue="1" operator="equal">
      <formula>"N/A"</formula>
    </cfRule>
    <cfRule type="cellIs" dxfId="109" priority="156" stopIfTrue="1" operator="between">
      <formula>$E$172</formula>
      <formula>$H$172</formula>
    </cfRule>
    <cfRule type="cellIs" dxfId="108" priority="157" stopIfTrue="1" operator="between">
      <formula>$D$172</formula>
      <formula>$G$172</formula>
    </cfRule>
  </conditionalFormatting>
  <conditionalFormatting sqref="F40:G40 I40:J40">
    <cfRule type="cellIs" dxfId="107" priority="158" stopIfTrue="1" operator="equal">
      <formula>"N/A"</formula>
    </cfRule>
    <cfRule type="cellIs" dxfId="106" priority="159" stopIfTrue="1" operator="between">
      <formula>$E$173</formula>
      <formula>$H$173</formula>
    </cfRule>
    <cfRule type="cellIs" dxfId="105" priority="160" stopIfTrue="1" operator="between">
      <formula>$D$173</formula>
      <formula>$G$173</formula>
    </cfRule>
  </conditionalFormatting>
  <conditionalFormatting sqref="E42:J42">
    <cfRule type="cellIs" dxfId="104" priority="161" stopIfTrue="1" operator="equal">
      <formula>"N/A"</formula>
    </cfRule>
    <cfRule type="cellIs" dxfId="103" priority="162" stopIfTrue="1" operator="between">
      <formula>$E$176</formula>
      <formula>$H$176</formula>
    </cfRule>
    <cfRule type="cellIs" dxfId="102" priority="163" stopIfTrue="1" operator="between">
      <formula>$D$176</formula>
      <formula>$G$176</formula>
    </cfRule>
  </conditionalFormatting>
  <conditionalFormatting sqref="E43:J43">
    <cfRule type="cellIs" dxfId="101" priority="164" stopIfTrue="1" operator="equal">
      <formula>"N/A"</formula>
    </cfRule>
    <cfRule type="cellIs" dxfId="100" priority="165" stopIfTrue="1" operator="between">
      <formula>$E$177</formula>
      <formula>$H$177</formula>
    </cfRule>
    <cfRule type="cellIs" dxfId="99" priority="166" stopIfTrue="1" operator="between">
      <formula>$D$177</formula>
      <formula>$G$177</formula>
    </cfRule>
  </conditionalFormatting>
  <conditionalFormatting sqref="E44:J44">
    <cfRule type="cellIs" dxfId="98" priority="167" stopIfTrue="1" operator="equal">
      <formula>"N/A"</formula>
    </cfRule>
    <cfRule type="cellIs" dxfId="97" priority="168" stopIfTrue="1" operator="between">
      <formula>$E$178</formula>
      <formula>$H$178</formula>
    </cfRule>
    <cfRule type="cellIs" dxfId="96" priority="169" stopIfTrue="1" operator="between">
      <formula>$D$178</formula>
      <formula>$G$178</formula>
    </cfRule>
  </conditionalFormatting>
  <conditionalFormatting sqref="E45:J45">
    <cfRule type="cellIs" dxfId="95" priority="170" stopIfTrue="1" operator="equal">
      <formula>"N/A"</formula>
    </cfRule>
    <cfRule type="cellIs" dxfId="94" priority="171" stopIfTrue="1" operator="between">
      <formula>$E$179</formula>
      <formula>$H$179</formula>
    </cfRule>
    <cfRule type="cellIs" dxfId="93" priority="172" stopIfTrue="1" operator="between">
      <formula>$D$179</formula>
      <formula>$G$179</formula>
    </cfRule>
  </conditionalFormatting>
  <conditionalFormatting sqref="F57:G57 I57:J57">
    <cfRule type="cellIs" dxfId="92" priority="173" stopIfTrue="1" operator="equal">
      <formula>"N/A"</formula>
    </cfRule>
    <cfRule type="cellIs" dxfId="91" priority="174" stopIfTrue="1" operator="between">
      <formula>$E$181</formula>
      <formula>$H$181</formula>
    </cfRule>
    <cfRule type="cellIs" dxfId="90" priority="175" stopIfTrue="1" operator="between">
      <formula>$D$181</formula>
      <formula>$G$181</formula>
    </cfRule>
  </conditionalFormatting>
  <conditionalFormatting sqref="F58:G58 I58:J58">
    <cfRule type="cellIs" dxfId="89" priority="176" stopIfTrue="1" operator="equal">
      <formula>"N/A"</formula>
    </cfRule>
    <cfRule type="cellIs" dxfId="88" priority="177" stopIfTrue="1" operator="between">
      <formula>$E$182</formula>
      <formula>$H$182</formula>
    </cfRule>
    <cfRule type="cellIs" dxfId="87" priority="178" stopIfTrue="1" operator="between">
      <formula>$D$182</formula>
      <formula>$G$182</formula>
    </cfRule>
  </conditionalFormatting>
  <conditionalFormatting sqref="F59:G59 I59:J59">
    <cfRule type="cellIs" dxfId="86" priority="179" stopIfTrue="1" operator="equal">
      <formula>"N/A"</formula>
    </cfRule>
    <cfRule type="cellIs" dxfId="85" priority="180" stopIfTrue="1" operator="between">
      <formula>$E$183</formula>
      <formula>$H$183</formula>
    </cfRule>
    <cfRule type="cellIs" dxfId="84" priority="181" stopIfTrue="1" operator="between">
      <formula>$D$183</formula>
      <formula>$G$183</formula>
    </cfRule>
  </conditionalFormatting>
  <conditionalFormatting sqref="F60:G60 I60:J60">
    <cfRule type="cellIs" dxfId="83" priority="182" stopIfTrue="1" operator="equal">
      <formula>"N/A"</formula>
    </cfRule>
    <cfRule type="cellIs" dxfId="82" priority="183" stopIfTrue="1" operator="between">
      <formula>$E$184</formula>
      <formula>$H$184</formula>
    </cfRule>
    <cfRule type="cellIs" dxfId="81" priority="184" stopIfTrue="1" operator="between">
      <formula>$D$184</formula>
      <formula>$G$184</formula>
    </cfRule>
  </conditionalFormatting>
  <conditionalFormatting sqref="F61:G61 I61:J61">
    <cfRule type="cellIs" dxfId="80" priority="185" stopIfTrue="1" operator="equal">
      <formula>"N/A"</formula>
    </cfRule>
    <cfRule type="cellIs" dxfId="79" priority="186" stopIfTrue="1" operator="between">
      <formula>$E$185</formula>
      <formula>$H$185</formula>
    </cfRule>
    <cfRule type="cellIs" dxfId="78" priority="187" stopIfTrue="1" operator="between">
      <formula>$D$185</formula>
      <formula>$G$185</formula>
    </cfRule>
  </conditionalFormatting>
  <conditionalFormatting sqref="F62:G62 I62:J62">
    <cfRule type="cellIs" dxfId="77" priority="188" stopIfTrue="1" operator="equal">
      <formula>"N/A"</formula>
    </cfRule>
    <cfRule type="cellIs" dxfId="76" priority="189" stopIfTrue="1" operator="between">
      <formula>$E$186</formula>
      <formula>$H$186</formula>
    </cfRule>
    <cfRule type="cellIs" dxfId="75" priority="190" stopIfTrue="1" operator="between">
      <formula>$D$186</formula>
      <formula>$G$186</formula>
    </cfRule>
  </conditionalFormatting>
  <conditionalFormatting sqref="E63:J63">
    <cfRule type="cellIs" dxfId="74" priority="191" stopIfTrue="1" operator="equal">
      <formula>"N/A"</formula>
    </cfRule>
    <cfRule type="cellIs" dxfId="73" priority="192" stopIfTrue="1" operator="between">
      <formula>$E$188</formula>
      <formula>$H$188</formula>
    </cfRule>
    <cfRule type="cellIs" dxfId="72" priority="193" stopIfTrue="1" operator="between">
      <formula>$D$188</formula>
      <formula>$G$188</formula>
    </cfRule>
  </conditionalFormatting>
  <conditionalFormatting sqref="E64:J64">
    <cfRule type="cellIs" dxfId="71" priority="194" stopIfTrue="1" operator="equal">
      <formula>"N/A"</formula>
    </cfRule>
    <cfRule type="cellIs" dxfId="70" priority="195" stopIfTrue="1" operator="between">
      <formula>$E$189</formula>
      <formula>$H$189</formula>
    </cfRule>
    <cfRule type="cellIs" dxfId="69" priority="196" stopIfTrue="1" operator="between">
      <formula>$D$189</formula>
      <formula>$G$189</formula>
    </cfRule>
  </conditionalFormatting>
  <conditionalFormatting sqref="E65:J65">
    <cfRule type="cellIs" dxfId="68" priority="197" stopIfTrue="1" operator="equal">
      <formula>"N/A"</formula>
    </cfRule>
    <cfRule type="cellIs" dxfId="67" priority="198" stopIfTrue="1" operator="between">
      <formula>$E$190</formula>
      <formula>$H$190</formula>
    </cfRule>
    <cfRule type="cellIs" dxfId="66" priority="199" stopIfTrue="1" operator="between">
      <formula>$D$190</formula>
      <formula>$G$190</formula>
    </cfRule>
  </conditionalFormatting>
  <conditionalFormatting sqref="E66:J66">
    <cfRule type="cellIs" dxfId="65" priority="200" stopIfTrue="1" operator="equal">
      <formula>"N/A"</formula>
    </cfRule>
    <cfRule type="cellIs" dxfId="64" priority="201" stopIfTrue="1" operator="between">
      <formula>$E$191</formula>
      <formula>$H$191</formula>
    </cfRule>
    <cfRule type="cellIs" dxfId="63" priority="202" stopIfTrue="1" operator="between">
      <formula>$D$191</formula>
      <formula>$G$191</formula>
    </cfRule>
  </conditionalFormatting>
  <conditionalFormatting sqref="E67:J67">
    <cfRule type="cellIs" dxfId="62" priority="203" stopIfTrue="1" operator="equal">
      <formula>"N/A"</formula>
    </cfRule>
    <cfRule type="cellIs" dxfId="61" priority="204" stopIfTrue="1" operator="between">
      <formula>$E$192</formula>
      <formula>$H$192</formula>
    </cfRule>
    <cfRule type="cellIs" dxfId="60" priority="205" stopIfTrue="1" operator="between">
      <formula>$D$192</formula>
      <formula>$G$192</formula>
    </cfRule>
  </conditionalFormatting>
  <conditionalFormatting sqref="E68:J68">
    <cfRule type="cellIs" dxfId="59" priority="206" stopIfTrue="1" operator="equal">
      <formula>"N/A"</formula>
    </cfRule>
    <cfRule type="cellIs" dxfId="58" priority="207" stopIfTrue="1" operator="between">
      <formula>$E$193</formula>
      <formula>$H$193</formula>
    </cfRule>
    <cfRule type="cellIs" dxfId="57" priority="208" stopIfTrue="1" operator="between">
      <formula>$D$193</formula>
      <formula>$G$193</formula>
    </cfRule>
  </conditionalFormatting>
  <conditionalFormatting sqref="E51:H51">
    <cfRule type="cellIs" dxfId="56" priority="209" stopIfTrue="1" operator="equal">
      <formula>"N/A"</formula>
    </cfRule>
    <cfRule type="cellIs" dxfId="55" priority="210" stopIfTrue="1" operator="between">
      <formula>Vpp_1000_lo</formula>
      <formula>Vpp_1000_hi</formula>
    </cfRule>
    <cfRule type="cellIs" dxfId="54" priority="211" stopIfTrue="1" operator="between">
      <formula>Vpp_1000_min</formula>
      <formula>Vpp_1000_max</formula>
    </cfRule>
  </conditionalFormatting>
  <conditionalFormatting sqref="F49:G49">
    <cfRule type="cellIs" dxfId="53" priority="212" stopIfTrue="1" operator="equal">
      <formula>"N/A"</formula>
    </cfRule>
    <cfRule type="cellIs" dxfId="52" priority="213" stopIfTrue="1" operator="between">
      <formula>Vpp_100_lo</formula>
      <formula>Vpp_100_hi</formula>
    </cfRule>
    <cfRule type="cellIs" dxfId="51" priority="214" stopIfTrue="1" operator="between">
      <formula>Vpp_100_min</formula>
      <formula>Vpp_100_max</formula>
    </cfRule>
  </conditionalFormatting>
  <conditionalFormatting sqref="F72:G72">
    <cfRule type="cellIs" dxfId="50" priority="215" stopIfTrue="1" operator="equal">
      <formula>"N/A"</formula>
    </cfRule>
    <cfRule type="cellIs" dxfId="49" priority="216" stopIfTrue="1" operator="between">
      <formula>Mask_100_lo</formula>
      <formula>Mask_100_hi</formula>
    </cfRule>
    <cfRule type="cellIs" dxfId="48" priority="217" stopIfTrue="1" operator="between">
      <formula>Mask_100_min</formula>
      <formula>Mask_100_max</formula>
    </cfRule>
  </conditionalFormatting>
  <conditionalFormatting sqref="E73:H73">
    <cfRule type="cellIs" dxfId="47" priority="218" stopIfTrue="1" operator="equal">
      <formula>"N/A"</formula>
    </cfRule>
    <cfRule type="cellIs" dxfId="46" priority="219" stopIfTrue="1" operator="equal">
      <formula>"Marginal"</formula>
    </cfRule>
    <cfRule type="cellIs" dxfId="45" priority="220" stopIfTrue="1" operator="equal">
      <formula>"Fit_OK"</formula>
    </cfRule>
  </conditionalFormatting>
  <conditionalFormatting sqref="E52:H52">
    <cfRule type="cellIs" dxfId="44" priority="221" stopIfTrue="1" operator="equal">
      <formula>"N/A"</formula>
    </cfRule>
    <cfRule type="cellIs" dxfId="43" priority="222" stopIfTrue="1" operator="greaterThan">
      <formula>Droop_1000_Yel_Min</formula>
    </cfRule>
    <cfRule type="cellIs" dxfId="42" priority="223" stopIfTrue="1" operator="greaterThan">
      <formula>Droop_1000_Red_Min</formula>
    </cfRule>
  </conditionalFormatting>
  <conditionalFormatting sqref="F50:G50">
    <cfRule type="cellIs" dxfId="41" priority="224" stopIfTrue="1" operator="equal">
      <formula>"N/A"</formula>
    </cfRule>
    <cfRule type="cellIs" dxfId="40" priority="225" stopIfTrue="1" operator="greaterThan">
      <formula>Droop_100_Yel_Min</formula>
    </cfRule>
    <cfRule type="cellIs" dxfId="39" priority="226" stopIfTrue="1" operator="greaterThan">
      <formula>Droop_100_Red_Min</formula>
    </cfRule>
  </conditionalFormatting>
  <conditionalFormatting sqref="Q3:U3">
    <cfRule type="cellIs" dxfId="38" priority="57" stopIfTrue="1" operator="equal">
      <formula>"None"</formula>
    </cfRule>
  </conditionalFormatting>
  <conditionalFormatting sqref="S116">
    <cfRule type="expression" dxfId="37" priority="56" stopIfTrue="1">
      <formula>$J$94="Link_Chk"</formula>
    </cfRule>
  </conditionalFormatting>
  <conditionalFormatting sqref="S113:S114">
    <cfRule type="expression" dxfId="36" priority="55" stopIfTrue="1">
      <formula>$J$94="Link_Chk"</formula>
    </cfRule>
  </conditionalFormatting>
  <conditionalFormatting sqref="S115">
    <cfRule type="expression" dxfId="35" priority="54" stopIfTrue="1">
      <formula>$J$94="Link_Chk"</formula>
    </cfRule>
  </conditionalFormatting>
  <conditionalFormatting sqref="S104:S105">
    <cfRule type="expression" dxfId="34" priority="53" stopIfTrue="1">
      <formula>$J$94="Link_Chk"</formula>
    </cfRule>
  </conditionalFormatting>
  <conditionalFormatting sqref="U95">
    <cfRule type="cellIs" dxfId="33" priority="52" stopIfTrue="1" operator="equal">
      <formula>"Good*"</formula>
    </cfRule>
  </conditionalFormatting>
  <conditionalFormatting sqref="U98">
    <cfRule type="cellIs" dxfId="32" priority="50" stopIfTrue="1" operator="equal">
      <formula>"Good*"</formula>
    </cfRule>
  </conditionalFormatting>
  <conditionalFormatting sqref="E15">
    <cfRule type="cellIs" dxfId="31" priority="42" stopIfTrue="1" operator="equal">
      <formula>"N/A"</formula>
    </cfRule>
    <cfRule type="cellIs" dxfId="30" priority="43" stopIfTrue="1" operator="notEqual">
      <formula>"AUTO"</formula>
    </cfRule>
  </conditionalFormatting>
  <conditionalFormatting sqref="D15">
    <cfRule type="cellIs" dxfId="29" priority="40" stopIfTrue="1" operator="equal">
      <formula>"N/A"</formula>
    </cfRule>
    <cfRule type="cellIs" dxfId="28" priority="41" stopIfTrue="1" operator="equal">
      <formula>"NO"</formula>
    </cfRule>
  </conditionalFormatting>
  <conditionalFormatting sqref="D12">
    <cfRule type="cellIs" dxfId="27" priority="39" stopIfTrue="1" operator="equal">
      <formula>"NO"</formula>
    </cfRule>
  </conditionalFormatting>
  <conditionalFormatting sqref="F15:H15">
    <cfRule type="cellIs" dxfId="26" priority="2" stopIfTrue="1" operator="equal">
      <formula>"FAULT"</formula>
    </cfRule>
    <cfRule type="cellIs" dxfId="25" priority="400" operator="equal">
      <formula>"N/A"</formula>
    </cfRule>
  </conditionalFormatting>
  <conditionalFormatting sqref="K12">
    <cfRule type="cellIs" dxfId="24" priority="36" stopIfTrue="1" operator="notEqual">
      <formula>"LINKED"</formula>
    </cfRule>
  </conditionalFormatting>
  <conditionalFormatting sqref="E94">
    <cfRule type="cellIs" dxfId="23" priority="28" stopIfTrue="1" operator="equal">
      <formula>"Packets"</formula>
    </cfRule>
    <cfRule type="cellIs" dxfId="22" priority="29" stopIfTrue="1" operator="equal">
      <formula>"Link_Chk"</formula>
    </cfRule>
  </conditionalFormatting>
  <conditionalFormatting sqref="E107">
    <cfRule type="cellIs" dxfId="21" priority="26" stopIfTrue="1" operator="equal">
      <formula>"Packets"</formula>
    </cfRule>
    <cfRule type="cellIs" dxfId="20" priority="27" stopIfTrue="1" operator="equal">
      <formula>"Link_Chk"</formula>
    </cfRule>
  </conditionalFormatting>
  <conditionalFormatting sqref="J107">
    <cfRule type="cellIs" dxfId="19" priority="24" stopIfTrue="1" operator="equal">
      <formula>"Packets"</formula>
    </cfRule>
    <cfRule type="cellIs" dxfId="18" priority="25" stopIfTrue="1" operator="equal">
      <formula>"Link_Chk"</formula>
    </cfRule>
  </conditionalFormatting>
  <conditionalFormatting sqref="P94">
    <cfRule type="cellIs" dxfId="17" priority="22" stopIfTrue="1" operator="equal">
      <formula>"Packets"</formula>
    </cfRule>
    <cfRule type="cellIs" dxfId="16" priority="23" stopIfTrue="1" operator="equal">
      <formula>"Link_Chk"</formula>
    </cfRule>
  </conditionalFormatting>
  <conditionalFormatting sqref="P107">
    <cfRule type="cellIs" dxfId="15" priority="20" stopIfTrue="1" operator="equal">
      <formula>"Packets"</formula>
    </cfRule>
    <cfRule type="cellIs" dxfId="14" priority="21" stopIfTrue="1" operator="equal">
      <formula>"Link_Chk"</formula>
    </cfRule>
  </conditionalFormatting>
  <conditionalFormatting sqref="K15">
    <cfRule type="cellIs" dxfId="13" priority="11" stopIfTrue="1" operator="equal">
      <formula>"UNSTABLE"</formula>
    </cfRule>
    <cfRule type="cellIs" dxfId="12" priority="19" operator="equal">
      <formula>"UNKNOWN"</formula>
    </cfRule>
    <cfRule type="cellIs" dxfId="11" priority="18" stopIfTrue="1" operator="equal">
      <formula>"BAD_RELINK"</formula>
    </cfRule>
  </conditionalFormatting>
  <conditionalFormatting sqref="K15">
    <cfRule type="cellIs" dxfId="10" priority="1" stopIfTrue="1" operator="equal">
      <formula>"N/A"</formula>
    </cfRule>
  </conditionalFormatting>
  <conditionalFormatting sqref="N16:O16">
    <cfRule type="cellIs" dxfId="9" priority="9" stopIfTrue="1" operator="equal">
      <formula>"N/A"</formula>
    </cfRule>
    <cfRule type="cellIs" dxfId="8" priority="10" stopIfTrue="1" operator="greaterThan">
      <formula>3</formula>
    </cfRule>
  </conditionalFormatting>
  <conditionalFormatting sqref="P16">
    <cfRule type="cellIs" dxfId="7" priority="7" stopIfTrue="1" operator="equal">
      <formula>"N/A"</formula>
    </cfRule>
    <cfRule type="cellIs" dxfId="6" priority="8" stopIfTrue="1" operator="greaterThan">
      <formula>5</formula>
    </cfRule>
  </conditionalFormatting>
  <conditionalFormatting sqref="Q16">
    <cfRule type="cellIs" dxfId="5" priority="5" stopIfTrue="1" operator="equal">
      <formula>"N/A"</formula>
    </cfRule>
    <cfRule type="cellIs" dxfId="4" priority="6" stopIfTrue="1" operator="greaterThan">
      <formula>5</formula>
    </cfRule>
  </conditionalFormatting>
  <conditionalFormatting sqref="I15">
    <cfRule type="cellIs" dxfId="3" priority="4" stopIfTrue="1" operator="greaterThan">
      <formula>2</formula>
    </cfRule>
  </conditionalFormatting>
  <conditionalFormatting sqref="I15">
    <cfRule type="cellIs" dxfId="2" priority="3" stopIfTrue="1" operator="equal">
      <formula>"N/A"</formula>
    </cfRule>
  </conditionalFormatting>
  <pageMargins left="0.5" right="0.5" top="0.5" bottom="0.25" header="0.5" footer="0.25"/>
  <pageSetup scale="4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Button 3">
              <controlPr defaultSize="0" print="0" autoFill="0" autoPict="0" macro="[0]!NotesTxLev">
                <anchor moveWithCells="1" sizeWithCells="1">
                  <from>
                    <xdr:col>0</xdr:col>
                    <xdr:colOff>76200</xdr:colOff>
                    <xdr:row>22</xdr:row>
                    <xdr:rowOff>19050</xdr:rowOff>
                  </from>
                  <to>
                    <xdr:col>0</xdr:col>
                    <xdr:colOff>276225</xdr:colOff>
                    <xdr:row>25</xdr:row>
                    <xdr:rowOff>57150</xdr:rowOff>
                  </to>
                </anchor>
              </controlPr>
            </control>
          </mc:Choice>
        </mc:AlternateContent>
        <mc:AlternateContent xmlns:mc="http://schemas.openxmlformats.org/markup-compatibility/2006">
          <mc:Choice Requires="x14">
            <control shapeId="1028" r:id="rId5" name="Button 4">
              <controlPr defaultSize="0" print="0" autoFill="0" autoPict="0" macro="[0]!NotesSNR">
                <anchor moveWithCells="1" sizeWithCells="1">
                  <from>
                    <xdr:col>0</xdr:col>
                    <xdr:colOff>85725</xdr:colOff>
                    <xdr:row>28</xdr:row>
                    <xdr:rowOff>38100</xdr:rowOff>
                  </from>
                  <to>
                    <xdr:col>0</xdr:col>
                    <xdr:colOff>295275</xdr:colOff>
                    <xdr:row>31</xdr:row>
                    <xdr:rowOff>76200</xdr:rowOff>
                  </to>
                </anchor>
              </controlPr>
            </control>
          </mc:Choice>
        </mc:AlternateContent>
        <mc:AlternateContent xmlns:mc="http://schemas.openxmlformats.org/markup-compatibility/2006">
          <mc:Choice Requires="x14">
            <control shapeId="1029" r:id="rId6" name="Button 5">
              <controlPr defaultSize="0" print="0" autoFill="0" autoPict="0" macro="[0]!NotesPSD">
                <anchor moveWithCells="1" sizeWithCells="1">
                  <from>
                    <xdr:col>0</xdr:col>
                    <xdr:colOff>85725</xdr:colOff>
                    <xdr:row>34</xdr:row>
                    <xdr:rowOff>57150</xdr:rowOff>
                  </from>
                  <to>
                    <xdr:col>0</xdr:col>
                    <xdr:colOff>295275</xdr:colOff>
                    <xdr:row>37</xdr:row>
                    <xdr:rowOff>95250</xdr:rowOff>
                  </to>
                </anchor>
              </controlPr>
            </control>
          </mc:Choice>
        </mc:AlternateContent>
        <mc:AlternateContent xmlns:mc="http://schemas.openxmlformats.org/markup-compatibility/2006">
          <mc:Choice Requires="x14">
            <control shapeId="1030" r:id="rId7" name="Button 6">
              <controlPr defaultSize="0" print="0" autoFill="0" autoPict="0" macro="[0]!NotesPSD">
                <anchor moveWithCells="1" sizeWithCells="1">
                  <from>
                    <xdr:col>0</xdr:col>
                    <xdr:colOff>85725</xdr:colOff>
                    <xdr:row>55</xdr:row>
                    <xdr:rowOff>114300</xdr:rowOff>
                  </from>
                  <to>
                    <xdr:col>0</xdr:col>
                    <xdr:colOff>295275</xdr:colOff>
                    <xdr:row>58</xdr:row>
                    <xdr:rowOff>152400</xdr:rowOff>
                  </to>
                </anchor>
              </controlPr>
            </control>
          </mc:Choice>
        </mc:AlternateContent>
        <mc:AlternateContent xmlns:mc="http://schemas.openxmlformats.org/markup-compatibility/2006">
          <mc:Choice Requires="x14">
            <control shapeId="1031" r:id="rId8" name="Button 7">
              <controlPr defaultSize="0" print="0" autoFill="0" autoPict="0" macro="[0]!NotesEstLow">
                <anchor moveWithCells="1" sizeWithCells="1">
                  <from>
                    <xdr:col>0</xdr:col>
                    <xdr:colOff>85725</xdr:colOff>
                    <xdr:row>47</xdr:row>
                    <xdr:rowOff>104775</xdr:rowOff>
                  </from>
                  <to>
                    <xdr:col>0</xdr:col>
                    <xdr:colOff>295275</xdr:colOff>
                    <xdr:row>50</xdr:row>
                    <xdr:rowOff>152400</xdr:rowOff>
                  </to>
                </anchor>
              </controlPr>
            </control>
          </mc:Choice>
        </mc:AlternateContent>
        <mc:AlternateContent xmlns:mc="http://schemas.openxmlformats.org/markup-compatibility/2006">
          <mc:Choice Requires="x14">
            <control shapeId="1032" r:id="rId9" name="Button 8">
              <controlPr defaultSize="0" print="0" autoFill="0" autoPict="0" macro="[0]!NotesEstWide">
                <anchor moveWithCells="1" sizeWithCells="1">
                  <from>
                    <xdr:col>0</xdr:col>
                    <xdr:colOff>85725</xdr:colOff>
                    <xdr:row>71</xdr:row>
                    <xdr:rowOff>0</xdr:rowOff>
                  </from>
                  <to>
                    <xdr:col>0</xdr:col>
                    <xdr:colOff>295275</xdr:colOff>
                    <xdr:row>74</xdr:row>
                    <xdr:rowOff>47625</xdr:rowOff>
                  </to>
                </anchor>
              </controlPr>
            </control>
          </mc:Choice>
        </mc:AlternateContent>
        <mc:AlternateContent xmlns:mc="http://schemas.openxmlformats.org/markup-compatibility/2006">
          <mc:Choice Requires="x14">
            <control shapeId="1033" r:id="rId10" name="Button 9">
              <controlPr defaultSize="0" print="0" autoFill="0" autoPict="0" macro="[0]!NotesRtnLoss">
                <anchor moveWithCells="1" sizeWithCells="1">
                  <from>
                    <xdr:col>0</xdr:col>
                    <xdr:colOff>85725</xdr:colOff>
                    <xdr:row>80</xdr:row>
                    <xdr:rowOff>9525</xdr:rowOff>
                  </from>
                  <to>
                    <xdr:col>0</xdr:col>
                    <xdr:colOff>295275</xdr:colOff>
                    <xdr:row>84</xdr:row>
                    <xdr:rowOff>0</xdr:rowOff>
                  </to>
                </anchor>
              </controlPr>
            </control>
          </mc:Choice>
        </mc:AlternateContent>
        <mc:AlternateContent xmlns:mc="http://schemas.openxmlformats.org/markup-compatibility/2006">
          <mc:Choice Requires="x14">
            <control shapeId="1035" r:id="rId11" name="Button 11">
              <controlPr defaultSize="0" print="0" autoFill="0" autoPict="0" macro="[0]!NotesRxImpair">
                <anchor moveWithCells="1" sizeWithCells="1">
                  <from>
                    <xdr:col>0</xdr:col>
                    <xdr:colOff>85725</xdr:colOff>
                    <xdr:row>90</xdr:row>
                    <xdr:rowOff>219075</xdr:rowOff>
                  </from>
                  <to>
                    <xdr:col>0</xdr:col>
                    <xdr:colOff>295275</xdr:colOff>
                    <xdr:row>94</xdr:row>
                    <xdr:rowOff>142875</xdr:rowOff>
                  </to>
                </anchor>
              </controlPr>
            </control>
          </mc:Choice>
        </mc:AlternateContent>
        <mc:AlternateContent xmlns:mc="http://schemas.openxmlformats.org/markup-compatibility/2006">
          <mc:Choice Requires="x14">
            <control shapeId="1036" r:id="rId12" name="Button 12">
              <controlPr defaultSize="0" print="0" autoFill="0" autoPict="0" macro="[0]!NotesRxSNR">
                <anchor moveWithCells="1" sizeWithCells="1">
                  <from>
                    <xdr:col>17</xdr:col>
                    <xdr:colOff>47625</xdr:colOff>
                    <xdr:row>107</xdr:row>
                    <xdr:rowOff>123825</xdr:rowOff>
                  </from>
                  <to>
                    <xdr:col>18</xdr:col>
                    <xdr:colOff>0</xdr:colOff>
                    <xdr:row>111</xdr:row>
                    <xdr:rowOff>0</xdr:rowOff>
                  </to>
                </anchor>
              </controlPr>
            </control>
          </mc:Choice>
        </mc:AlternateContent>
        <mc:AlternateContent xmlns:mc="http://schemas.openxmlformats.org/markup-compatibility/2006">
          <mc:Choice Requires="x14">
            <control shapeId="1037" r:id="rId13" name="Button 13">
              <controlPr defaultSize="0" print="0" autoFill="0" autoPict="0" macro="[0]!NotesAutoNeg">
                <anchor moveWithCells="1" sizeWithCells="1">
                  <from>
                    <xdr:col>0</xdr:col>
                    <xdr:colOff>76200</xdr:colOff>
                    <xdr:row>9</xdr:row>
                    <xdr:rowOff>47625</xdr:rowOff>
                  </from>
                  <to>
                    <xdr:col>0</xdr:col>
                    <xdr:colOff>276225</xdr:colOff>
                    <xdr:row>13</xdr:row>
                    <xdr:rowOff>0</xdr:rowOff>
                  </to>
                </anchor>
              </controlPr>
            </control>
          </mc:Choice>
        </mc:AlternateContent>
        <mc:AlternateContent xmlns:mc="http://schemas.openxmlformats.org/markup-compatibility/2006">
          <mc:Choice Requires="x14">
            <control shapeId="1038" r:id="rId14" name="Button 14">
              <controlPr defaultSize="0" print="0" autoFill="0" autoPict="0" macro="[0]!NotesLinkUp">
                <anchor moveWithCells="1" sizeWithCells="1">
                  <from>
                    <xdr:col>11</xdr:col>
                    <xdr:colOff>447675</xdr:colOff>
                    <xdr:row>13</xdr:row>
                    <xdr:rowOff>9525</xdr:rowOff>
                  </from>
                  <to>
                    <xdr:col>11</xdr:col>
                    <xdr:colOff>647700</xdr:colOff>
                    <xdr:row>16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69" operator="containsText" id="{18768C7F-6413-44D7-9110-B55206415A33}">
            <xm:f>NOT(ISERROR(SEARCH("LowTxPwr",U14)))</xm:f>
            <xm:f>"LowTxPwr"</xm:f>
            <x14:dxf>
              <font>
                <b/>
                <i val="0"/>
              </font>
              <fill>
                <patternFill>
                  <bgColor rgb="FFFF7C80"/>
                </patternFill>
              </fill>
            </x14:dxf>
          </x14:cfRule>
          <xm:sqref>U14:V15</xm:sqref>
        </x14:conditionalFormatting>
        <x14:conditionalFormatting xmlns:xm="http://schemas.microsoft.com/office/excel/2006/main">
          <x14:cfRule type="containsText" priority="16" operator="containsText" id="{977C82DA-56DA-4C30-AD6E-A5AA24FEC546}">
            <xm:f>NOT(ISERROR(SEARCH("LowTxPwr",P14)))</xm:f>
            <xm:f>"LowTxPwr"</xm:f>
            <x14:dxf>
              <font>
                <b/>
                <i val="0"/>
              </font>
              <fill>
                <patternFill>
                  <bgColor rgb="FFFF7C80"/>
                </patternFill>
              </fill>
            </x14:dxf>
          </x14:cfRule>
          <xm:sqref>P14:Q15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W66"/>
  <sheetViews>
    <sheetView workbookViewId="0"/>
  </sheetViews>
  <sheetFormatPr defaultRowHeight="12.75" x14ac:dyDescent="0.2"/>
  <cols>
    <col min="1" max="1" width="5.28515625" customWidth="1"/>
    <col min="2" max="2" width="25.85546875" customWidth="1"/>
    <col min="3" max="3" width="4.5703125" customWidth="1"/>
    <col min="4" max="10" width="17.140625" customWidth="1"/>
    <col min="11" max="11" width="5.140625" customWidth="1"/>
    <col min="13" max="19" width="10.42578125" customWidth="1"/>
    <col min="20" max="20" width="11.42578125" customWidth="1"/>
    <col min="21" max="21" width="9.85546875" customWidth="1"/>
    <col min="23" max="23" width="9.42578125" customWidth="1"/>
    <col min="33" max="33" width="9.5703125" bestFit="1" customWidth="1"/>
  </cols>
  <sheetData>
    <row r="1" spans="1:23" ht="20.25" x14ac:dyDescent="0.3">
      <c r="A1" s="97" t="s">
        <v>324</v>
      </c>
      <c r="B1" s="97"/>
      <c r="C1" s="34"/>
      <c r="D1" s="34"/>
      <c r="E1" s="34"/>
      <c r="F1" s="34"/>
      <c r="G1" s="34"/>
      <c r="H1" s="34"/>
      <c r="I1" s="34"/>
      <c r="J1" s="34"/>
      <c r="K1" s="34"/>
    </row>
    <row r="2" spans="1:23" x14ac:dyDescent="0.2">
      <c r="A2" s="34"/>
      <c r="B2" s="119"/>
      <c r="C2" s="120"/>
      <c r="D2" s="101" t="s">
        <v>319</v>
      </c>
      <c r="E2" s="102" t="s">
        <v>320</v>
      </c>
      <c r="F2" s="102" t="s">
        <v>322</v>
      </c>
      <c r="G2" s="101" t="s">
        <v>321</v>
      </c>
      <c r="H2" s="103" t="s">
        <v>25</v>
      </c>
      <c r="I2" s="34"/>
      <c r="J2" s="34"/>
      <c r="K2" s="34"/>
    </row>
    <row r="3" spans="1:23" x14ac:dyDescent="0.2">
      <c r="A3" s="34"/>
      <c r="B3" s="121" t="s">
        <v>18</v>
      </c>
      <c r="C3" s="122"/>
      <c r="D3" s="105">
        <v>99</v>
      </c>
      <c r="E3" s="106">
        <v>99</v>
      </c>
      <c r="F3" s="106">
        <v>100</v>
      </c>
      <c r="G3" s="105">
        <v>100</v>
      </c>
      <c r="H3" s="107" t="s">
        <v>72</v>
      </c>
      <c r="I3" s="34"/>
      <c r="J3" s="34"/>
      <c r="K3" s="34"/>
      <c r="M3" s="6" t="s">
        <v>120</v>
      </c>
      <c r="N3" s="6"/>
      <c r="O3" s="6"/>
      <c r="P3" s="6"/>
      <c r="Q3" s="6"/>
      <c r="R3" s="6"/>
      <c r="S3" s="6"/>
      <c r="T3" s="6"/>
      <c r="U3" s="6"/>
      <c r="V3" s="6"/>
      <c r="W3" s="6"/>
    </row>
    <row r="4" spans="1:23" x14ac:dyDescent="0.2">
      <c r="A4" s="34"/>
      <c r="B4" s="107"/>
      <c r="C4" s="107"/>
      <c r="D4" s="107"/>
      <c r="E4" s="107"/>
      <c r="F4" s="107"/>
      <c r="G4" s="107"/>
      <c r="H4" s="107"/>
      <c r="I4" s="34"/>
      <c r="J4" s="34"/>
      <c r="K4" s="34"/>
      <c r="M4" s="6"/>
      <c r="N4" s="6"/>
      <c r="O4" s="6"/>
      <c r="P4" s="6"/>
      <c r="Q4" s="6"/>
      <c r="R4" s="6"/>
      <c r="S4" s="6"/>
      <c r="T4" s="6"/>
      <c r="U4" s="6"/>
      <c r="V4" s="6"/>
      <c r="W4" s="6"/>
    </row>
    <row r="5" spans="1:23" x14ac:dyDescent="0.2">
      <c r="A5" s="34"/>
      <c r="B5" s="121" t="s">
        <v>19</v>
      </c>
      <c r="C5" s="123"/>
      <c r="D5" s="107"/>
      <c r="E5" s="107"/>
      <c r="F5" s="107"/>
      <c r="G5" s="107"/>
      <c r="H5" s="107"/>
      <c r="I5" s="34"/>
      <c r="J5" s="34"/>
      <c r="K5" s="34"/>
      <c r="M5" s="6" t="s">
        <v>186</v>
      </c>
      <c r="N5" s="6" t="s">
        <v>188</v>
      </c>
      <c r="O5" s="6" t="s">
        <v>137</v>
      </c>
      <c r="P5" s="6" t="s">
        <v>189</v>
      </c>
      <c r="Q5" s="6" t="s">
        <v>187</v>
      </c>
      <c r="R5" s="6" t="s">
        <v>190</v>
      </c>
      <c r="S5" s="6" t="s">
        <v>137</v>
      </c>
      <c r="T5" s="6" t="s">
        <v>191</v>
      </c>
      <c r="U5" s="6"/>
      <c r="V5" s="6"/>
      <c r="W5" s="6"/>
    </row>
    <row r="6" spans="1:23" x14ac:dyDescent="0.2">
      <c r="A6" s="34"/>
      <c r="B6" s="108" t="s">
        <v>106</v>
      </c>
      <c r="C6" s="104"/>
      <c r="D6" s="109">
        <f>P6+P8</f>
        <v>-0.89552789422304513</v>
      </c>
      <c r="E6" s="110">
        <f>N6+N8</f>
        <v>-0.745527894223045</v>
      </c>
      <c r="F6" s="110">
        <f>R6+R8</f>
        <v>0.5737859813987618</v>
      </c>
      <c r="G6" s="109">
        <f>T6+T8</f>
        <v>0.72378598139876182</v>
      </c>
      <c r="H6" s="107" t="s">
        <v>26</v>
      </c>
      <c r="I6" s="34"/>
      <c r="J6" s="34"/>
      <c r="K6" s="34"/>
      <c r="M6" s="6">
        <f>2*0.95</f>
        <v>1.9</v>
      </c>
      <c r="N6" s="13">
        <f>20*LOG(M6/2)</f>
        <v>-0.44552789422304506</v>
      </c>
      <c r="O6" s="6">
        <v>-0.15</v>
      </c>
      <c r="P6" s="13">
        <f>N6+O6</f>
        <v>-0.59552789422304508</v>
      </c>
      <c r="Q6" s="6">
        <f>2*1.05</f>
        <v>2.1</v>
      </c>
      <c r="R6" s="13">
        <f>20*LOG(Q6/2)</f>
        <v>0.42378598139876184</v>
      </c>
      <c r="S6" s="6">
        <v>0.15</v>
      </c>
      <c r="T6" s="13">
        <f>R6+S6</f>
        <v>0.5737859813987618</v>
      </c>
    </row>
    <row r="7" spans="1:23" x14ac:dyDescent="0.2">
      <c r="A7" s="34"/>
      <c r="B7" s="108" t="s">
        <v>107</v>
      </c>
      <c r="C7" s="104"/>
      <c r="D7" s="109">
        <f>P7+P8</f>
        <v>-1.6797292138174715</v>
      </c>
      <c r="E7" s="110">
        <f>N7+N8</f>
        <v>-1.2797292138174714</v>
      </c>
      <c r="F7" s="110">
        <f>R7+R8</f>
        <v>0.92505177984033238</v>
      </c>
      <c r="G7" s="109">
        <f>T7+T8</f>
        <v>1.1250517798403323</v>
      </c>
      <c r="H7" s="107" t="s">
        <v>26</v>
      </c>
      <c r="I7" s="34"/>
      <c r="J7" s="34"/>
      <c r="K7" s="34"/>
      <c r="M7" s="6">
        <f>0.67</f>
        <v>0.67</v>
      </c>
      <c r="N7" s="13">
        <f>20*LOG(M7/0.75)</f>
        <v>-0.97972921381747136</v>
      </c>
      <c r="O7" s="6">
        <v>-0.4</v>
      </c>
      <c r="P7" s="13">
        <f>N7+O7</f>
        <v>-1.3797292138174715</v>
      </c>
      <c r="Q7" s="6">
        <v>0.82</v>
      </c>
      <c r="R7" s="13">
        <f>20*LOG(Q7/0.75)</f>
        <v>0.77505177984033236</v>
      </c>
      <c r="S7" s="6">
        <v>0.2</v>
      </c>
      <c r="T7" s="13">
        <f>R7+S7</f>
        <v>0.97505177984033242</v>
      </c>
      <c r="U7" s="13"/>
      <c r="V7" s="6"/>
      <c r="W7" s="13"/>
    </row>
    <row r="8" spans="1:23" x14ac:dyDescent="0.2">
      <c r="A8" s="34"/>
      <c r="B8" s="107"/>
      <c r="C8" s="107"/>
      <c r="D8" s="107"/>
      <c r="E8" s="107"/>
      <c r="F8" s="107"/>
      <c r="G8" s="107"/>
      <c r="H8" s="107"/>
      <c r="I8" s="34"/>
      <c r="J8" s="34"/>
      <c r="K8" s="34"/>
      <c r="M8" s="6" t="s">
        <v>236</v>
      </c>
      <c r="N8" s="6">
        <v>-0.3</v>
      </c>
      <c r="O8" s="6"/>
      <c r="P8" s="6">
        <v>-0.3</v>
      </c>
      <c r="Q8" s="6"/>
      <c r="R8" s="6">
        <v>0.15</v>
      </c>
      <c r="S8" s="6"/>
      <c r="T8" s="6">
        <v>0.15</v>
      </c>
      <c r="U8" s="6"/>
      <c r="V8" s="6"/>
      <c r="W8" s="6"/>
    </row>
    <row r="9" spans="1:23" x14ac:dyDescent="0.2">
      <c r="A9" s="34"/>
      <c r="B9" s="121" t="s">
        <v>28</v>
      </c>
      <c r="C9" s="122"/>
      <c r="D9" s="105">
        <v>27</v>
      </c>
      <c r="E9" s="106">
        <v>31</v>
      </c>
      <c r="F9" s="106">
        <v>36</v>
      </c>
      <c r="G9" s="105">
        <v>36</v>
      </c>
      <c r="H9" s="107" t="s">
        <v>26</v>
      </c>
      <c r="I9" s="34"/>
      <c r="J9" s="34"/>
      <c r="K9" s="34"/>
      <c r="M9" s="6"/>
      <c r="N9" s="6"/>
      <c r="O9" s="6"/>
      <c r="P9" s="6"/>
      <c r="Q9" s="6"/>
      <c r="R9" s="6"/>
      <c r="S9" s="6"/>
      <c r="T9" s="6"/>
      <c r="U9" s="6"/>
      <c r="V9" s="6"/>
      <c r="W9" s="6"/>
    </row>
    <row r="10" spans="1:23" x14ac:dyDescent="0.2">
      <c r="A10" s="34"/>
      <c r="B10" s="107"/>
      <c r="C10" s="107"/>
      <c r="D10" s="107"/>
      <c r="E10" s="107"/>
      <c r="F10" s="107"/>
      <c r="G10" s="107"/>
      <c r="H10" s="107"/>
      <c r="I10" s="34"/>
      <c r="J10" s="34"/>
      <c r="K10" s="34"/>
      <c r="M10" s="6" t="s">
        <v>186</v>
      </c>
      <c r="N10" s="6" t="s">
        <v>188</v>
      </c>
      <c r="O10" s="6" t="s">
        <v>137</v>
      </c>
      <c r="P10" s="6" t="s">
        <v>189</v>
      </c>
      <c r="Q10" s="6" t="s">
        <v>187</v>
      </c>
      <c r="R10" s="6" t="s">
        <v>190</v>
      </c>
      <c r="S10" s="6" t="s">
        <v>137</v>
      </c>
      <c r="T10" s="6" t="s">
        <v>191</v>
      </c>
      <c r="U10" s="6"/>
      <c r="V10" s="6"/>
      <c r="W10" s="6"/>
    </row>
    <row r="11" spans="1:23" x14ac:dyDescent="0.2">
      <c r="A11" s="34"/>
      <c r="B11" s="121" t="s">
        <v>31</v>
      </c>
      <c r="C11" s="111"/>
      <c r="D11" s="107"/>
      <c r="E11" s="107"/>
      <c r="F11" s="107"/>
      <c r="G11" s="107"/>
      <c r="H11" s="107"/>
      <c r="I11" s="34"/>
      <c r="J11" s="34"/>
      <c r="K11" s="34"/>
      <c r="M11" s="6" t="s">
        <v>234</v>
      </c>
      <c r="N11" s="6"/>
      <c r="O11" s="6"/>
      <c r="P11" s="6"/>
      <c r="Q11" s="6"/>
      <c r="R11" s="6"/>
      <c r="S11" s="6"/>
      <c r="T11" s="6"/>
      <c r="U11" s="6"/>
      <c r="V11" s="6"/>
      <c r="W11" s="6"/>
    </row>
    <row r="12" spans="1:23" x14ac:dyDescent="0.2">
      <c r="A12" s="34"/>
      <c r="B12" s="108" t="s">
        <v>121</v>
      </c>
      <c r="C12" s="104"/>
      <c r="D12" s="109">
        <v>-9</v>
      </c>
      <c r="E12" s="110">
        <v>-7.4</v>
      </c>
      <c r="F12" s="110">
        <v>1.8</v>
      </c>
      <c r="G12" s="109">
        <v>2</v>
      </c>
      <c r="H12" s="107" t="s">
        <v>26</v>
      </c>
      <c r="I12" s="34"/>
      <c r="J12" s="34"/>
      <c r="K12" s="34"/>
      <c r="M12" s="6">
        <v>-5.5</v>
      </c>
      <c r="N12" s="13">
        <f>ROUND(($N$6+M12)*20,0)/20</f>
        <v>-5.95</v>
      </c>
      <c r="O12" s="6">
        <v>-0.25</v>
      </c>
      <c r="P12" s="13">
        <f>ROUND((N12+O12)*20,0)/20</f>
        <v>-6.2</v>
      </c>
      <c r="Q12" s="6">
        <v>0.15</v>
      </c>
      <c r="R12" s="13">
        <f>ROUND(($R$6+Q12)*20,0)/20</f>
        <v>0.55000000000000004</v>
      </c>
      <c r="S12" s="6">
        <v>0.25</v>
      </c>
      <c r="T12" s="13">
        <f>ROUND((R12+S12)*20,0)/20</f>
        <v>0.8</v>
      </c>
      <c r="V12" s="6"/>
      <c r="W12" s="13"/>
    </row>
    <row r="13" spans="1:23" x14ac:dyDescent="0.2">
      <c r="A13" s="34"/>
      <c r="B13" s="108" t="s">
        <v>122</v>
      </c>
      <c r="C13" s="104"/>
      <c r="D13" s="109">
        <v>-5</v>
      </c>
      <c r="E13" s="110">
        <v>-4.3</v>
      </c>
      <c r="F13" s="110">
        <v>1.8</v>
      </c>
      <c r="G13" s="109">
        <v>2</v>
      </c>
      <c r="H13" s="107" t="s">
        <v>26</v>
      </c>
      <c r="I13" s="34"/>
      <c r="J13" s="34"/>
      <c r="K13" s="34"/>
      <c r="M13" s="6">
        <v>-0.7</v>
      </c>
      <c r="N13" s="13">
        <f>ROUND(($N$6+M13)*20,0)/20</f>
        <v>-1.1499999999999999</v>
      </c>
      <c r="O13" s="6">
        <v>-0.25</v>
      </c>
      <c r="P13" s="13">
        <f t="shared" ref="P13:P21" si="0">ROUND((N13+O13)*20,0)/20</f>
        <v>-1.4</v>
      </c>
      <c r="Q13" s="6">
        <v>0.15</v>
      </c>
      <c r="R13" s="13">
        <f>ROUND(($R$6+Q13)*20,0)/20</f>
        <v>0.55000000000000004</v>
      </c>
      <c r="S13" s="6">
        <v>0.25</v>
      </c>
      <c r="T13" s="13">
        <f t="shared" ref="T13:T21" si="1">ROUND((R13+S13)*20,0)/20</f>
        <v>0.8</v>
      </c>
      <c r="V13" s="6"/>
      <c r="W13" s="13"/>
    </row>
    <row r="14" spans="1:23" x14ac:dyDescent="0.2">
      <c r="A14" s="34"/>
      <c r="B14" s="108" t="s">
        <v>123</v>
      </c>
      <c r="C14" s="104"/>
      <c r="D14" s="109">
        <f>P14</f>
        <v>-1.25</v>
      </c>
      <c r="E14" s="110">
        <f>N14</f>
        <v>-1</v>
      </c>
      <c r="F14" s="110">
        <v>1.8</v>
      </c>
      <c r="G14" s="109">
        <v>2</v>
      </c>
      <c r="H14" s="107" t="s">
        <v>26</v>
      </c>
      <c r="I14" s="34"/>
      <c r="J14" s="34"/>
      <c r="K14" s="34"/>
      <c r="M14" s="6">
        <v>-0.55000000000000004</v>
      </c>
      <c r="N14" s="13">
        <f>ROUND(($N$6+M14)*20,0)/20</f>
        <v>-1</v>
      </c>
      <c r="O14" s="6">
        <v>-0.25</v>
      </c>
      <c r="P14" s="13">
        <f t="shared" si="0"/>
        <v>-1.25</v>
      </c>
      <c r="Q14" s="6">
        <v>0.15</v>
      </c>
      <c r="R14" s="13">
        <f>ROUND(($R$6+Q14)*20,0)/20</f>
        <v>0.55000000000000004</v>
      </c>
      <c r="S14" s="6">
        <v>0.25</v>
      </c>
      <c r="T14" s="13">
        <f t="shared" si="1"/>
        <v>0.8</v>
      </c>
      <c r="V14" s="6"/>
      <c r="W14" s="13"/>
    </row>
    <row r="15" spans="1:23" x14ac:dyDescent="0.2">
      <c r="A15" s="34"/>
      <c r="B15" s="108" t="s">
        <v>124</v>
      </c>
      <c r="C15" s="104"/>
      <c r="D15" s="109">
        <f>P15</f>
        <v>-0.85</v>
      </c>
      <c r="E15" s="110">
        <f>N15</f>
        <v>-0.6</v>
      </c>
      <c r="F15" s="110">
        <v>0.6</v>
      </c>
      <c r="G15" s="109">
        <v>0.85</v>
      </c>
      <c r="H15" s="107" t="s">
        <v>26</v>
      </c>
      <c r="I15" s="34"/>
      <c r="J15" s="34"/>
      <c r="K15" s="34"/>
      <c r="M15" s="6">
        <v>-0.15</v>
      </c>
      <c r="N15" s="13">
        <f>ROUND(($N$6+M15)*20,0)/20</f>
        <v>-0.6</v>
      </c>
      <c r="O15" s="6">
        <v>-0.25</v>
      </c>
      <c r="P15" s="13">
        <f t="shared" si="0"/>
        <v>-0.85</v>
      </c>
      <c r="Q15" s="6">
        <v>0.15</v>
      </c>
      <c r="R15" s="13">
        <f>ROUND(($R$6+Q15)*20,0)/20</f>
        <v>0.55000000000000004</v>
      </c>
      <c r="S15" s="6">
        <v>0.25</v>
      </c>
      <c r="T15" s="13">
        <f t="shared" si="1"/>
        <v>0.8</v>
      </c>
      <c r="V15" s="6"/>
      <c r="W15" s="13"/>
    </row>
    <row r="16" spans="1:23" x14ac:dyDescent="0.2">
      <c r="A16" s="34"/>
      <c r="B16" s="108" t="s">
        <v>125</v>
      </c>
      <c r="C16" s="104"/>
      <c r="D16" s="109">
        <f>P16</f>
        <v>-0.85</v>
      </c>
      <c r="E16" s="110">
        <f>N16</f>
        <v>-0.6</v>
      </c>
      <c r="F16" s="110">
        <f>R16</f>
        <v>0.55000000000000004</v>
      </c>
      <c r="G16" s="109">
        <f>T16</f>
        <v>0.8</v>
      </c>
      <c r="H16" s="107" t="s">
        <v>26</v>
      </c>
      <c r="I16" s="34"/>
      <c r="J16" s="34"/>
      <c r="K16" s="34"/>
      <c r="M16" s="6">
        <v>-0.15</v>
      </c>
      <c r="N16" s="13">
        <f>ROUND(($N$6+M16)*20,0)/20</f>
        <v>-0.6</v>
      </c>
      <c r="O16" s="6">
        <v>-0.25</v>
      </c>
      <c r="P16" s="13">
        <f t="shared" si="0"/>
        <v>-0.85</v>
      </c>
      <c r="Q16" s="6">
        <v>0.15</v>
      </c>
      <c r="R16" s="13">
        <f>ROUND(($R$6+Q16)*20,0)/20</f>
        <v>0.55000000000000004</v>
      </c>
      <c r="S16" s="6">
        <v>0.25</v>
      </c>
      <c r="T16" s="13">
        <f t="shared" si="1"/>
        <v>0.8</v>
      </c>
      <c r="V16" s="6"/>
      <c r="W16" s="13"/>
    </row>
    <row r="17" spans="1:23" x14ac:dyDescent="0.2">
      <c r="A17" s="34"/>
      <c r="B17" s="108" t="s">
        <v>126</v>
      </c>
      <c r="C17" s="104"/>
      <c r="D17" s="109">
        <v>-12.2</v>
      </c>
      <c r="E17" s="110">
        <v>-10</v>
      </c>
      <c r="F17" s="110">
        <v>1.05</v>
      </c>
      <c r="G17" s="109">
        <v>1.3</v>
      </c>
      <c r="H17" s="107" t="s">
        <v>26</v>
      </c>
      <c r="I17" s="34"/>
      <c r="J17" s="34"/>
      <c r="K17" s="34"/>
      <c r="M17" s="6">
        <v>-5.5</v>
      </c>
      <c r="N17" s="13">
        <f>ROUND(($N$7+M17)*20,0)/20</f>
        <v>-6.5</v>
      </c>
      <c r="O17" s="6">
        <v>-0.25</v>
      </c>
      <c r="P17" s="13">
        <f t="shared" si="0"/>
        <v>-6.75</v>
      </c>
      <c r="Q17" s="6">
        <v>0.15</v>
      </c>
      <c r="R17" s="13">
        <f>ROUND(($R$7+Q17)*20,0)/20</f>
        <v>0.95</v>
      </c>
      <c r="S17" s="6">
        <v>0.25</v>
      </c>
      <c r="T17" s="13">
        <f t="shared" si="1"/>
        <v>1.2</v>
      </c>
      <c r="V17" s="6"/>
      <c r="W17" s="13"/>
    </row>
    <row r="18" spans="1:23" x14ac:dyDescent="0.2">
      <c r="A18" s="34"/>
      <c r="B18" s="108" t="s">
        <v>127</v>
      </c>
      <c r="C18" s="104"/>
      <c r="D18" s="109">
        <v>-8.25</v>
      </c>
      <c r="E18" s="110">
        <v>-6.75</v>
      </c>
      <c r="F18" s="110">
        <v>1.05</v>
      </c>
      <c r="G18" s="109">
        <v>1.3</v>
      </c>
      <c r="H18" s="107" t="s">
        <v>26</v>
      </c>
      <c r="I18" s="34"/>
      <c r="J18" s="34"/>
      <c r="K18" s="34"/>
      <c r="M18" s="6">
        <v>-0.7</v>
      </c>
      <c r="N18" s="13">
        <f>ROUND(($N$7+M18)*20,0)/20</f>
        <v>-1.7</v>
      </c>
      <c r="O18" s="6">
        <v>-0.25</v>
      </c>
      <c r="P18" s="13">
        <f t="shared" si="0"/>
        <v>-1.95</v>
      </c>
      <c r="Q18" s="6">
        <v>0.15</v>
      </c>
      <c r="R18" s="13">
        <f>ROUND(($R$7+Q18)*20,0)/20</f>
        <v>0.95</v>
      </c>
      <c r="S18" s="6">
        <v>0.25</v>
      </c>
      <c r="T18" s="13">
        <f t="shared" si="1"/>
        <v>1.2</v>
      </c>
      <c r="V18" s="6"/>
      <c r="W18" s="13"/>
    </row>
    <row r="19" spans="1:23" x14ac:dyDescent="0.2">
      <c r="A19" s="34"/>
      <c r="B19" s="108" t="s">
        <v>128</v>
      </c>
      <c r="C19" s="104"/>
      <c r="D19" s="109">
        <v>-1.75</v>
      </c>
      <c r="E19" s="110">
        <v>-1.45</v>
      </c>
      <c r="F19" s="110">
        <v>1.05</v>
      </c>
      <c r="G19" s="109">
        <v>1.3</v>
      </c>
      <c r="H19" s="107" t="s">
        <v>26</v>
      </c>
      <c r="I19" s="34"/>
      <c r="J19" s="34"/>
      <c r="K19" s="34"/>
      <c r="M19" s="6">
        <v>-0.55000000000000004</v>
      </c>
      <c r="N19" s="13">
        <f>ROUND(($N$7+M19)*20,0)/20</f>
        <v>-1.55</v>
      </c>
      <c r="O19" s="6">
        <v>-0.25</v>
      </c>
      <c r="P19" s="13">
        <f t="shared" si="0"/>
        <v>-1.8</v>
      </c>
      <c r="Q19" s="6">
        <v>0.15</v>
      </c>
      <c r="R19" s="13">
        <f>ROUND(($R$7+Q19)*20,0)/20</f>
        <v>0.95</v>
      </c>
      <c r="S19" s="6">
        <v>0.25</v>
      </c>
      <c r="T19" s="13">
        <f t="shared" si="1"/>
        <v>1.2</v>
      </c>
      <c r="V19" s="6"/>
      <c r="W19" s="13"/>
    </row>
    <row r="20" spans="1:23" x14ac:dyDescent="0.2">
      <c r="A20" s="34"/>
      <c r="B20" s="108" t="s">
        <v>129</v>
      </c>
      <c r="C20" s="104"/>
      <c r="D20" s="109">
        <v>-1.35</v>
      </c>
      <c r="E20" s="110">
        <v>-1</v>
      </c>
      <c r="F20" s="110">
        <f>R20</f>
        <v>0.95</v>
      </c>
      <c r="G20" s="109">
        <f>T20</f>
        <v>1.2</v>
      </c>
      <c r="H20" s="107" t="s">
        <v>26</v>
      </c>
      <c r="I20" s="34"/>
      <c r="J20" s="34"/>
      <c r="K20" s="34"/>
      <c r="M20" s="6">
        <v>-0.15</v>
      </c>
      <c r="N20" s="13">
        <f>ROUND(($N$7+M20)*20,0)/20</f>
        <v>-1.1499999999999999</v>
      </c>
      <c r="O20" s="6">
        <v>-0.25</v>
      </c>
      <c r="P20" s="13">
        <f t="shared" si="0"/>
        <v>-1.4</v>
      </c>
      <c r="Q20" s="6">
        <v>0.15</v>
      </c>
      <c r="R20" s="13">
        <f>ROUND(($R$7+Q20)*20,0)/20</f>
        <v>0.95</v>
      </c>
      <c r="S20" s="6">
        <v>0.25</v>
      </c>
      <c r="T20" s="13">
        <f t="shared" si="1"/>
        <v>1.2</v>
      </c>
      <c r="V20" s="6"/>
      <c r="W20" s="13"/>
    </row>
    <row r="21" spans="1:23" x14ac:dyDescent="0.2">
      <c r="A21" s="34"/>
      <c r="B21" s="108" t="s">
        <v>130</v>
      </c>
      <c r="C21" s="104"/>
      <c r="D21" s="109">
        <v>-1.35</v>
      </c>
      <c r="E21" s="110">
        <v>-1</v>
      </c>
      <c r="F21" s="110">
        <f>R21</f>
        <v>0.95</v>
      </c>
      <c r="G21" s="109">
        <f>T21</f>
        <v>1.2</v>
      </c>
      <c r="H21" s="107" t="s">
        <v>26</v>
      </c>
      <c r="I21" s="34"/>
      <c r="J21" s="34"/>
      <c r="K21" s="34"/>
      <c r="M21" s="6">
        <v>-0.15</v>
      </c>
      <c r="N21" s="13">
        <f>ROUND(($N$7+M21)*20,0)/20</f>
        <v>-1.1499999999999999</v>
      </c>
      <c r="O21" s="6">
        <v>-0.25</v>
      </c>
      <c r="P21" s="13">
        <f t="shared" si="0"/>
        <v>-1.4</v>
      </c>
      <c r="Q21" s="6">
        <v>0.15</v>
      </c>
      <c r="R21" s="13">
        <f>ROUND(($R$7+Q21)*20,0)/20</f>
        <v>0.95</v>
      </c>
      <c r="S21" s="6">
        <v>0.25</v>
      </c>
      <c r="T21" s="13">
        <f t="shared" si="1"/>
        <v>1.2</v>
      </c>
      <c r="V21" s="6"/>
      <c r="W21" s="13"/>
    </row>
    <row r="22" spans="1:23" x14ac:dyDescent="0.2">
      <c r="A22" s="34"/>
      <c r="B22" s="107"/>
      <c r="C22" s="107"/>
      <c r="D22" s="107"/>
      <c r="E22" s="107"/>
      <c r="F22" s="107"/>
      <c r="G22" s="107"/>
      <c r="H22" s="107"/>
      <c r="I22" s="34"/>
      <c r="J22" s="34"/>
      <c r="K22" s="34"/>
      <c r="M22" s="6"/>
      <c r="N22" s="6"/>
      <c r="O22" s="6"/>
      <c r="P22" s="6"/>
      <c r="Q22" s="6"/>
      <c r="R22" s="6"/>
      <c r="S22" s="6"/>
      <c r="T22" s="6"/>
      <c r="U22" s="6"/>
      <c r="V22" s="6"/>
      <c r="W22" s="6"/>
    </row>
    <row r="23" spans="1:23" x14ac:dyDescent="0.2">
      <c r="A23" s="34"/>
      <c r="B23" s="121" t="s">
        <v>40</v>
      </c>
      <c r="C23" s="111"/>
      <c r="D23" s="107"/>
      <c r="E23" s="107"/>
      <c r="F23" s="107"/>
      <c r="G23" s="107"/>
      <c r="H23" s="107"/>
      <c r="I23" s="34"/>
      <c r="J23" s="34"/>
      <c r="K23" s="34"/>
      <c r="M23" s="6" t="s">
        <v>235</v>
      </c>
      <c r="N23" s="6"/>
      <c r="O23" s="6"/>
      <c r="P23" s="6"/>
      <c r="Q23" s="6"/>
      <c r="R23" s="6"/>
      <c r="S23" s="6"/>
      <c r="T23" s="6"/>
      <c r="U23" s="6"/>
      <c r="V23" s="6"/>
      <c r="W23" s="6"/>
    </row>
    <row r="24" spans="1:23" x14ac:dyDescent="0.2">
      <c r="A24" s="34"/>
      <c r="B24" s="108" t="s">
        <v>131</v>
      </c>
      <c r="C24" s="104"/>
      <c r="D24" s="109">
        <f t="shared" ref="D24:D35" si="2">P24</f>
        <v>-1</v>
      </c>
      <c r="E24" s="110">
        <f t="shared" ref="E24:E35" si="3">N24</f>
        <v>-0.75</v>
      </c>
      <c r="F24" s="110">
        <f t="shared" ref="F24:F35" si="4">R24</f>
        <v>0.7</v>
      </c>
      <c r="G24" s="109">
        <f t="shared" ref="G24:G35" si="5">T24</f>
        <v>1</v>
      </c>
      <c r="H24" s="107" t="s">
        <v>26</v>
      </c>
      <c r="I24" s="34"/>
      <c r="J24" s="34"/>
      <c r="K24" s="34"/>
      <c r="M24" s="6">
        <v>-0.15</v>
      </c>
      <c r="N24" s="13">
        <f t="shared" ref="N24:N29" si="6">ROUND(($N$16+M24)*20,0)/20</f>
        <v>-0.75</v>
      </c>
      <c r="O24" s="6">
        <v>-0.25</v>
      </c>
      <c r="P24" s="13">
        <f t="shared" ref="P24:P29" si="7">ROUND((N24+O24)*20,0)/20</f>
        <v>-1</v>
      </c>
      <c r="Q24" s="6">
        <v>0.15</v>
      </c>
      <c r="R24" s="13">
        <f t="shared" ref="R24:R29" si="8">ROUND(($R$16+Q24)*20,0)/20</f>
        <v>0.7</v>
      </c>
      <c r="S24" s="6">
        <v>0.28499999999999998</v>
      </c>
      <c r="T24" s="13">
        <f t="shared" ref="T24:T29" si="9">ROUND((R24+S24)*20,0)/20</f>
        <v>1</v>
      </c>
      <c r="U24" s="13"/>
      <c r="V24" s="6"/>
      <c r="W24" s="13"/>
    </row>
    <row r="25" spans="1:23" x14ac:dyDescent="0.2">
      <c r="A25" s="34"/>
      <c r="B25" s="108" t="s">
        <v>132</v>
      </c>
      <c r="C25" s="104"/>
      <c r="D25" s="109">
        <f t="shared" si="2"/>
        <v>-1.3</v>
      </c>
      <c r="E25" s="110">
        <f t="shared" si="3"/>
        <v>-1.05</v>
      </c>
      <c r="F25" s="110">
        <f t="shared" si="4"/>
        <v>0.7</v>
      </c>
      <c r="G25" s="109">
        <f t="shared" si="5"/>
        <v>1</v>
      </c>
      <c r="H25" s="107" t="s">
        <v>26</v>
      </c>
      <c r="I25" s="34"/>
      <c r="J25" s="34"/>
      <c r="K25" s="34"/>
      <c r="M25" s="6">
        <f>ROUND(-16/70*2,2)</f>
        <v>-0.46</v>
      </c>
      <c r="N25" s="13">
        <f t="shared" si="6"/>
        <v>-1.05</v>
      </c>
      <c r="O25" s="6">
        <v>-0.25</v>
      </c>
      <c r="P25" s="13">
        <f t="shared" si="7"/>
        <v>-1.3</v>
      </c>
      <c r="Q25" s="6">
        <v>0.15</v>
      </c>
      <c r="R25" s="13">
        <f t="shared" si="8"/>
        <v>0.7</v>
      </c>
      <c r="S25" s="6">
        <v>0.28499999999999998</v>
      </c>
      <c r="T25" s="13">
        <f t="shared" si="9"/>
        <v>1</v>
      </c>
      <c r="U25" s="13"/>
      <c r="V25" s="6"/>
      <c r="W25" s="13"/>
    </row>
    <row r="26" spans="1:23" x14ac:dyDescent="0.2">
      <c r="A26" s="34"/>
      <c r="B26" s="108" t="s">
        <v>133</v>
      </c>
      <c r="C26" s="104"/>
      <c r="D26" s="109">
        <f t="shared" si="2"/>
        <v>-1.75</v>
      </c>
      <c r="E26" s="110">
        <f t="shared" si="3"/>
        <v>-1.5</v>
      </c>
      <c r="F26" s="110">
        <f t="shared" si="4"/>
        <v>0.7</v>
      </c>
      <c r="G26" s="109">
        <f t="shared" si="5"/>
        <v>1</v>
      </c>
      <c r="H26" s="107" t="s">
        <v>26</v>
      </c>
      <c r="I26" s="34"/>
      <c r="J26" s="34"/>
      <c r="K26" s="34"/>
      <c r="M26" s="6">
        <f>ROUND(-31/70*2,2)</f>
        <v>-0.89</v>
      </c>
      <c r="N26" s="13">
        <f t="shared" si="6"/>
        <v>-1.5</v>
      </c>
      <c r="O26" s="6">
        <v>-0.25</v>
      </c>
      <c r="P26" s="13">
        <f t="shared" si="7"/>
        <v>-1.75</v>
      </c>
      <c r="Q26" s="6">
        <v>0.15</v>
      </c>
      <c r="R26" s="13">
        <f t="shared" si="8"/>
        <v>0.7</v>
      </c>
      <c r="S26" s="6">
        <v>0.28499999999999998</v>
      </c>
      <c r="T26" s="13">
        <f t="shared" si="9"/>
        <v>1</v>
      </c>
      <c r="U26" s="13"/>
      <c r="V26" s="6"/>
      <c r="W26" s="13"/>
    </row>
    <row r="27" spans="1:23" x14ac:dyDescent="0.2">
      <c r="A27" s="34"/>
      <c r="B27" s="108" t="s">
        <v>134</v>
      </c>
      <c r="C27" s="104"/>
      <c r="D27" s="109">
        <f t="shared" si="2"/>
        <v>-2.4</v>
      </c>
      <c r="E27" s="110">
        <f t="shared" si="3"/>
        <v>-2.15</v>
      </c>
      <c r="F27" s="110">
        <f t="shared" si="4"/>
        <v>0.7</v>
      </c>
      <c r="G27" s="109">
        <f t="shared" si="5"/>
        <v>1</v>
      </c>
      <c r="H27" s="107" t="s">
        <v>26</v>
      </c>
      <c r="I27" s="34"/>
      <c r="J27" s="34"/>
      <c r="K27" s="34"/>
      <c r="M27" s="6">
        <f>ROUND(-55/70*2,2)</f>
        <v>-1.57</v>
      </c>
      <c r="N27" s="13">
        <f t="shared" si="6"/>
        <v>-2.15</v>
      </c>
      <c r="O27" s="6">
        <v>-0.25</v>
      </c>
      <c r="P27" s="13">
        <f t="shared" si="7"/>
        <v>-2.4</v>
      </c>
      <c r="Q27" s="6">
        <v>0.15</v>
      </c>
      <c r="R27" s="13">
        <f t="shared" si="8"/>
        <v>0.7</v>
      </c>
      <c r="S27" s="6">
        <v>0.28499999999999998</v>
      </c>
      <c r="T27" s="13">
        <f t="shared" si="9"/>
        <v>1</v>
      </c>
      <c r="U27" s="13"/>
      <c r="V27" s="6"/>
      <c r="W27" s="13"/>
    </row>
    <row r="28" spans="1:23" x14ac:dyDescent="0.2">
      <c r="A28" s="34"/>
      <c r="B28" s="108" t="s">
        <v>135</v>
      </c>
      <c r="C28" s="104"/>
      <c r="D28" s="109">
        <f t="shared" si="2"/>
        <v>-2.95</v>
      </c>
      <c r="E28" s="110">
        <f t="shared" si="3"/>
        <v>-2.7</v>
      </c>
      <c r="F28" s="110">
        <f t="shared" si="4"/>
        <v>0.8</v>
      </c>
      <c r="G28" s="109">
        <f t="shared" si="5"/>
        <v>1.1000000000000001</v>
      </c>
      <c r="H28" s="107" t="s">
        <v>26</v>
      </c>
      <c r="I28" s="98"/>
      <c r="J28" s="98"/>
      <c r="K28" s="34"/>
      <c r="M28" s="6">
        <f>ROUND(-2-10*(((76/70)-1)/10),2)</f>
        <v>-2.09</v>
      </c>
      <c r="N28" s="13">
        <f t="shared" si="6"/>
        <v>-2.7</v>
      </c>
      <c r="O28" s="6">
        <v>-0.25</v>
      </c>
      <c r="P28" s="13">
        <f t="shared" si="7"/>
        <v>-2.95</v>
      </c>
      <c r="Q28" s="6">
        <f>ROUND(0.15+10*(((76/70)-1)/10),2)</f>
        <v>0.24</v>
      </c>
      <c r="R28" s="13">
        <f t="shared" si="8"/>
        <v>0.8</v>
      </c>
      <c r="S28" s="6">
        <v>0.28499999999999998</v>
      </c>
      <c r="T28" s="13">
        <f t="shared" si="9"/>
        <v>1.1000000000000001</v>
      </c>
      <c r="U28" s="13"/>
      <c r="V28" s="6"/>
      <c r="W28" s="13"/>
    </row>
    <row r="29" spans="1:23" x14ac:dyDescent="0.2">
      <c r="A29" s="34"/>
      <c r="B29" s="108" t="s">
        <v>136</v>
      </c>
      <c r="C29" s="104"/>
      <c r="D29" s="109">
        <f t="shared" si="2"/>
        <v>-3.45</v>
      </c>
      <c r="E29" s="110">
        <f t="shared" si="3"/>
        <v>-3.05</v>
      </c>
      <c r="F29" s="110">
        <f t="shared" si="4"/>
        <v>1.1499999999999999</v>
      </c>
      <c r="G29" s="109">
        <f t="shared" si="5"/>
        <v>1.5</v>
      </c>
      <c r="H29" s="107" t="s">
        <v>26</v>
      </c>
      <c r="I29" s="98"/>
      <c r="J29" s="98"/>
      <c r="K29" s="34"/>
      <c r="M29" s="6">
        <f>ROUND(-2-10*(((100/70)-1)/10),2)</f>
        <v>-2.4300000000000002</v>
      </c>
      <c r="N29" s="13">
        <f t="shared" si="6"/>
        <v>-3.05</v>
      </c>
      <c r="O29" s="6">
        <v>-0.4</v>
      </c>
      <c r="P29" s="13">
        <f t="shared" si="7"/>
        <v>-3.45</v>
      </c>
      <c r="Q29" s="6">
        <f>ROUND(0.15+10*(((100/70)-1)/10),2)</f>
        <v>0.57999999999999996</v>
      </c>
      <c r="R29" s="13">
        <f t="shared" si="8"/>
        <v>1.1499999999999999</v>
      </c>
      <c r="S29" s="6">
        <v>0.35</v>
      </c>
      <c r="T29" s="13">
        <f t="shared" si="9"/>
        <v>1.5</v>
      </c>
      <c r="U29" s="13"/>
      <c r="V29" s="6"/>
      <c r="W29" s="13"/>
    </row>
    <row r="30" spans="1:23" x14ac:dyDescent="0.2">
      <c r="A30" s="34"/>
      <c r="B30" s="108" t="s">
        <v>192</v>
      </c>
      <c r="C30" s="104"/>
      <c r="D30" s="109">
        <f t="shared" si="2"/>
        <v>-1.55</v>
      </c>
      <c r="E30" s="110">
        <f t="shared" si="3"/>
        <v>-1.3</v>
      </c>
      <c r="F30" s="110">
        <f t="shared" si="4"/>
        <v>1.1000000000000001</v>
      </c>
      <c r="G30" s="109">
        <f t="shared" si="5"/>
        <v>1.4</v>
      </c>
      <c r="H30" s="107" t="s">
        <v>26</v>
      </c>
      <c r="I30" s="34"/>
      <c r="J30" s="34"/>
      <c r="K30" s="34"/>
      <c r="M30" s="6">
        <v>-0.15</v>
      </c>
      <c r="N30" s="13">
        <f t="shared" ref="N30:N35" si="10">ROUND(($N$21+M30)*20,0)/20</f>
        <v>-1.3</v>
      </c>
      <c r="O30" s="6">
        <v>-0.25</v>
      </c>
      <c r="P30" s="13">
        <f t="shared" ref="P30:P35" si="11">ROUND((N30+O30)*20,0)/20</f>
        <v>-1.55</v>
      </c>
      <c r="Q30" s="6">
        <v>0.15</v>
      </c>
      <c r="R30" s="13">
        <f t="shared" ref="R30:R35" si="12">ROUND(($R$21+Q30)*20,0)/20</f>
        <v>1.1000000000000001</v>
      </c>
      <c r="S30" s="6">
        <v>0.28499999999999998</v>
      </c>
      <c r="T30" s="13">
        <f t="shared" ref="T30:T35" si="13">ROUND((R30+S30)*20,0)/20</f>
        <v>1.4</v>
      </c>
      <c r="U30" s="13"/>
      <c r="V30" s="6"/>
      <c r="W30" s="13"/>
    </row>
    <row r="31" spans="1:23" x14ac:dyDescent="0.2">
      <c r="A31" s="34"/>
      <c r="B31" s="108" t="s">
        <v>193</v>
      </c>
      <c r="C31" s="104"/>
      <c r="D31" s="109">
        <f t="shared" si="2"/>
        <v>-1.85</v>
      </c>
      <c r="E31" s="110">
        <f t="shared" si="3"/>
        <v>-1.6</v>
      </c>
      <c r="F31" s="110">
        <f t="shared" si="4"/>
        <v>1.1000000000000001</v>
      </c>
      <c r="G31" s="109">
        <f t="shared" si="5"/>
        <v>1.4</v>
      </c>
      <c r="H31" s="107" t="s">
        <v>26</v>
      </c>
      <c r="I31" s="34"/>
      <c r="J31" s="34"/>
      <c r="K31" s="34"/>
      <c r="M31" s="6">
        <f>ROUND(-16/70*2,2)</f>
        <v>-0.46</v>
      </c>
      <c r="N31" s="13">
        <f t="shared" si="10"/>
        <v>-1.6</v>
      </c>
      <c r="O31" s="6">
        <v>-0.25</v>
      </c>
      <c r="P31" s="13">
        <f t="shared" si="11"/>
        <v>-1.85</v>
      </c>
      <c r="Q31" s="6">
        <v>0.15</v>
      </c>
      <c r="R31" s="13">
        <f t="shared" si="12"/>
        <v>1.1000000000000001</v>
      </c>
      <c r="S31" s="6">
        <v>0.28499999999999998</v>
      </c>
      <c r="T31" s="13">
        <f t="shared" si="13"/>
        <v>1.4</v>
      </c>
      <c r="U31" s="13"/>
      <c r="V31" s="6"/>
      <c r="W31" s="13"/>
    </row>
    <row r="32" spans="1:23" x14ac:dyDescent="0.2">
      <c r="A32" s="34"/>
      <c r="B32" s="108" t="s">
        <v>194</v>
      </c>
      <c r="C32" s="104"/>
      <c r="D32" s="109">
        <f t="shared" si="2"/>
        <v>-2.2999999999999998</v>
      </c>
      <c r="E32" s="110">
        <f t="shared" si="3"/>
        <v>-2.0499999999999998</v>
      </c>
      <c r="F32" s="110">
        <f t="shared" si="4"/>
        <v>1.1000000000000001</v>
      </c>
      <c r="G32" s="109">
        <f t="shared" si="5"/>
        <v>1.4</v>
      </c>
      <c r="H32" s="107" t="s">
        <v>26</v>
      </c>
      <c r="I32" s="34"/>
      <c r="J32" s="34"/>
      <c r="K32" s="34"/>
      <c r="M32" s="6">
        <f>ROUND(-31/70*2,2)</f>
        <v>-0.89</v>
      </c>
      <c r="N32" s="13">
        <f t="shared" si="10"/>
        <v>-2.0499999999999998</v>
      </c>
      <c r="O32" s="6">
        <v>-0.25</v>
      </c>
      <c r="P32" s="13">
        <f t="shared" si="11"/>
        <v>-2.2999999999999998</v>
      </c>
      <c r="Q32" s="6">
        <v>0.15</v>
      </c>
      <c r="R32" s="13">
        <f t="shared" si="12"/>
        <v>1.1000000000000001</v>
      </c>
      <c r="S32" s="6">
        <v>0.28499999999999998</v>
      </c>
      <c r="T32" s="13">
        <f t="shared" si="13"/>
        <v>1.4</v>
      </c>
      <c r="U32" s="13"/>
      <c r="V32" s="6"/>
      <c r="W32" s="13"/>
    </row>
    <row r="33" spans="1:23" x14ac:dyDescent="0.2">
      <c r="A33" s="34"/>
      <c r="B33" s="108" t="s">
        <v>195</v>
      </c>
      <c r="C33" s="104"/>
      <c r="D33" s="109">
        <f t="shared" si="2"/>
        <v>-2.95</v>
      </c>
      <c r="E33" s="110">
        <f t="shared" si="3"/>
        <v>-2.7</v>
      </c>
      <c r="F33" s="110">
        <f t="shared" si="4"/>
        <v>1.1000000000000001</v>
      </c>
      <c r="G33" s="109">
        <f t="shared" si="5"/>
        <v>1.4</v>
      </c>
      <c r="H33" s="107" t="s">
        <v>26</v>
      </c>
      <c r="I33" s="34"/>
      <c r="J33" s="34"/>
      <c r="K33" s="34"/>
      <c r="M33" s="6">
        <f>ROUND(-55/70*2,2)</f>
        <v>-1.57</v>
      </c>
      <c r="N33" s="13">
        <f t="shared" si="10"/>
        <v>-2.7</v>
      </c>
      <c r="O33" s="6">
        <v>-0.25</v>
      </c>
      <c r="P33" s="13">
        <f t="shared" si="11"/>
        <v>-2.95</v>
      </c>
      <c r="Q33" s="6">
        <v>0.15</v>
      </c>
      <c r="R33" s="13">
        <f t="shared" si="12"/>
        <v>1.1000000000000001</v>
      </c>
      <c r="S33" s="6">
        <v>0.28499999999999998</v>
      </c>
      <c r="T33" s="13">
        <f t="shared" si="13"/>
        <v>1.4</v>
      </c>
      <c r="U33" s="13"/>
      <c r="V33" s="6"/>
      <c r="W33" s="13"/>
    </row>
    <row r="34" spans="1:23" x14ac:dyDescent="0.2">
      <c r="A34" s="34"/>
      <c r="B34" s="108" t="s">
        <v>196</v>
      </c>
      <c r="C34" s="104"/>
      <c r="D34" s="109">
        <f t="shared" si="2"/>
        <v>-3.6</v>
      </c>
      <c r="E34" s="110">
        <f t="shared" si="3"/>
        <v>-3.25</v>
      </c>
      <c r="F34" s="110">
        <f t="shared" si="4"/>
        <v>1.2</v>
      </c>
      <c r="G34" s="109">
        <f t="shared" si="5"/>
        <v>1.55</v>
      </c>
      <c r="H34" s="107" t="s">
        <v>26</v>
      </c>
      <c r="I34" s="34"/>
      <c r="J34" s="34"/>
      <c r="K34" s="34"/>
      <c r="M34" s="6">
        <f>ROUND(-2-10*(((76/70)-1)/10),2)</f>
        <v>-2.09</v>
      </c>
      <c r="N34" s="13">
        <f t="shared" si="10"/>
        <v>-3.25</v>
      </c>
      <c r="O34" s="6">
        <v>-0.35</v>
      </c>
      <c r="P34" s="13">
        <f t="shared" si="11"/>
        <v>-3.6</v>
      </c>
      <c r="Q34" s="6">
        <f>ROUND(0.15+10*(((76/70)-1)/10),2)</f>
        <v>0.24</v>
      </c>
      <c r="R34" s="13">
        <f t="shared" si="12"/>
        <v>1.2</v>
      </c>
      <c r="S34" s="6">
        <v>0.35</v>
      </c>
      <c r="T34" s="13">
        <f t="shared" si="13"/>
        <v>1.55</v>
      </c>
      <c r="U34" s="13"/>
      <c r="V34" s="6"/>
      <c r="W34" s="13"/>
    </row>
    <row r="35" spans="1:23" x14ac:dyDescent="0.2">
      <c r="A35" s="34"/>
      <c r="B35" s="108" t="s">
        <v>232</v>
      </c>
      <c r="C35" s="104"/>
      <c r="D35" s="109">
        <f t="shared" si="2"/>
        <v>-3.9</v>
      </c>
      <c r="E35" s="110">
        <f t="shared" si="3"/>
        <v>-3.4</v>
      </c>
      <c r="F35" s="110">
        <f t="shared" si="4"/>
        <v>1.35</v>
      </c>
      <c r="G35" s="109">
        <f t="shared" si="5"/>
        <v>1.85</v>
      </c>
      <c r="H35" s="107" t="s">
        <v>26</v>
      </c>
      <c r="I35" s="98"/>
      <c r="J35" s="98"/>
      <c r="K35" s="34"/>
      <c r="M35" s="6">
        <f>ROUND(-2-10*(((88/70)-1)/10),2)</f>
        <v>-2.2599999999999998</v>
      </c>
      <c r="N35" s="13">
        <f t="shared" si="10"/>
        <v>-3.4</v>
      </c>
      <c r="O35" s="6">
        <v>-0.5</v>
      </c>
      <c r="P35" s="13">
        <f t="shared" si="11"/>
        <v>-3.9</v>
      </c>
      <c r="Q35" s="6">
        <f>ROUND(0.15+10*(((88/70)-1)/10),2)</f>
        <v>0.41</v>
      </c>
      <c r="R35" s="13">
        <f t="shared" si="12"/>
        <v>1.35</v>
      </c>
      <c r="S35" s="6">
        <v>0.5</v>
      </c>
      <c r="T35" s="13">
        <f t="shared" si="13"/>
        <v>1.85</v>
      </c>
      <c r="U35" s="13"/>
      <c r="V35" s="6"/>
      <c r="W35" s="13"/>
    </row>
    <row r="36" spans="1:23" x14ac:dyDescent="0.2">
      <c r="A36" s="34"/>
      <c r="B36" s="107"/>
      <c r="C36" s="107"/>
      <c r="D36" s="107"/>
      <c r="E36" s="107"/>
      <c r="F36" s="107"/>
      <c r="G36" s="107"/>
      <c r="H36" s="107"/>
      <c r="I36" s="34"/>
      <c r="J36" s="34"/>
      <c r="K36" s="34"/>
    </row>
    <row r="37" spans="1:23" x14ac:dyDescent="0.2">
      <c r="A37" s="34"/>
      <c r="B37" s="121" t="s">
        <v>81</v>
      </c>
      <c r="C37" s="104"/>
      <c r="D37" s="105">
        <v>0</v>
      </c>
      <c r="E37" s="106">
        <v>0</v>
      </c>
      <c r="F37" s="106">
        <v>16</v>
      </c>
      <c r="G37" s="105">
        <v>24</v>
      </c>
      <c r="H37" s="107" t="s">
        <v>47</v>
      </c>
      <c r="I37" s="34"/>
      <c r="J37" s="34"/>
      <c r="K37" s="34"/>
      <c r="W37" s="13"/>
    </row>
    <row r="38" spans="1:23" x14ac:dyDescent="0.2">
      <c r="A38" s="34"/>
      <c r="B38" s="107"/>
      <c r="C38" s="107"/>
      <c r="D38" s="112"/>
      <c r="E38" s="107"/>
      <c r="F38" s="107"/>
      <c r="G38" s="112"/>
      <c r="H38" s="107"/>
      <c r="I38" s="34"/>
      <c r="J38" s="34"/>
      <c r="K38" s="34"/>
    </row>
    <row r="39" spans="1:23" x14ac:dyDescent="0.2">
      <c r="A39" s="34"/>
      <c r="B39" s="121" t="s">
        <v>82</v>
      </c>
      <c r="C39" s="104"/>
      <c r="D39" s="105">
        <v>-26</v>
      </c>
      <c r="E39" s="106">
        <v>-26</v>
      </c>
      <c r="F39" s="106">
        <v>-20.5</v>
      </c>
      <c r="G39" s="105">
        <v>-19</v>
      </c>
      <c r="H39" s="107" t="s">
        <v>26</v>
      </c>
      <c r="I39" s="34"/>
      <c r="J39" s="34"/>
      <c r="K39" s="34"/>
    </row>
    <row r="40" spans="1:23" x14ac:dyDescent="0.2">
      <c r="A40" s="34"/>
      <c r="B40" s="107"/>
      <c r="C40" s="107"/>
      <c r="D40" s="112"/>
      <c r="E40" s="107"/>
      <c r="F40" s="107"/>
      <c r="G40" s="112"/>
      <c r="H40" s="107"/>
      <c r="I40" s="34"/>
      <c r="J40" s="34"/>
      <c r="K40" s="34"/>
    </row>
    <row r="41" spans="1:23" x14ac:dyDescent="0.2">
      <c r="A41" s="34"/>
      <c r="B41" s="121" t="s">
        <v>83</v>
      </c>
      <c r="C41" s="104"/>
      <c r="D41" s="105">
        <v>-39</v>
      </c>
      <c r="E41" s="106">
        <v>-39</v>
      </c>
      <c r="F41" s="106">
        <v>-34</v>
      </c>
      <c r="G41" s="105">
        <v>-31</v>
      </c>
      <c r="H41" s="107" t="s">
        <v>26</v>
      </c>
      <c r="I41" s="34"/>
      <c r="J41" s="34"/>
      <c r="K41" s="34"/>
    </row>
    <row r="42" spans="1:23" x14ac:dyDescent="0.2">
      <c r="A42" s="34"/>
      <c r="B42" s="107"/>
      <c r="C42" s="107"/>
      <c r="D42" s="107"/>
      <c r="E42" s="107"/>
      <c r="F42" s="107"/>
      <c r="G42" s="107"/>
      <c r="H42" s="107"/>
      <c r="I42" s="34"/>
      <c r="J42" s="34"/>
      <c r="K42" s="34"/>
    </row>
    <row r="43" spans="1:23" x14ac:dyDescent="0.2">
      <c r="A43" s="34"/>
      <c r="B43" s="121" t="s">
        <v>169</v>
      </c>
      <c r="C43" s="107"/>
      <c r="D43" s="107"/>
      <c r="E43" s="107"/>
      <c r="F43" s="107"/>
      <c r="G43" s="107"/>
      <c r="H43" s="107"/>
      <c r="I43" s="34"/>
      <c r="J43" s="34"/>
      <c r="K43" s="34"/>
    </row>
    <row r="44" spans="1:23" x14ac:dyDescent="0.2">
      <c r="A44" s="34"/>
      <c r="B44" s="108" t="s">
        <v>162</v>
      </c>
      <c r="C44" s="104"/>
      <c r="D44" s="105">
        <v>95</v>
      </c>
      <c r="E44" s="106">
        <v>99.9</v>
      </c>
      <c r="F44" s="106">
        <v>100</v>
      </c>
      <c r="G44" s="105">
        <v>100</v>
      </c>
      <c r="H44" s="107" t="s">
        <v>164</v>
      </c>
      <c r="I44" s="34"/>
      <c r="J44" s="34"/>
      <c r="K44" s="34"/>
    </row>
    <row r="45" spans="1:23" x14ac:dyDescent="0.2">
      <c r="A45" s="34"/>
      <c r="B45" s="108" t="s">
        <v>163</v>
      </c>
      <c r="C45" s="113" t="s">
        <v>166</v>
      </c>
      <c r="D45" s="114" t="s">
        <v>165</v>
      </c>
      <c r="E45" s="115" t="s">
        <v>197</v>
      </c>
      <c r="F45" s="115" t="s">
        <v>197</v>
      </c>
      <c r="G45" s="114" t="s">
        <v>197</v>
      </c>
      <c r="H45" s="107"/>
      <c r="I45" s="34"/>
      <c r="J45" s="34"/>
      <c r="K45" s="34"/>
    </row>
    <row r="46" spans="1:23" x14ac:dyDescent="0.2">
      <c r="A46" s="34"/>
      <c r="B46" s="107"/>
      <c r="C46" s="107"/>
      <c r="D46" s="107"/>
      <c r="E46" s="107"/>
      <c r="F46" s="107"/>
      <c r="G46" s="107"/>
      <c r="H46" s="107"/>
      <c r="I46" s="34"/>
      <c r="J46" s="34"/>
      <c r="K46" s="34"/>
    </row>
    <row r="47" spans="1:23" x14ac:dyDescent="0.2">
      <c r="A47" s="34"/>
      <c r="B47" s="121" t="s">
        <v>170</v>
      </c>
      <c r="C47" s="107"/>
      <c r="D47" s="107"/>
      <c r="E47" s="107"/>
      <c r="F47" s="107"/>
      <c r="G47" s="107"/>
      <c r="H47" s="107"/>
      <c r="I47" s="34"/>
      <c r="J47" s="34"/>
      <c r="K47" s="34"/>
    </row>
    <row r="48" spans="1:23" x14ac:dyDescent="0.2">
      <c r="A48" s="34"/>
      <c r="B48" s="108" t="s">
        <v>167</v>
      </c>
      <c r="C48" s="104" t="s">
        <v>71</v>
      </c>
      <c r="D48" s="105">
        <v>95</v>
      </c>
      <c r="E48" s="106">
        <v>99.8</v>
      </c>
      <c r="F48" s="106">
        <v>100</v>
      </c>
      <c r="G48" s="105">
        <v>100</v>
      </c>
      <c r="H48" s="107" t="s">
        <v>168</v>
      </c>
      <c r="I48" s="34"/>
      <c r="J48" s="34"/>
      <c r="K48" s="34"/>
    </row>
    <row r="49" spans="1:20" x14ac:dyDescent="0.2">
      <c r="A49" s="34"/>
      <c r="B49" s="108" t="s">
        <v>163</v>
      </c>
      <c r="C49" s="113" t="s">
        <v>166</v>
      </c>
      <c r="D49" s="114" t="s">
        <v>165</v>
      </c>
      <c r="E49" s="115" t="s">
        <v>197</v>
      </c>
      <c r="F49" s="115" t="s">
        <v>197</v>
      </c>
      <c r="G49" s="114" t="s">
        <v>197</v>
      </c>
      <c r="H49" s="107"/>
      <c r="I49" s="34"/>
      <c r="J49" s="34"/>
      <c r="K49" s="34"/>
    </row>
    <row r="50" spans="1:20" x14ac:dyDescent="0.2">
      <c r="A50" s="34"/>
      <c r="B50" s="107"/>
      <c r="C50" s="107"/>
      <c r="D50" s="107"/>
      <c r="E50" s="107"/>
      <c r="F50" s="107"/>
      <c r="G50" s="107"/>
      <c r="H50" s="107"/>
      <c r="I50" s="34"/>
      <c r="J50" s="34"/>
      <c r="K50" s="34"/>
    </row>
    <row r="51" spans="1:20" x14ac:dyDescent="0.2">
      <c r="A51" s="34"/>
      <c r="B51" s="121" t="s">
        <v>171</v>
      </c>
      <c r="C51" s="107"/>
      <c r="D51" s="107"/>
      <c r="E51" s="107"/>
      <c r="F51" s="107"/>
      <c r="G51" s="107"/>
      <c r="H51" s="107"/>
      <c r="I51" s="34"/>
      <c r="J51" s="34"/>
      <c r="K51" s="34"/>
    </row>
    <row r="52" spans="1:20" x14ac:dyDescent="0.2">
      <c r="A52" s="34"/>
      <c r="B52" s="108" t="s">
        <v>167</v>
      </c>
      <c r="C52" s="104" t="s">
        <v>71</v>
      </c>
      <c r="D52" s="105">
        <v>95</v>
      </c>
      <c r="E52" s="106">
        <v>99.6</v>
      </c>
      <c r="F52" s="106">
        <v>100</v>
      </c>
      <c r="G52" s="105">
        <v>100</v>
      </c>
      <c r="H52" s="107" t="s">
        <v>168</v>
      </c>
      <c r="I52" s="34"/>
      <c r="J52" s="34"/>
      <c r="K52" s="34"/>
    </row>
    <row r="53" spans="1:20" x14ac:dyDescent="0.2">
      <c r="A53" s="34"/>
      <c r="B53" s="108" t="s">
        <v>163</v>
      </c>
      <c r="C53" s="113" t="s">
        <v>166</v>
      </c>
      <c r="D53" s="114" t="s">
        <v>165</v>
      </c>
      <c r="E53" s="115" t="s">
        <v>197</v>
      </c>
      <c r="F53" s="115" t="s">
        <v>197</v>
      </c>
      <c r="G53" s="114" t="s">
        <v>197</v>
      </c>
      <c r="H53" s="107"/>
      <c r="I53" s="34"/>
      <c r="J53" s="34"/>
      <c r="K53" s="34"/>
    </row>
    <row r="54" spans="1:20" x14ac:dyDescent="0.2">
      <c r="A54" s="34"/>
      <c r="B54" s="116"/>
      <c r="C54" s="104"/>
      <c r="D54" s="117"/>
      <c r="E54" s="118"/>
      <c r="F54" s="118"/>
      <c r="G54" s="107"/>
      <c r="H54" s="107"/>
      <c r="I54" s="34"/>
      <c r="J54" s="34"/>
      <c r="K54" s="34"/>
    </row>
    <row r="55" spans="1:20" x14ac:dyDescent="0.2">
      <c r="A55" s="34"/>
      <c r="B55" s="34"/>
      <c r="C55" s="34"/>
      <c r="D55" s="34"/>
      <c r="E55" s="34"/>
      <c r="F55" s="34"/>
      <c r="G55" s="34"/>
      <c r="H55" s="34"/>
      <c r="I55" s="34"/>
      <c r="J55" s="34"/>
      <c r="K55" s="34"/>
      <c r="O55" s="6" t="s">
        <v>198</v>
      </c>
      <c r="S55" s="6"/>
    </row>
    <row r="56" spans="1:20" x14ac:dyDescent="0.2">
      <c r="A56" s="34"/>
      <c r="B56" s="121" t="s">
        <v>224</v>
      </c>
      <c r="C56" s="5"/>
      <c r="D56" s="4" t="s">
        <v>222</v>
      </c>
      <c r="E56" s="4" t="s">
        <v>221</v>
      </c>
      <c r="F56" s="4" t="s">
        <v>223</v>
      </c>
      <c r="G56" s="92" t="s">
        <v>319</v>
      </c>
      <c r="H56" s="91" t="s">
        <v>320</v>
      </c>
      <c r="I56" s="91" t="s">
        <v>322</v>
      </c>
      <c r="J56" s="92" t="s">
        <v>321</v>
      </c>
      <c r="K56" s="34"/>
      <c r="M56" s="6" t="s">
        <v>186</v>
      </c>
      <c r="N56" s="6" t="s">
        <v>187</v>
      </c>
      <c r="O56" s="6" t="s">
        <v>137</v>
      </c>
      <c r="P56" s="6" t="s">
        <v>188</v>
      </c>
      <c r="Q56" s="6" t="s">
        <v>190</v>
      </c>
      <c r="R56" s="6" t="s">
        <v>189</v>
      </c>
      <c r="S56" s="6" t="s">
        <v>191</v>
      </c>
      <c r="T56" s="6"/>
    </row>
    <row r="57" spans="1:20" x14ac:dyDescent="0.2">
      <c r="A57" s="34"/>
      <c r="B57" s="5" t="s">
        <v>181</v>
      </c>
      <c r="C57" s="5"/>
      <c r="D57" s="5">
        <v>0</v>
      </c>
      <c r="E57" s="5">
        <v>1.0130999999999999</v>
      </c>
      <c r="F57" s="5">
        <v>1.72E-2</v>
      </c>
      <c r="G57" s="93">
        <v>1.79</v>
      </c>
      <c r="H57" s="95">
        <v>1.88</v>
      </c>
      <c r="I57" s="95">
        <v>2.12</v>
      </c>
      <c r="J57" s="93">
        <v>2.2200000000000002</v>
      </c>
      <c r="K57" s="34"/>
      <c r="M57" s="6">
        <f>2*0.95</f>
        <v>1.9</v>
      </c>
      <c r="N57" s="13">
        <v>2.1</v>
      </c>
      <c r="O57" s="18">
        <v>0.03</v>
      </c>
      <c r="P57" s="13">
        <f>(1-O57)*M57</f>
        <v>1.843</v>
      </c>
      <c r="Q57" s="6">
        <f>(1+O57)*N57</f>
        <v>2.1630000000000003</v>
      </c>
      <c r="R57" s="13">
        <f>(1-3*O57)*M57</f>
        <v>1.7289999999999999</v>
      </c>
      <c r="S57" s="6">
        <f>(1+3*O57)*N57</f>
        <v>2.2890000000000001</v>
      </c>
      <c r="T57" s="13"/>
    </row>
    <row r="58" spans="1:20" x14ac:dyDescent="0.2">
      <c r="A58" s="34"/>
      <c r="B58" s="5" t="s">
        <v>182</v>
      </c>
      <c r="C58" s="5"/>
      <c r="D58" s="5">
        <v>0</v>
      </c>
      <c r="E58" s="5">
        <v>1.0256000000000001</v>
      </c>
      <c r="F58" s="5">
        <v>-3.61E-2</v>
      </c>
      <c r="G58" s="93">
        <v>1.28</v>
      </c>
      <c r="H58" s="95">
        <v>1.34</v>
      </c>
      <c r="I58" s="95">
        <v>1.66</v>
      </c>
      <c r="J58" s="93">
        <v>1.73</v>
      </c>
      <c r="K58" s="34"/>
      <c r="M58" s="6">
        <v>1.34</v>
      </c>
      <c r="N58" s="13">
        <v>1.64</v>
      </c>
      <c r="O58" s="18">
        <v>0.03</v>
      </c>
      <c r="P58" s="13">
        <f>(1-O58)*M58</f>
        <v>1.2998000000000001</v>
      </c>
      <c r="Q58" s="6">
        <f>(1+O58)*N58</f>
        <v>1.6892</v>
      </c>
      <c r="R58" s="13">
        <f>(1-3*O58)*M58</f>
        <v>1.2194</v>
      </c>
      <c r="S58" s="6">
        <f>(1+3*O58)*N58</f>
        <v>1.7876000000000001</v>
      </c>
      <c r="T58" s="13"/>
    </row>
    <row r="59" spans="1:20" x14ac:dyDescent="0.2">
      <c r="A59" s="34"/>
      <c r="B59" s="5" t="s">
        <v>230</v>
      </c>
      <c r="C59" s="19">
        <v>0.25</v>
      </c>
      <c r="D59" s="5">
        <v>-1.0057</v>
      </c>
      <c r="E59" s="5">
        <v>6.4340000000000002</v>
      </c>
      <c r="F59" s="5">
        <v>-10.055999999999999</v>
      </c>
      <c r="G59" s="201">
        <f>R59</f>
        <v>2.64</v>
      </c>
      <c r="H59" s="203">
        <f>P59</f>
        <v>2.88</v>
      </c>
      <c r="I59" s="203">
        <f>Q59</f>
        <v>5.2</v>
      </c>
      <c r="J59" s="201">
        <f>S59</f>
        <v>5.6000000000000005</v>
      </c>
      <c r="K59" s="34"/>
      <c r="M59" s="6">
        <v>3</v>
      </c>
      <c r="N59" s="13">
        <v>5</v>
      </c>
      <c r="O59" s="18">
        <v>0.04</v>
      </c>
      <c r="P59" s="13">
        <f>(1-O59)*M59</f>
        <v>2.88</v>
      </c>
      <c r="Q59" s="6">
        <f>(1+O59)*N59</f>
        <v>5.2</v>
      </c>
      <c r="R59" s="13">
        <f>(1-3*O59)*M59</f>
        <v>2.64</v>
      </c>
      <c r="S59" s="6">
        <f>(1+3*O59)*N59</f>
        <v>5.6000000000000005</v>
      </c>
      <c r="T59" s="13"/>
    </row>
    <row r="60" spans="1:20" x14ac:dyDescent="0.2">
      <c r="A60" s="34"/>
      <c r="B60" s="5" t="s">
        <v>231</v>
      </c>
      <c r="C60" s="19">
        <v>0.25</v>
      </c>
      <c r="D60" s="5"/>
      <c r="E60" s="5">
        <v>-1.1827000000000001</v>
      </c>
      <c r="F60" s="5">
        <v>4.24</v>
      </c>
      <c r="G60" s="202"/>
      <c r="H60" s="204"/>
      <c r="I60" s="204"/>
      <c r="J60" s="202"/>
      <c r="K60" s="34"/>
      <c r="M60" s="6"/>
      <c r="N60" s="13"/>
      <c r="O60" s="6"/>
      <c r="P60" s="13"/>
      <c r="Q60" s="6"/>
      <c r="R60" s="13"/>
      <c r="S60" s="6"/>
      <c r="T60" s="13"/>
    </row>
    <row r="61" spans="1:20" x14ac:dyDescent="0.2">
      <c r="A61" s="34"/>
      <c r="B61" s="5" t="s">
        <v>183</v>
      </c>
      <c r="C61" s="5"/>
      <c r="D61" s="5"/>
      <c r="E61" s="5"/>
      <c r="F61" s="5"/>
      <c r="G61" s="93">
        <v>-2.5</v>
      </c>
      <c r="H61" s="95">
        <v>-1.76</v>
      </c>
      <c r="I61" s="95">
        <v>0.4</v>
      </c>
      <c r="J61" s="93">
        <v>0.55000000000000004</v>
      </c>
      <c r="K61" s="34"/>
      <c r="M61" s="6"/>
      <c r="N61" s="13"/>
      <c r="O61" s="18"/>
      <c r="P61" s="13">
        <f>AVERAGE(E34,E35)-AVERAGE(E21,E25)</f>
        <v>-2.3000000000000003</v>
      </c>
      <c r="Q61" s="13">
        <f>AVERAGE(F34,F35)-AVERAGE(F21,F25)</f>
        <v>0.44999999999999996</v>
      </c>
      <c r="R61" s="13">
        <f>AVERAGE(D34,D35)-AVERAGE(E21,E25)</f>
        <v>-2.7250000000000001</v>
      </c>
      <c r="S61" s="13">
        <f>AVERAGE(G34,G35)-AVERAGE(F21,F25)</f>
        <v>0.87500000000000022</v>
      </c>
      <c r="T61" s="13"/>
    </row>
    <row r="62" spans="1:20" x14ac:dyDescent="0.2">
      <c r="A62" s="34"/>
      <c r="B62" s="5" t="s">
        <v>278</v>
      </c>
      <c r="C62" s="5"/>
      <c r="D62" s="5">
        <v>-2.0000000000000001E-4</v>
      </c>
      <c r="E62" s="5">
        <v>5.3E-3</v>
      </c>
      <c r="F62" s="5">
        <v>0.98219999999999996</v>
      </c>
      <c r="G62" s="94">
        <v>0.81</v>
      </c>
      <c r="H62" s="96">
        <v>0.85</v>
      </c>
      <c r="I62" s="96">
        <v>1.01</v>
      </c>
      <c r="J62" s="94">
        <v>1.01</v>
      </c>
      <c r="K62" s="34"/>
    </row>
    <row r="63" spans="1:20" x14ac:dyDescent="0.2">
      <c r="A63" s="34"/>
      <c r="B63" s="5" t="s">
        <v>279</v>
      </c>
      <c r="C63" s="5"/>
      <c r="D63" s="5">
        <v>-1.1E-4</v>
      </c>
      <c r="E63" s="5">
        <v>7.1999999999999998E-3</v>
      </c>
      <c r="F63" s="5">
        <v>0.95760000000000001</v>
      </c>
      <c r="G63" s="94">
        <v>0.72</v>
      </c>
      <c r="H63" s="96">
        <v>0.78</v>
      </c>
      <c r="I63" s="96">
        <v>1.01</v>
      </c>
      <c r="J63" s="94">
        <v>1.01</v>
      </c>
      <c r="K63" s="34"/>
    </row>
    <row r="64" spans="1:20" x14ac:dyDescent="0.2">
      <c r="A64" s="34"/>
      <c r="B64" s="34"/>
      <c r="C64" s="34"/>
      <c r="D64" s="34"/>
      <c r="E64" s="34"/>
      <c r="F64" s="34"/>
      <c r="G64" s="34"/>
      <c r="H64" s="34"/>
      <c r="I64" s="34"/>
      <c r="J64" s="34"/>
      <c r="K64" s="34"/>
    </row>
    <row r="65" spans="1:11" x14ac:dyDescent="0.2">
      <c r="A65" s="34"/>
      <c r="B65" s="34"/>
      <c r="C65" s="34"/>
      <c r="D65" s="34"/>
      <c r="E65" s="34"/>
      <c r="F65" s="99" t="s">
        <v>95</v>
      </c>
      <c r="G65" s="100" t="s">
        <v>348</v>
      </c>
      <c r="H65" s="99"/>
      <c r="I65" s="99"/>
      <c r="J65" s="99"/>
      <c r="K65" s="34"/>
    </row>
    <row r="66" spans="1:11" x14ac:dyDescent="0.2">
      <c r="A66" s="34"/>
      <c r="B66" s="34"/>
      <c r="C66" s="34"/>
      <c r="D66" s="34"/>
      <c r="E66" s="34"/>
      <c r="F66" s="34"/>
      <c r="G66" s="34"/>
      <c r="H66" s="34"/>
      <c r="I66" s="34"/>
      <c r="J66" s="34"/>
      <c r="K66" s="34"/>
    </row>
  </sheetData>
  <mergeCells count="4">
    <mergeCell ref="G59:G60"/>
    <mergeCell ref="H59:H60"/>
    <mergeCell ref="I59:I60"/>
    <mergeCell ref="J59:J60"/>
  </mergeCells>
  <phoneticPr fontId="0" type="noConversion"/>
  <pageMargins left="0.75" right="0.75" top="1" bottom="1" header="0.5" footer="0.5"/>
  <pageSetup scale="5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46"/>
  <sheetViews>
    <sheetView workbookViewId="0"/>
  </sheetViews>
  <sheetFormatPr defaultRowHeight="12.75" x14ac:dyDescent="0.2"/>
  <cols>
    <col min="1" max="1" width="3.28515625" customWidth="1"/>
    <col min="2" max="2" width="25.28515625" customWidth="1"/>
    <col min="3" max="3" width="53.7109375" customWidth="1"/>
    <col min="4" max="4" width="68" customWidth="1"/>
    <col min="5" max="5" width="5.140625" customWidth="1"/>
  </cols>
  <sheetData>
    <row r="1" spans="1:5" ht="20.25" x14ac:dyDescent="0.3">
      <c r="A1" s="124" t="s">
        <v>237</v>
      </c>
      <c r="B1" s="125"/>
      <c r="C1" s="125"/>
      <c r="D1" s="125"/>
      <c r="E1" s="126"/>
    </row>
    <row r="2" spans="1:5" ht="5.25" customHeight="1" x14ac:dyDescent="0.2">
      <c r="A2" s="127"/>
      <c r="B2" s="128"/>
      <c r="C2" s="128"/>
      <c r="D2" s="128"/>
      <c r="E2" s="129"/>
    </row>
    <row r="3" spans="1:5" ht="15" x14ac:dyDescent="0.25">
      <c r="A3" s="127"/>
      <c r="B3" s="133" t="s">
        <v>238</v>
      </c>
      <c r="C3" s="133" t="s">
        <v>239</v>
      </c>
      <c r="D3" s="133" t="s">
        <v>240</v>
      </c>
      <c r="E3" s="129"/>
    </row>
    <row r="4" spans="1:5" ht="84" x14ac:dyDescent="0.2">
      <c r="A4" s="127"/>
      <c r="B4" s="205" t="s">
        <v>336</v>
      </c>
      <c r="C4" s="145" t="s">
        <v>339</v>
      </c>
      <c r="D4" s="153" t="s">
        <v>337</v>
      </c>
      <c r="E4" s="129"/>
    </row>
    <row r="5" spans="1:5" ht="51" x14ac:dyDescent="0.2">
      <c r="A5" s="127"/>
      <c r="B5" s="206"/>
      <c r="C5" s="145" t="s">
        <v>340</v>
      </c>
      <c r="D5" s="153" t="s">
        <v>338</v>
      </c>
      <c r="E5" s="129"/>
    </row>
    <row r="6" spans="1:5" ht="129.75" customHeight="1" x14ac:dyDescent="0.2">
      <c r="A6" s="127"/>
      <c r="B6" s="207"/>
      <c r="C6" s="145" t="s">
        <v>343</v>
      </c>
      <c r="D6" s="153" t="s">
        <v>344</v>
      </c>
      <c r="E6" s="129"/>
    </row>
    <row r="7" spans="1:5" ht="51" x14ac:dyDescent="0.2">
      <c r="A7" s="127"/>
      <c r="B7" s="146" t="s">
        <v>310</v>
      </c>
      <c r="C7" s="145" t="s">
        <v>342</v>
      </c>
      <c r="D7" s="145" t="s">
        <v>341</v>
      </c>
      <c r="E7" s="129"/>
    </row>
    <row r="8" spans="1:5" ht="25.5" x14ac:dyDescent="0.2">
      <c r="A8" s="127"/>
      <c r="B8" s="134" t="s">
        <v>117</v>
      </c>
      <c r="C8" s="135" t="s">
        <v>245</v>
      </c>
      <c r="D8" s="136" t="s">
        <v>270</v>
      </c>
      <c r="E8" s="129"/>
    </row>
    <row r="9" spans="1:5" ht="51" x14ac:dyDescent="0.2">
      <c r="A9" s="127"/>
      <c r="B9" s="134" t="s">
        <v>241</v>
      </c>
      <c r="C9" s="135" t="s">
        <v>246</v>
      </c>
      <c r="D9" s="136" t="s">
        <v>271</v>
      </c>
      <c r="E9" s="129"/>
    </row>
    <row r="10" spans="1:5" ht="38.25" x14ac:dyDescent="0.2">
      <c r="A10" s="127"/>
      <c r="B10" s="134" t="s">
        <v>242</v>
      </c>
      <c r="C10" s="135" t="s">
        <v>247</v>
      </c>
      <c r="D10" s="136" t="s">
        <v>272</v>
      </c>
      <c r="E10" s="129"/>
    </row>
    <row r="11" spans="1:5" ht="63.75" x14ac:dyDescent="0.2">
      <c r="A11" s="127"/>
      <c r="B11" s="134" t="s">
        <v>243</v>
      </c>
      <c r="C11" s="135" t="s">
        <v>248</v>
      </c>
      <c r="D11" s="136" t="s">
        <v>273</v>
      </c>
      <c r="E11" s="129"/>
    </row>
    <row r="12" spans="1:5" ht="63.75" x14ac:dyDescent="0.2">
      <c r="A12" s="127"/>
      <c r="B12" s="134" t="s">
        <v>45</v>
      </c>
      <c r="C12" s="135" t="s">
        <v>249</v>
      </c>
      <c r="D12" s="136" t="s">
        <v>274</v>
      </c>
      <c r="E12" s="129"/>
    </row>
    <row r="13" spans="1:5" ht="51" x14ac:dyDescent="0.2">
      <c r="A13" s="127"/>
      <c r="B13" s="134" t="s">
        <v>244</v>
      </c>
      <c r="C13" s="135" t="s">
        <v>250</v>
      </c>
      <c r="D13" s="136" t="s">
        <v>275</v>
      </c>
      <c r="E13" s="129"/>
    </row>
    <row r="14" spans="1:5" ht="51" x14ac:dyDescent="0.2">
      <c r="A14" s="127"/>
      <c r="B14" s="134" t="s">
        <v>253</v>
      </c>
      <c r="C14" s="135" t="s">
        <v>252</v>
      </c>
      <c r="D14" s="135" t="s">
        <v>254</v>
      </c>
      <c r="E14" s="129"/>
    </row>
    <row r="15" spans="1:5" ht="76.5" x14ac:dyDescent="0.2">
      <c r="A15" s="127"/>
      <c r="B15" s="134" t="s">
        <v>251</v>
      </c>
      <c r="C15" s="135" t="s">
        <v>255</v>
      </c>
      <c r="D15" s="136" t="s">
        <v>276</v>
      </c>
      <c r="E15" s="129"/>
    </row>
    <row r="16" spans="1:5" x14ac:dyDescent="0.2">
      <c r="A16" s="128"/>
      <c r="B16" s="128"/>
      <c r="C16" s="128"/>
      <c r="D16" s="128"/>
      <c r="E16" s="129"/>
    </row>
    <row r="17" spans="1:5" ht="20.25" x14ac:dyDescent="0.3">
      <c r="A17" s="130" t="s">
        <v>325</v>
      </c>
      <c r="B17" s="128"/>
      <c r="C17" s="128"/>
      <c r="D17" s="128"/>
      <c r="E17" s="129"/>
    </row>
    <row r="18" spans="1:5" ht="4.5" customHeight="1" x14ac:dyDescent="0.2">
      <c r="A18" s="128"/>
      <c r="B18" s="128"/>
      <c r="C18" s="128"/>
      <c r="D18" s="128"/>
      <c r="E18" s="129"/>
    </row>
    <row r="19" spans="1:5" ht="15" x14ac:dyDescent="0.25">
      <c r="A19" s="128"/>
      <c r="B19" s="133" t="s">
        <v>238</v>
      </c>
      <c r="C19" s="133" t="s">
        <v>239</v>
      </c>
      <c r="D19" s="133" t="s">
        <v>284</v>
      </c>
      <c r="E19" s="129"/>
    </row>
    <row r="20" spans="1:5" x14ac:dyDescent="0.2">
      <c r="A20" s="128"/>
      <c r="B20" s="211" t="s">
        <v>282</v>
      </c>
      <c r="C20" s="208" t="s">
        <v>286</v>
      </c>
      <c r="D20" s="136" t="s">
        <v>298</v>
      </c>
      <c r="E20" s="129"/>
    </row>
    <row r="21" spans="1:5" ht="25.5" customHeight="1" x14ac:dyDescent="0.2">
      <c r="A21" s="128"/>
      <c r="B21" s="211"/>
      <c r="C21" s="208"/>
      <c r="D21" s="135" t="s">
        <v>285</v>
      </c>
      <c r="E21" s="129"/>
    </row>
    <row r="22" spans="1:5" x14ac:dyDescent="0.2">
      <c r="A22" s="128"/>
      <c r="B22" s="211" t="s">
        <v>326</v>
      </c>
      <c r="C22" s="208" t="s">
        <v>290</v>
      </c>
      <c r="D22" s="136" t="s">
        <v>287</v>
      </c>
      <c r="E22" s="129"/>
    </row>
    <row r="23" spans="1:5" ht="39" customHeight="1" x14ac:dyDescent="0.2">
      <c r="A23" s="128"/>
      <c r="B23" s="211"/>
      <c r="C23" s="208"/>
      <c r="D23" s="137" t="s">
        <v>289</v>
      </c>
      <c r="E23" s="129"/>
    </row>
    <row r="24" spans="1:5" x14ac:dyDescent="0.2">
      <c r="A24" s="128"/>
      <c r="B24" s="211" t="s">
        <v>281</v>
      </c>
      <c r="C24" s="208" t="s">
        <v>305</v>
      </c>
      <c r="D24" s="136" t="s">
        <v>291</v>
      </c>
      <c r="E24" s="129"/>
    </row>
    <row r="25" spans="1:5" ht="38.25" customHeight="1" x14ac:dyDescent="0.2">
      <c r="A25" s="128"/>
      <c r="B25" s="211"/>
      <c r="C25" s="208"/>
      <c r="D25" s="135" t="s">
        <v>294</v>
      </c>
      <c r="E25" s="129"/>
    </row>
    <row r="26" spans="1:5" ht="12.75" customHeight="1" x14ac:dyDescent="0.2">
      <c r="A26" s="128"/>
      <c r="B26" s="211" t="s">
        <v>280</v>
      </c>
      <c r="C26" s="208" t="s">
        <v>293</v>
      </c>
      <c r="D26" s="136" t="s">
        <v>292</v>
      </c>
      <c r="E26" s="129"/>
    </row>
    <row r="27" spans="1:5" ht="39" customHeight="1" x14ac:dyDescent="0.2">
      <c r="A27" s="128"/>
      <c r="B27" s="211"/>
      <c r="C27" s="208"/>
      <c r="D27" s="137" t="s">
        <v>295</v>
      </c>
      <c r="E27" s="129"/>
    </row>
    <row r="28" spans="1:5" ht="13.5" customHeight="1" x14ac:dyDescent="0.2">
      <c r="A28" s="128"/>
      <c r="B28" s="211" t="s">
        <v>283</v>
      </c>
      <c r="C28" s="208" t="s">
        <v>296</v>
      </c>
      <c r="D28" s="136" t="s">
        <v>297</v>
      </c>
      <c r="E28" s="129"/>
    </row>
    <row r="29" spans="1:5" ht="26.25" customHeight="1" x14ac:dyDescent="0.2">
      <c r="A29" s="128"/>
      <c r="B29" s="211"/>
      <c r="C29" s="208"/>
      <c r="D29" s="137" t="s">
        <v>299</v>
      </c>
      <c r="E29" s="129"/>
    </row>
    <row r="30" spans="1:5" ht="15" customHeight="1" x14ac:dyDescent="0.2">
      <c r="A30" s="128"/>
      <c r="B30" s="211" t="s">
        <v>185</v>
      </c>
      <c r="C30" s="208" t="s">
        <v>302</v>
      </c>
      <c r="D30" s="136" t="s">
        <v>300</v>
      </c>
      <c r="E30" s="129"/>
    </row>
    <row r="31" spans="1:5" ht="89.25" customHeight="1" x14ac:dyDescent="0.2">
      <c r="A31" s="128"/>
      <c r="B31" s="211"/>
      <c r="C31" s="208"/>
      <c r="D31" s="137" t="s">
        <v>301</v>
      </c>
      <c r="E31" s="129"/>
    </row>
    <row r="32" spans="1:5" x14ac:dyDescent="0.2">
      <c r="A32" s="128"/>
      <c r="B32" s="128"/>
      <c r="C32" s="128"/>
      <c r="D32" s="128"/>
      <c r="E32" s="129"/>
    </row>
    <row r="33" spans="1:5" ht="20.25" x14ac:dyDescent="0.3">
      <c r="A33" s="131" t="s">
        <v>267</v>
      </c>
      <c r="B33" s="128"/>
      <c r="C33" s="128"/>
      <c r="D33" s="128"/>
      <c r="E33" s="129"/>
    </row>
    <row r="34" spans="1:5" ht="6" customHeight="1" x14ac:dyDescent="0.2">
      <c r="A34" s="127"/>
      <c r="B34" s="128"/>
      <c r="C34" s="128"/>
      <c r="D34" s="128"/>
      <c r="E34" s="129"/>
    </row>
    <row r="35" spans="1:5" ht="15" x14ac:dyDescent="0.25">
      <c r="A35" s="127"/>
      <c r="B35" s="133" t="s">
        <v>256</v>
      </c>
      <c r="C35" s="209" t="s">
        <v>239</v>
      </c>
      <c r="D35" s="209"/>
      <c r="E35" s="129"/>
    </row>
    <row r="36" spans="1:5" ht="38.25" customHeight="1" x14ac:dyDescent="0.2">
      <c r="A36" s="127"/>
      <c r="B36" s="134" t="s">
        <v>257</v>
      </c>
      <c r="C36" s="208" t="s">
        <v>268</v>
      </c>
      <c r="D36" s="208"/>
      <c r="E36" s="129"/>
    </row>
    <row r="37" spans="1:5" ht="37.5" customHeight="1" x14ac:dyDescent="0.2">
      <c r="A37" s="127"/>
      <c r="B37" s="134" t="s">
        <v>258</v>
      </c>
      <c r="C37" s="208" t="s">
        <v>269</v>
      </c>
      <c r="D37" s="208"/>
      <c r="E37" s="129"/>
    </row>
    <row r="38" spans="1:5" ht="26.25" customHeight="1" x14ac:dyDescent="0.2">
      <c r="A38" s="127"/>
      <c r="B38" s="134" t="s">
        <v>259</v>
      </c>
      <c r="C38" s="208" t="s">
        <v>260</v>
      </c>
      <c r="D38" s="208"/>
      <c r="E38" s="129"/>
    </row>
    <row r="39" spans="1:5" ht="37.5" customHeight="1" x14ac:dyDescent="0.2">
      <c r="A39" s="127"/>
      <c r="B39" s="134" t="s">
        <v>261</v>
      </c>
      <c r="C39" s="208" t="s">
        <v>262</v>
      </c>
      <c r="D39" s="208"/>
      <c r="E39" s="129"/>
    </row>
    <row r="40" spans="1:5" ht="25.5" customHeight="1" x14ac:dyDescent="0.2">
      <c r="A40" s="127"/>
      <c r="B40" s="134" t="s">
        <v>263</v>
      </c>
      <c r="C40" s="208" t="s">
        <v>264</v>
      </c>
      <c r="D40" s="208"/>
      <c r="E40" s="129"/>
    </row>
    <row r="41" spans="1:5" ht="25.5" customHeight="1" x14ac:dyDescent="0.2">
      <c r="A41" s="127"/>
      <c r="B41" s="134" t="s">
        <v>265</v>
      </c>
      <c r="C41" s="208" t="s">
        <v>266</v>
      </c>
      <c r="D41" s="208"/>
      <c r="E41" s="129"/>
    </row>
    <row r="42" spans="1:5" x14ac:dyDescent="0.2">
      <c r="A42" s="128"/>
      <c r="B42" s="132"/>
      <c r="C42" s="132"/>
      <c r="D42" s="132"/>
      <c r="E42" s="129"/>
    </row>
    <row r="43" spans="1:5" ht="15" x14ac:dyDescent="0.25">
      <c r="A43" s="128"/>
      <c r="B43" s="139" t="s">
        <v>327</v>
      </c>
      <c r="C43" s="209" t="s">
        <v>239</v>
      </c>
      <c r="D43" s="209"/>
      <c r="E43" s="129"/>
    </row>
    <row r="44" spans="1:5" ht="51.75" customHeight="1" x14ac:dyDescent="0.2">
      <c r="A44" s="128"/>
      <c r="B44" s="138" t="s">
        <v>328</v>
      </c>
      <c r="C44" s="210" t="s">
        <v>330</v>
      </c>
      <c r="D44" s="208"/>
      <c r="E44" s="129"/>
    </row>
    <row r="45" spans="1:5" ht="63" customHeight="1" x14ac:dyDescent="0.2">
      <c r="A45" s="128"/>
      <c r="B45" s="138" t="s">
        <v>329</v>
      </c>
      <c r="C45" s="210" t="s">
        <v>331</v>
      </c>
      <c r="D45" s="208"/>
      <c r="E45" s="129"/>
    </row>
    <row r="46" spans="1:5" x14ac:dyDescent="0.2">
      <c r="A46" s="140"/>
      <c r="B46" s="140"/>
      <c r="C46" s="140"/>
      <c r="D46" s="140"/>
      <c r="E46" s="141"/>
    </row>
  </sheetData>
  <mergeCells count="23">
    <mergeCell ref="C43:D43"/>
    <mergeCell ref="C44:D44"/>
    <mergeCell ref="C45:D45"/>
    <mergeCell ref="B20:B21"/>
    <mergeCell ref="C20:C21"/>
    <mergeCell ref="B22:B23"/>
    <mergeCell ref="C22:C23"/>
    <mergeCell ref="C39:D39"/>
    <mergeCell ref="B28:B29"/>
    <mergeCell ref="C28:C29"/>
    <mergeCell ref="B30:B31"/>
    <mergeCell ref="C30:C31"/>
    <mergeCell ref="B24:B25"/>
    <mergeCell ref="C24:C25"/>
    <mergeCell ref="B26:B27"/>
    <mergeCell ref="C26:C27"/>
    <mergeCell ref="B4:B6"/>
    <mergeCell ref="C41:D41"/>
    <mergeCell ref="C35:D35"/>
    <mergeCell ref="C36:D36"/>
    <mergeCell ref="C37:D37"/>
    <mergeCell ref="C38:D38"/>
    <mergeCell ref="C40:D40"/>
  </mergeCells>
  <phoneticPr fontId="0" type="noConversion"/>
  <pageMargins left="0.75" right="0.75" top="1" bottom="1" header="0.5" footer="0.5"/>
  <pageSetup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69</vt:i4>
      </vt:variant>
    </vt:vector>
  </HeadingPairs>
  <TitlesOfParts>
    <vt:vector size="72" baseType="lpstr">
      <vt:lpstr>Result1</vt:lpstr>
      <vt:lpstr>Limits</vt:lpstr>
      <vt:lpstr>Notes</vt:lpstr>
      <vt:lpstr>Droop_100_a</vt:lpstr>
      <vt:lpstr>Droop_100_b</vt:lpstr>
      <vt:lpstr>Droop_100_c</vt:lpstr>
      <vt:lpstr>Droop_100_Red_Min</vt:lpstr>
      <vt:lpstr>Droop_100_Yel_Min</vt:lpstr>
      <vt:lpstr>Droop_1000_a</vt:lpstr>
      <vt:lpstr>Droop_1000_b</vt:lpstr>
      <vt:lpstr>Droop_1000_c</vt:lpstr>
      <vt:lpstr>Droop_1000_Red_Min</vt:lpstr>
      <vt:lpstr>Droop_1000_Yel_Min</vt:lpstr>
      <vt:lpstr>Result1!Fast_Enet</vt:lpstr>
      <vt:lpstr>Result1!Gig_Mode</vt:lpstr>
      <vt:lpstr>LI_Red</vt:lpstr>
      <vt:lpstr>LI_Yellow</vt:lpstr>
      <vt:lpstr>Mask_100_a</vt:lpstr>
      <vt:lpstr>Mask_100_b</vt:lpstr>
      <vt:lpstr>Mask_100_c</vt:lpstr>
      <vt:lpstr>Mask_100_hi</vt:lpstr>
      <vt:lpstr>Mask_100_lo</vt:lpstr>
      <vt:lpstr>Mask_100_m</vt:lpstr>
      <vt:lpstr>Mask_100_max</vt:lpstr>
      <vt:lpstr>Mask_100_min</vt:lpstr>
      <vt:lpstr>Mask_100_n</vt:lpstr>
      <vt:lpstr>Mask_100_Thresh</vt:lpstr>
      <vt:lpstr>Mask_1000_b</vt:lpstr>
      <vt:lpstr>Mask_1000_hi</vt:lpstr>
      <vt:lpstr>Mask_1000_lo</vt:lpstr>
      <vt:lpstr>Mask_1000_m</vt:lpstr>
      <vt:lpstr>Mask_1000_max</vt:lpstr>
      <vt:lpstr>Mask_1000_min</vt:lpstr>
      <vt:lpstr>Result1!MaxHighPsd</vt:lpstr>
      <vt:lpstr>Result1!MaxLowPsd</vt:lpstr>
      <vt:lpstr>Result1!MinHighPSD</vt:lpstr>
      <vt:lpstr>Result1!MinLowPsd</vt:lpstr>
      <vt:lpstr>Limits!Print_Area</vt:lpstr>
      <vt:lpstr>Notes!Print_Area</vt:lpstr>
      <vt:lpstr>Result1!Print_Area</vt:lpstr>
      <vt:lpstr>Report_Version</vt:lpstr>
      <vt:lpstr>RL_Red</vt:lpstr>
      <vt:lpstr>RL_Yellow</vt:lpstr>
      <vt:lpstr>Result1!Rx_Graph_Max</vt:lpstr>
      <vt:lpstr>Result1!Rx_Graph_Min</vt:lpstr>
      <vt:lpstr>Rx_Red_100_Hi</vt:lpstr>
      <vt:lpstr>Rx_Red_100_Lo</vt:lpstr>
      <vt:lpstr>Rx_Red_1000_Hi</vt:lpstr>
      <vt:lpstr>Rx_Red_1000_Lo</vt:lpstr>
      <vt:lpstr>Rx_Yellow_100_Hi</vt:lpstr>
      <vt:lpstr>Rx_Yellow_100_Lo</vt:lpstr>
      <vt:lpstr>Rx_Yellow_1000_Hi</vt:lpstr>
      <vt:lpstr>Rx_Yellow_1000_Lo</vt:lpstr>
      <vt:lpstr>Skew_Red</vt:lpstr>
      <vt:lpstr>Skew_Yellow</vt:lpstr>
      <vt:lpstr>SNR_Red</vt:lpstr>
      <vt:lpstr>SNR_Yellow</vt:lpstr>
      <vt:lpstr>Result1!Version</vt:lpstr>
      <vt:lpstr>Vpp_100_b</vt:lpstr>
      <vt:lpstr>Vpp_100_hi</vt:lpstr>
      <vt:lpstr>Vpp_100_lo</vt:lpstr>
      <vt:lpstr>Vpp_100_m</vt:lpstr>
      <vt:lpstr>Vpp_100_max</vt:lpstr>
      <vt:lpstr>Vpp_100_min</vt:lpstr>
      <vt:lpstr>Vpp_1000_b</vt:lpstr>
      <vt:lpstr>Vpp_1000_hi</vt:lpstr>
      <vt:lpstr>Vpp_1000_lo</vt:lpstr>
      <vt:lpstr>Vpp_1000_m</vt:lpstr>
      <vt:lpstr>Vpp_1000_max</vt:lpstr>
      <vt:lpstr>Vpp_1000_min</vt:lpstr>
      <vt:lpstr>Xtalk_Red</vt:lpstr>
      <vt:lpstr>Xtalk_Yellow</vt:lpstr>
    </vt:vector>
  </TitlesOfParts>
  <Company>Sifos Technologies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Johnson</dc:creator>
  <cp:lastModifiedBy>svc-mfg-user</cp:lastModifiedBy>
  <cp:lastPrinted>2017-04-17T22:55:00Z</cp:lastPrinted>
  <dcterms:created xsi:type="dcterms:W3CDTF">2010-10-22T18:56:06Z</dcterms:created>
  <dcterms:modified xsi:type="dcterms:W3CDTF">2021-04-12T16:38:20Z</dcterms:modified>
</cp:coreProperties>
</file>