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https://arrowelectronics-my.sharepoint.com/personal/vishal_mistry1_einfochips_com/Documents/Documents/"/>
    </mc:Choice>
  </mc:AlternateContent>
  <xr:revisionPtr revIDLastSave="0" documentId="13_ncr:1_{EC6F1D3C-CDB7-4600-903E-9569AC70D430}" xr6:coauthVersionLast="47" xr6:coauthVersionMax="47" xr10:uidLastSave="{00000000-0000-0000-0000-000000000000}"/>
  <bookViews>
    <workbookView xWindow="-110" yWindow="-110" windowWidth="19420" windowHeight="10300" tabRatio="782" xr2:uid="{00000000-000D-0000-FFFF-FFFF00000000}"/>
  </bookViews>
  <sheets>
    <sheet name="DP83TG720 Pin Wise Checklist" sheetId="2" r:id="rId1"/>
    <sheet name="Strap Tool" sheetId="11" r:id="rId2"/>
    <sheet name="Layout Checklist" sheetId="12" r:id="rId3"/>
    <sheet name="Pictures" sheetId="13" state="hidden" r:id="rId4"/>
  </sheets>
  <definedNames>
    <definedName name="_xlnm._FilterDatabase" localSheetId="0" hidden="1">'DP83TG720 Pin Wise Checklist'!$C$4:$H$9</definedName>
    <definedName name="_xlnm._FilterDatabase" localSheetId="1" hidden="1">'Strap Tool'!$B$4:$I$9</definedName>
    <definedName name="Pics">INDEX(Pictures!$B$1:$B$2, MATCH('DP83TG720 Pin Wise Checklist'!$A$15:$B$16,Pictures!$A$1:$A$2,0))</definedName>
    <definedName name="Pics2">INDEX(Pictures!$B$5:$B$8, MATCH('DP83TG720 Pin Wise Checklist'!$A$15:$B$16,Pictures!$A$5:$A$8,0))</definedName>
    <definedName name="Pics3">INDEX(Pictures!$B$9:$B$13, MATCH('DP83TG720 Pin Wise Checklist'!$A$27:$B$40,Pictures!$A$9:$A$13,0))</definedName>
    <definedName name="Pics4">INDEX(Pictures!$B$14:$B$15, MATCH('DP83TG720 Pin Wise Checklist'!$D$9,Pictures!$A$14:$A$15,0))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11" l="1"/>
  <c r="T5" i="11"/>
  <c r="S5" i="11"/>
  <c r="R5" i="11"/>
  <c r="Q5" i="11"/>
  <c r="B5" i="12" l="1"/>
  <c r="B6" i="12" s="1"/>
  <c r="B7" i="12" s="1"/>
  <c r="B8" i="12" s="1"/>
  <c r="B9" i="12" s="1"/>
  <c r="B10" i="12" s="1"/>
  <c r="B11" i="12" s="1"/>
  <c r="B12" i="12" s="1"/>
  <c r="B14" i="12" s="1"/>
  <c r="B15" i="12" s="1"/>
  <c r="B16" i="12" s="1"/>
  <c r="B17" i="12" s="1"/>
  <c r="B18" i="12" s="1"/>
  <c r="B19" i="12" s="1"/>
  <c r="B21" i="12" s="1"/>
  <c r="B22" i="12" s="1"/>
  <c r="B23" i="12" s="1"/>
  <c r="B24" i="12" s="1"/>
  <c r="B26" i="12" s="1"/>
  <c r="B27" i="12" s="1"/>
  <c r="B28" i="12" s="1"/>
  <c r="B29" i="12" s="1"/>
  <c r="B30" i="12" s="1"/>
  <c r="B31" i="12" s="1"/>
  <c r="B33" i="12" s="1"/>
  <c r="B34" i="12" s="1"/>
  <c r="B35" i="12" s="1"/>
  <c r="B37" i="12" s="1"/>
  <c r="B38" i="12" s="1"/>
  <c r="B39" i="12" s="1"/>
  <c r="B40" i="12" s="1"/>
  <c r="B41" i="12" s="1"/>
  <c r="B42" i="12" s="1"/>
  <c r="B43" i="12" s="1"/>
  <c r="B44" i="12" s="1"/>
  <c r="B45" i="12" s="1"/>
  <c r="B46" i="12" s="1"/>
  <c r="B47" i="12" s="1"/>
  <c r="B48" i="12" s="1"/>
  <c r="B49" i="12" s="1"/>
  <c r="B50" i="12" s="1"/>
  <c r="B51" i="12" s="1"/>
  <c r="B52" i="12" s="1"/>
  <c r="I23" i="11"/>
  <c r="I22" i="11"/>
  <c r="J11" i="11"/>
  <c r="P11" i="11" s="1"/>
  <c r="J10" i="11"/>
  <c r="L10" i="11" s="1"/>
  <c r="J9" i="11"/>
  <c r="P9" i="11" s="1"/>
  <c r="N18" i="11" s="1"/>
  <c r="J8" i="11"/>
  <c r="L8" i="11" s="1"/>
  <c r="J7" i="11"/>
  <c r="N7" i="11" s="1"/>
  <c r="J6" i="11"/>
  <c r="L6" i="11" s="1"/>
  <c r="J5" i="11"/>
  <c r="P5" i="11" s="1"/>
  <c r="F40" i="2"/>
  <c r="F39" i="2"/>
  <c r="F38" i="2"/>
  <c r="F37" i="2"/>
  <c r="F36" i="2"/>
  <c r="F35" i="2"/>
  <c r="F34" i="2"/>
  <c r="F33" i="2"/>
  <c r="F32" i="2"/>
  <c r="F31" i="2"/>
  <c r="F30" i="2"/>
  <c r="F29" i="2"/>
  <c r="F28" i="2"/>
  <c r="F27" i="2"/>
  <c r="F16" i="2"/>
  <c r="F15" i="2"/>
  <c r="N8" i="11" l="1"/>
  <c r="P8" i="11"/>
  <c r="L11" i="11"/>
  <c r="N6" i="11"/>
  <c r="P6" i="11"/>
  <c r="L5" i="11"/>
  <c r="L7" i="11"/>
  <c r="P7" i="11"/>
  <c r="P12" i="11" s="1"/>
  <c r="N9" i="11"/>
  <c r="P10" i="11"/>
  <c r="N5" i="11"/>
  <c r="L9" i="11"/>
  <c r="G23" i="11" l="1"/>
  <c r="G25" i="11" s="1"/>
  <c r="G22" i="11"/>
  <c r="G24" i="11" s="1"/>
  <c r="N16" i="11" s="1"/>
</calcChain>
</file>

<file path=xl/sharedStrings.xml><?xml version="1.0" encoding="utf-8"?>
<sst xmlns="http://schemas.openxmlformats.org/spreadsheetml/2006/main" count="282" uniqueCount="201">
  <si>
    <t>RX_D2</t>
  </si>
  <si>
    <t>RX_D1</t>
  </si>
  <si>
    <t>RX_D0</t>
  </si>
  <si>
    <t>LED_0</t>
  </si>
  <si>
    <t>RX_D3</t>
  </si>
  <si>
    <t>SGMII</t>
  </si>
  <si>
    <t>PD</t>
  </si>
  <si>
    <t>Hardware Configuration</t>
  </si>
  <si>
    <t>Bootstrap Pin</t>
  </si>
  <si>
    <t>Bootstrap Mode</t>
  </si>
  <si>
    <t>MAC Interface</t>
  </si>
  <si>
    <t>M/S Configuration</t>
  </si>
  <si>
    <t>Operational Mode</t>
  </si>
  <si>
    <t>Mode 1</t>
  </si>
  <si>
    <t>Mode 2</t>
  </si>
  <si>
    <t>RGMII (Align)</t>
  </si>
  <si>
    <t>RGMII (TX Internal Delay)</t>
  </si>
  <si>
    <t>RGMII (RX Internal Delay)</t>
  </si>
  <si>
    <t>RX_DV</t>
  </si>
  <si>
    <t>RX_ER</t>
  </si>
  <si>
    <t>0x0</t>
  </si>
  <si>
    <t>0x4</t>
  </si>
  <si>
    <t>0x5</t>
  </si>
  <si>
    <t>Mode 3</t>
  </si>
  <si>
    <t>0x8</t>
  </si>
  <si>
    <t>0xA</t>
  </si>
  <si>
    <t>0xC</t>
  </si>
  <si>
    <t>0xD</t>
  </si>
  <si>
    <t>0xE</t>
  </si>
  <si>
    <t>0xF</t>
  </si>
  <si>
    <t>PU</t>
  </si>
  <si>
    <t>OPEN</t>
  </si>
  <si>
    <t>2.49kΩ</t>
  </si>
  <si>
    <t>Domain</t>
  </si>
  <si>
    <t>Recommended Connection</t>
  </si>
  <si>
    <t>Pictures</t>
  </si>
  <si>
    <t>Power</t>
  </si>
  <si>
    <t xml:space="preserve"> </t>
  </si>
  <si>
    <t>VDDA</t>
  </si>
  <si>
    <t>GND</t>
  </si>
  <si>
    <t>Ground Pad</t>
  </si>
  <si>
    <t>LED/GPIO</t>
  </si>
  <si>
    <t>LED_0 / GPIO_0</t>
  </si>
  <si>
    <t>LED_1 / GPIO_1</t>
  </si>
  <si>
    <t>XI</t>
  </si>
  <si>
    <t>XO</t>
  </si>
  <si>
    <t>Serial Management Interface</t>
  </si>
  <si>
    <t>MDC</t>
  </si>
  <si>
    <t>MDIO</t>
  </si>
  <si>
    <t>RESET_N</t>
  </si>
  <si>
    <t>INT_N</t>
  </si>
  <si>
    <t>WAKE</t>
  </si>
  <si>
    <t>INH</t>
  </si>
  <si>
    <t>Medium Dependent Interface (MDI)</t>
  </si>
  <si>
    <t>TRD_M</t>
  </si>
  <si>
    <t>TRD_P</t>
  </si>
  <si>
    <t>TX_CLK</t>
  </si>
  <si>
    <t>TX_EN/TXCTRL</t>
  </si>
  <si>
    <t>TX_D3</t>
  </si>
  <si>
    <t>TX_D2</t>
  </si>
  <si>
    <t>TX_D1</t>
  </si>
  <si>
    <t>TX_D0</t>
  </si>
  <si>
    <t>RX_CLK</t>
  </si>
  <si>
    <t>RX_DV/CRS_DV/RX_CTRL</t>
  </si>
  <si>
    <t>DNC</t>
  </si>
  <si>
    <t>Item</t>
  </si>
  <si>
    <t>Picture</t>
  </si>
  <si>
    <t>Yes/No</t>
  </si>
  <si>
    <t>TRDP/TRDM</t>
  </si>
  <si>
    <t>Are connector ground and board ground connected well with 0ohms placed on all sides?
Refer to R110, R11 and R70 positions in the picture  (recommended)</t>
  </si>
  <si>
    <t>Are common mode terminations placed symmetrically and on the connector ground?
Refer to R68,R67,R73,C89 positions in the picture  (recommended)</t>
  </si>
  <si>
    <t>Is there continuous ground under trdp and trdm traces (recommended)?</t>
  </si>
  <si>
    <t>Is there void under the components used on trdp and trdm traces? 
If all layer void is not possible then atleast 2nd layer should be cleared off the ground.</t>
  </si>
  <si>
    <t xml:space="preserve">If ESDs are used, are they 2 terminal packages (recommended)? </t>
  </si>
  <si>
    <t>Is the impedance of trdp/trdm pair = differential 100ohms +/-5%?</t>
  </si>
  <si>
    <t>Are trdp/trdm traces matched with +/-10mil accuracy?</t>
  </si>
  <si>
    <t>CMC, AC coupling caps and common mode termination components close to the connector (recommended)?</t>
  </si>
  <si>
    <t>Is the same layer ground plane symmetrically placed around trdp and trdm traces (till connector)?</t>
  </si>
  <si>
    <t>Are 10nF,100nF supply decaps placed on the same layer as the PHY and closed to PHY?</t>
  </si>
  <si>
    <t>For supply network spread across multiple layers, are there minimum of 4 vias connecting one layer to another?</t>
  </si>
  <si>
    <t>Is the position of ferrite bead for each power pin combination close to PHY and is good to provide strong connection to both the pins?</t>
  </si>
  <si>
    <t>Is there a ground plane reference for every power plane (recommended for EMC)?</t>
  </si>
  <si>
    <t>Even if sleep mode is not used, is Vsleep routed as power (recommended)?</t>
  </si>
  <si>
    <t>Crystal</t>
  </si>
  <si>
    <t>Is crystal placed closest possible to PHY (making XI and XO route the shortest possible) (recommended)?</t>
  </si>
  <si>
    <t>Are caps connected to xi and xo placed in same orientation  (recommended)?</t>
  </si>
  <si>
    <t>Are caps connected to xi and xo connected well to the top ground and that ground strongly connected to the board ground on bottom layer through continous vias (recommended)?</t>
  </si>
  <si>
    <t>Are switching signals like led and mdc routed away from XI route ?</t>
  </si>
  <si>
    <t>RGMII</t>
  </si>
  <si>
    <t>Are Rgmii traces burried (recommended for EMC)? Vias should be close to PHY/MAC transmitter.</t>
  </si>
  <si>
    <t>Is Rgmii routing lower than 5 inches (recommended)?</t>
  </si>
  <si>
    <t>Is Rgmii data and clock skew less than 200ps?</t>
  </si>
  <si>
    <t>Are Rgmii traces routed with 50ohms impedance control?</t>
  </si>
  <si>
    <t>At Rgmii receiver pins of PHY, 1ns (20%-80%) rise/fall time met?</t>
  </si>
  <si>
    <t>Are their test points close to the MAC and PHY RGMII receiver pins?</t>
  </si>
  <si>
    <t>Are sgmii tx and rx signals routed with 100ohms +/5 % differential impedance control (recommended)?</t>
  </si>
  <si>
    <t>Is mismatch in p and m signal of differential pair less than 5 mils (recommended)?</t>
  </si>
  <si>
    <t>AC-coupling caps on Sgmii signal lines placed close to transmitter side (recommended)?</t>
  </si>
  <si>
    <t>General</t>
  </si>
  <si>
    <t>trace length mismatch : serpentine should be done at mismatch end</t>
  </si>
  <si>
    <t>high speed signals should be routed over a solid ground and not across a plane split or void</t>
  </si>
  <si>
    <t>distance from void &gt; trace width x 1.5</t>
  </si>
  <si>
    <t>place stich capacitors iff traces are crossing two different planes</t>
  </si>
  <si>
    <t>place gnd stiching vias close to the signal transition vias symmetrically ( &lt; 200 mils away)</t>
  </si>
  <si>
    <t>keep out distance from other switching signal : keep out distance &gt; 5w (width of the trace)</t>
  </si>
  <si>
    <t>no probe or test points on any high-speed diff signal</t>
  </si>
  <si>
    <t>no traces near crystals, clock gens, mounting holes, magnetic devices or ics</t>
  </si>
  <si>
    <t>maintain constant trace width to avoid impedance mismatches</t>
  </si>
  <si>
    <t>maximize differential pair to pair spacing &gt; 30mils (after package breakout and before connector)</t>
  </si>
  <si>
    <t>Package break-out must occur within 250mils from the package</t>
  </si>
  <si>
    <t>Keep via stubs short &lt; 15mils</t>
  </si>
  <si>
    <t>Avoid vias on the high speed signals and use them only near SoCs</t>
  </si>
  <si>
    <t>SMDs on high speed traces : 0402 or smaller. Place them symmetrically</t>
  </si>
  <si>
    <t>SMDS on high speed traces :  should have void under them</t>
  </si>
  <si>
    <t>Signal bending rules</t>
  </si>
  <si>
    <r>
      <t>Suggested Pull-Up (R</t>
    </r>
    <r>
      <rPr>
        <b/>
        <vertAlign val="subscript"/>
        <sz val="12"/>
        <rFont val="Calibri"/>
        <family val="2"/>
        <scheme val="minor"/>
      </rPr>
      <t>H</t>
    </r>
    <r>
      <rPr>
        <b/>
        <sz val="12"/>
        <rFont val="Calibri"/>
        <family val="2"/>
        <scheme val="minor"/>
      </rPr>
      <t>)</t>
    </r>
  </si>
  <si>
    <r>
      <t>Suggested Pull-down (R</t>
    </r>
    <r>
      <rPr>
        <b/>
        <vertAlign val="subscript"/>
        <sz val="12"/>
        <rFont val="Calibri"/>
        <family val="2"/>
        <scheme val="minor"/>
      </rPr>
      <t>L</t>
    </r>
    <r>
      <rPr>
        <b/>
        <sz val="12"/>
        <rFont val="Calibri"/>
        <family val="2"/>
        <scheme val="minor"/>
      </rPr>
      <t>)</t>
    </r>
  </si>
  <si>
    <t>PHY Address (0x0-0xF)</t>
  </si>
  <si>
    <t>VDDIO</t>
  </si>
  <si>
    <t>3.3V</t>
  </si>
  <si>
    <t>RGMII (TX + RX Internal Delay)</t>
  </si>
  <si>
    <r>
      <t>13k</t>
    </r>
    <r>
      <rPr>
        <sz val="12"/>
        <rFont val="Calibri"/>
        <family val="2"/>
      </rPr>
      <t>Ω</t>
    </r>
  </si>
  <si>
    <r>
      <t>4.5k</t>
    </r>
    <r>
      <rPr>
        <sz val="12"/>
        <rFont val="Calibri"/>
        <family val="2"/>
      </rPr>
      <t>Ω</t>
    </r>
  </si>
  <si>
    <t>3.3V VDDIO</t>
  </si>
  <si>
    <t>2.5V VDDIO</t>
  </si>
  <si>
    <r>
      <t>12k</t>
    </r>
    <r>
      <rPr>
        <sz val="12"/>
        <rFont val="Calibri"/>
        <family val="2"/>
      </rPr>
      <t>Ω</t>
    </r>
  </si>
  <si>
    <r>
      <t>2k</t>
    </r>
    <r>
      <rPr>
        <sz val="12"/>
        <rFont val="Calibri"/>
        <family val="2"/>
      </rPr>
      <t>Ω</t>
    </r>
  </si>
  <si>
    <t>1.8V VDDIO</t>
  </si>
  <si>
    <r>
      <t>4k</t>
    </r>
    <r>
      <rPr>
        <sz val="12"/>
        <rFont val="Calibri"/>
        <family val="2"/>
      </rPr>
      <t>Ω</t>
    </r>
  </si>
  <si>
    <r>
      <t>0.8k</t>
    </r>
    <r>
      <rPr>
        <sz val="12"/>
        <rFont val="Calibri"/>
        <family val="2"/>
      </rPr>
      <t>Ω</t>
    </r>
  </si>
  <si>
    <t>Bootstrap Pin Number</t>
  </si>
  <si>
    <t xml:space="preserve">RX_DV </t>
  </si>
  <si>
    <t xml:space="preserve">RX_ER </t>
  </si>
  <si>
    <t>Pin Number</t>
  </si>
  <si>
    <t>Clock (25MHz XTAL)</t>
  </si>
  <si>
    <t>Clock (25MHz Oscillator)</t>
  </si>
  <si>
    <t>Clock (50MHz Oscillator)</t>
  </si>
  <si>
    <t>SGMII (4-wire)</t>
  </si>
  <si>
    <t>MII Mode</t>
  </si>
  <si>
    <t>RGMII Mode</t>
  </si>
  <si>
    <t>SGMII Mode</t>
  </si>
  <si>
    <t>TX_ER (Optional)</t>
  </si>
  <si>
    <t>Straps</t>
  </si>
  <si>
    <t>RMII Master Mode</t>
  </si>
  <si>
    <t>RMII Slave Mode</t>
  </si>
  <si>
    <t>Autonomous</t>
  </si>
  <si>
    <t>Pin Name</t>
  </si>
  <si>
    <t xml:space="preserve">Is the smallest capacitor placed closest to the PHY? </t>
  </si>
  <si>
    <t>Sleep mode used?</t>
  </si>
  <si>
    <t>Yes</t>
  </si>
  <si>
    <t>No</t>
  </si>
  <si>
    <t>Supply voltage: 3.3 V</t>
  </si>
  <si>
    <t>Active-LOW reset. Assert LOW for at least 1 μs for reset, which reinitializes all internal registers to default values and resamples bootstrap configuration.</t>
  </si>
  <si>
    <t>Reset and Interrupt</t>
  </si>
  <si>
    <t>Strap Tool</t>
  </si>
  <si>
    <t>Other</t>
  </si>
  <si>
    <t>Do Not Connect (leave floating)</t>
  </si>
  <si>
    <t>Expected Reg 0x45D Value in Hex</t>
  </si>
  <si>
    <t>Questions</t>
  </si>
  <si>
    <t>Questions (if any)</t>
  </si>
  <si>
    <t xml:space="preserve"> Yes/No</t>
  </si>
  <si>
    <t>*Blue squares are selectable</t>
  </si>
  <si>
    <t>Click Me</t>
  </si>
  <si>
    <t>DP83TG720 Schematic Checklist</t>
  </si>
  <si>
    <t>Supply voltage: 1.8 V, 2.5 V, or 3.3 V
Recommended ferrite bead: BLM18HE102SN1</t>
  </si>
  <si>
    <t>VDD1P0</t>
  </si>
  <si>
    <t>21
9</t>
  </si>
  <si>
    <t>34
22</t>
  </si>
  <si>
    <t xml:space="preserve">Supply voltage: 3.3 V
Recommended ferrite bead: BLM18KG601SH1
</t>
  </si>
  <si>
    <t>VSLEEP</t>
  </si>
  <si>
    <r>
      <t>Recommended Components:
1. CMC Choke: DLW32MH101XT2
2. DC Blocking Capacitors: 0.1uF, 100V, 1%
3. Common Mode (CM) Termination Resistors: 1k</t>
    </r>
    <r>
      <rPr>
        <sz val="12"/>
        <color theme="1"/>
        <rFont val="Calibri"/>
        <family val="2"/>
      </rPr>
      <t>Ω, 1%, size 0805 or larger
4. MDI Coupling Capacitor: 4.7nF</t>
    </r>
    <r>
      <rPr>
        <sz val="12"/>
        <color theme="1"/>
        <rFont val="Calibri"/>
        <family val="2"/>
        <scheme val="minor"/>
      </rPr>
      <t xml:space="preserve">
5. ESD Shunt: 100k</t>
    </r>
    <r>
      <rPr>
        <sz val="12"/>
        <color theme="1"/>
        <rFont val="Calibri"/>
        <family val="2"/>
      </rPr>
      <t>Ω, 5%, size 0805</t>
    </r>
    <r>
      <rPr>
        <sz val="12"/>
        <color theme="1"/>
        <rFont val="Calibri"/>
        <family val="2"/>
        <scheme val="minor"/>
      </rPr>
      <t xml:space="preserve"> or larger</t>
    </r>
  </si>
  <si>
    <r>
      <t>Leave option to isolate connector ground from board ground (for EMC concerns) Populate two 0.25W, 1206 or larger, 0</t>
    </r>
    <r>
      <rPr>
        <sz val="12"/>
        <color theme="1"/>
        <rFont val="Calibri"/>
        <family val="2"/>
      </rPr>
      <t>Ω isolation resistors and leave placeholders for two isolation capacitors</t>
    </r>
  </si>
  <si>
    <t>Active-LOW output, which will be asserted LOW when an interrupt condition occurs. Connect to processor if interrupts are used, leave floating if unused</t>
  </si>
  <si>
    <t>Sleep/Wake pins</t>
  </si>
  <si>
    <r>
      <t>Open Drain output, asserted HIGH when the PHY is in operational mode. This pin is released by the PHY when in sleep state and pulled low via external 10k</t>
    </r>
    <r>
      <rPr>
        <sz val="12"/>
        <color theme="1"/>
        <rFont val="Calibri"/>
        <family val="2"/>
      </rPr>
      <t>Ω</t>
    </r>
    <r>
      <rPr>
        <sz val="12"/>
        <color theme="1"/>
        <rFont val="Calibri"/>
        <family val="2"/>
        <scheme val="minor"/>
      </rPr>
      <t xml:space="preserve"> resistor. Connect INH to enable pin of voltage regulator/PMIC which enables VDDIO/VDD1P0/VDDA supplies.
If sleep mode is used, INH must have a pull-down of 10k</t>
    </r>
    <r>
      <rPr>
        <sz val="12"/>
        <color theme="1"/>
        <rFont val="Calibri"/>
        <family val="2"/>
      </rPr>
      <t>Ω</t>
    </r>
    <r>
      <rPr>
        <sz val="12"/>
        <color theme="1"/>
        <rFont val="Calibri"/>
        <family val="2"/>
        <scheme val="minor"/>
      </rPr>
      <t>.  If sleep mode is not used, this pin can be left floating</t>
    </r>
  </si>
  <si>
    <t>3.3V pulse on WAKE pin wakes up the PHY from sleep state. External 10kohm pull down should be used and WAKE pin connected to CPU/MCU.
If sleep mode of phy is not used, this pin should be connected to VSLEEP</t>
  </si>
  <si>
    <t>Connect to Host driving the SMI clock for PHY register programming. Maximum of  20Mhz. This pin should NOT have an external pullup resistor.
Ensure setup and hold requirements given to the right are met</t>
  </si>
  <si>
    <r>
      <t>This pin requires a pullup resistor of 2.2k</t>
    </r>
    <r>
      <rPr>
        <sz val="12"/>
        <color theme="1"/>
        <rFont val="Calibri"/>
        <family val="2"/>
      </rPr>
      <t>Ω</t>
    </r>
    <r>
      <rPr>
        <sz val="12"/>
        <color theme="1"/>
        <rFont val="Calibri"/>
        <family val="2"/>
        <scheme val="minor"/>
      </rPr>
      <t xml:space="preserve"> to VDDIO</t>
    </r>
  </si>
  <si>
    <t>Link status LED. Also used as a strap pin. Required strapping circuit shwn to the right</t>
  </si>
  <si>
    <t>Link status and blink for TX/RX activity LED. Also used as a strap pin. Required strapping circuit shown to the right</t>
  </si>
  <si>
    <t>CLKOUT/GPIO_2</t>
  </si>
  <si>
    <t>Buffered replication of 25Mhz XI clock. If not used, clock output can be turned off by writing register 0x453 = 0x0006</t>
  </si>
  <si>
    <t>17, 18, 19, 20</t>
  </si>
  <si>
    <t>DP83TG720 Layout Checklist</t>
  </si>
  <si>
    <t>Expected Reg 0x45E Value in Hex</t>
  </si>
  <si>
    <t>Slave</t>
  </si>
  <si>
    <t>LED_1</t>
  </si>
  <si>
    <t xml:space="preserve">TX Delay enabled </t>
  </si>
  <si>
    <t>RX delay enabled</t>
  </si>
  <si>
    <t>SGMII Enabled</t>
  </si>
  <si>
    <t>RGMII enabled</t>
  </si>
  <si>
    <t>00000</t>
  </si>
  <si>
    <t>00100</t>
  </si>
  <si>
    <t>00101</t>
  </si>
  <si>
    <t>01000</t>
  </si>
  <si>
    <t>01010</t>
  </si>
  <si>
    <t>01100</t>
  </si>
  <si>
    <t>01101</t>
  </si>
  <si>
    <t>01110</t>
  </si>
  <si>
    <t>01111</t>
  </si>
  <si>
    <t>Supply voltage: 1.0 V
Recommended ferrite bead: BLM18KG601SH1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</si>
</sst>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9"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sz val="12"/>
      <name val="Calibri"/>
      <family val="2"/>
      <scheme val="minor"/>
    </font>
    <font>
      <sz val="11"/>
      <name val="Calibri"/>
      <family val="2"/>
      <scheme val="minor"/>
    </font>
    <font>
      <b/>
      <sz val="12"/>
      <name val="Calibri"/>
      <family val="2"/>
      <scheme val="minor"/>
    </font>
    <font>
      <b/>
      <vertAlign val="subscript"/>
      <sz val="12"/>
      <name val="Calibri"/>
      <family val="2"/>
      <scheme val="minor"/>
    </font>
    <font>
      <sz val="12"/>
      <color theme="1"/>
      <name val="Calibri"/>
      <family val="2"/>
    </font>
    <font>
      <sz val="12"/>
      <name val="Calibri"/>
      <family val="2"/>
    </font>
    <font>
      <b/>
      <sz val="18"/>
      <color theme="1"/>
      <name val="Calibri"/>
      <family val="2"/>
      <scheme val="minor"/>
    </font>
    <font>
      <sz val="18"/>
      <color theme="1"/>
      <name val="Calibri"/>
      <family val="2"/>
      <scheme val="minor"/>
    </font>
    <font>
      <b/>
      <sz val="16"/>
      <name val="Calibri"/>
      <family val="2"/>
      <scheme val="minor"/>
    </font>
    <font>
      <b/>
      <sz val="26"/>
      <color theme="1"/>
      <name val="Calibri"/>
      <family val="2"/>
      <scheme val="minor"/>
    </font>
    <font>
      <b/>
      <i/>
      <sz val="18"/>
      <color theme="1"/>
      <name val="Calibri"/>
      <family val="2"/>
      <scheme val="minor"/>
    </font>
    <font>
      <b/>
      <i/>
      <u/>
      <sz val="12"/>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F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top/>
      <bottom/>
      <diagonal/>
    </border>
  </borders>
  <cellStyleXfs count="2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2" fillId="0" borderId="0"/>
    <xf numFmtId="0" fontId="1" fillId="0" borderId="0"/>
    <xf numFmtId="0" fontId="4" fillId="0" borderId="0" applyNumberFormat="0" applyFill="0" applyBorder="0" applyAlignment="0" applyProtection="0"/>
  </cellStyleXfs>
  <cellXfs count="99">
    <xf numFmtId="0" fontId="0" fillId="0" borderId="0" xfId="0"/>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vertical="center" wrapText="1"/>
    </xf>
    <xf numFmtId="0" fontId="7" fillId="0" borderId="0" xfId="0" applyFont="1"/>
    <xf numFmtId="0" fontId="0" fillId="0" borderId="1" xfId="0" applyBorder="1" applyAlignment="1">
      <alignment horizontal="left" vertical="center" wrapText="1"/>
    </xf>
    <xf numFmtId="0" fontId="0" fillId="4" borderId="1" xfId="0" applyFill="1" applyBorder="1" applyAlignment="1">
      <alignment horizontal="center" vertical="center" wrapText="1"/>
    </xf>
    <xf numFmtId="0" fontId="7" fillId="0" borderId="0" xfId="0" applyFont="1" applyAlignment="1">
      <alignment horizontal="center"/>
    </xf>
    <xf numFmtId="0" fontId="7" fillId="0" borderId="0" xfId="21" applyFont="1"/>
    <xf numFmtId="0" fontId="0" fillId="0" borderId="1" xfId="0" applyBorder="1" applyAlignment="1">
      <alignment vertical="center" wrapText="1"/>
    </xf>
    <xf numFmtId="2" fontId="7" fillId="0" borderId="0" xfId="0" applyNumberFormat="1" applyFont="1"/>
    <xf numFmtId="164" fontId="7" fillId="0" borderId="0" xfId="0" applyNumberFormat="1" applyFont="1"/>
    <xf numFmtId="0" fontId="3" fillId="0" borderId="1" xfId="0" applyFont="1" applyBorder="1" applyAlignment="1">
      <alignment horizontal="center" vertical="center"/>
    </xf>
    <xf numFmtId="0" fontId="0" fillId="0" borderId="1" xfId="0" applyBorder="1" applyAlignment="1">
      <alignment vertical="center"/>
    </xf>
    <xf numFmtId="0" fontId="13" fillId="8" borderId="1" xfId="0" applyFont="1" applyFill="1" applyBorder="1" applyAlignment="1">
      <alignment vertical="center"/>
    </xf>
    <xf numFmtId="0" fontId="0" fillId="8" borderId="1" xfId="0" applyFill="1" applyBorder="1"/>
    <xf numFmtId="0" fontId="13" fillId="8" borderId="1" xfId="0" applyFont="1" applyFill="1" applyBorder="1" applyAlignment="1">
      <alignment vertical="center" wrapText="1"/>
    </xf>
    <xf numFmtId="0" fontId="16" fillId="0" borderId="0" xfId="0" applyFont="1" applyAlignment="1">
      <alignment horizontal="center" vertical="center" wrapText="1"/>
    </xf>
    <xf numFmtId="0" fontId="14" fillId="2" borderId="1" xfId="0" applyFont="1" applyFill="1" applyBorder="1" applyAlignment="1">
      <alignment vertical="center" wrapText="1"/>
    </xf>
    <xf numFmtId="0" fontId="16" fillId="0" borderId="0" xfId="0" applyFont="1" applyAlignment="1">
      <alignment vertical="center" wrapText="1"/>
    </xf>
    <xf numFmtId="0" fontId="3" fillId="8" borderId="1" xfId="0" applyFont="1" applyFill="1" applyBorder="1"/>
    <xf numFmtId="0" fontId="0" fillId="0" borderId="1" xfId="0" applyBorder="1" applyAlignment="1">
      <alignment wrapText="1"/>
    </xf>
    <xf numFmtId="0" fontId="0" fillId="4" borderId="1" xfId="0" applyFill="1" applyBorder="1"/>
    <xf numFmtId="0" fontId="0" fillId="0" borderId="1" xfId="0" applyBorder="1" applyAlignment="1">
      <alignment horizontal="center"/>
    </xf>
    <xf numFmtId="0" fontId="3" fillId="2" borderId="1" xfId="0" applyFont="1" applyFill="1" applyBorder="1" applyAlignment="1">
      <alignment horizontal="center"/>
    </xf>
    <xf numFmtId="0" fontId="0" fillId="0" borderId="0" xfId="0" applyAlignment="1">
      <alignment wrapText="1"/>
    </xf>
    <xf numFmtId="0" fontId="14" fillId="2" borderId="1" xfId="0" quotePrefix="1" applyFont="1" applyFill="1" applyBorder="1" applyAlignment="1">
      <alignment horizontal="center" vertical="center"/>
    </xf>
    <xf numFmtId="0" fontId="0" fillId="9" borderId="1" xfId="0" applyFill="1" applyBorder="1" applyAlignment="1">
      <alignment horizontal="center" vertical="center" wrapText="1"/>
    </xf>
    <xf numFmtId="0" fontId="17" fillId="9" borderId="0" xfId="0" applyFont="1" applyFill="1" applyAlignment="1">
      <alignment horizontal="center" vertical="center" wrapText="1"/>
    </xf>
    <xf numFmtId="0" fontId="18" fillId="0" borderId="13" xfId="0" applyFont="1" applyBorder="1" applyAlignment="1">
      <alignment horizontal="center"/>
    </xf>
    <xf numFmtId="0" fontId="3" fillId="0" borderId="12" xfId="0" applyFont="1" applyBorder="1" applyAlignment="1">
      <alignment horizontal="center" vertical="center"/>
    </xf>
    <xf numFmtId="0" fontId="0" fillId="0" borderId="10" xfId="0" applyBorder="1"/>
    <xf numFmtId="0" fontId="7" fillId="0" borderId="0" xfId="0" quotePrefix="1" applyFont="1"/>
    <xf numFmtId="0" fontId="8" fillId="0" borderId="0" xfId="21" quotePrefix="1" applyFont="1"/>
    <xf numFmtId="0" fontId="0" fillId="0" borderId="9" xfId="0" applyBorder="1" applyAlignment="1">
      <alignment horizontal="center" vertical="center"/>
    </xf>
    <xf numFmtId="0" fontId="0" fillId="0" borderId="13" xfId="0" applyBorder="1" applyAlignment="1">
      <alignment horizontal="center" vertical="center"/>
    </xf>
    <xf numFmtId="0" fontId="16" fillId="0" borderId="0" xfId="0" applyFont="1" applyAlignment="1">
      <alignment horizontal="center" vertical="center" wrapText="1"/>
    </xf>
    <xf numFmtId="0" fontId="3" fillId="0" borderId="0" xfId="0" applyFont="1" applyAlignment="1">
      <alignment horizontal="left"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3" fillId="8" borderId="9"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1" xfId="0" applyFont="1" applyFill="1" applyBorder="1" applyAlignment="1">
      <alignment horizontal="center" vertical="center"/>
    </xf>
    <xf numFmtId="0" fontId="0" fillId="0" borderId="1" xfId="0" applyBorder="1" applyAlignment="1">
      <alignment horizontal="left" vertical="top" wrapText="1"/>
    </xf>
    <xf numFmtId="0" fontId="0" fillId="8" borderId="9" xfId="0" applyFill="1" applyBorder="1" applyAlignment="1">
      <alignment horizontal="center" vertical="center"/>
    </xf>
    <xf numFmtId="0" fontId="0" fillId="8" borderId="10" xfId="0" applyFill="1" applyBorder="1" applyAlignment="1">
      <alignment horizontal="center" vertical="center"/>
    </xf>
    <xf numFmtId="0" fontId="4" fillId="0" borderId="0" xfId="23" quotePrefix="1" applyFill="1" applyAlignment="1">
      <alignment horizontal="center" vertical="center"/>
    </xf>
    <xf numFmtId="0" fontId="3" fillId="0" borderId="14" xfId="0" applyFont="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top" wrapText="1"/>
    </xf>
    <xf numFmtId="0" fontId="0" fillId="0" borderId="12" xfId="0" applyBorder="1" applyAlignment="1">
      <alignment horizontal="center" vertical="top"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2" xfId="0" applyFont="1" applyBorder="1" applyAlignment="1">
      <alignment horizontal="center" vertical="center" wrapText="1"/>
    </xf>
    <xf numFmtId="0" fontId="0" fillId="8" borderId="9" xfId="0" applyFill="1" applyBorder="1" applyAlignment="1">
      <alignment horizontal="center" vertical="center" wrapText="1"/>
    </xf>
    <xf numFmtId="0" fontId="0" fillId="8" borderId="10" xfId="0" applyFill="1" applyBorder="1" applyAlignment="1">
      <alignment horizontal="center" vertical="center" wrapText="1"/>
    </xf>
    <xf numFmtId="0" fontId="3" fillId="0" borderId="1" xfId="0" applyFont="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3" fillId="0" borderId="1" xfId="0" applyFont="1" applyBorder="1" applyAlignment="1">
      <alignment horizontal="center" vertical="center"/>
    </xf>
    <xf numFmtId="0" fontId="0" fillId="0" borderId="11" xfId="0" applyBorder="1" applyAlignment="1">
      <alignment horizontal="center" wrapText="1"/>
    </xf>
    <xf numFmtId="0" fontId="0" fillId="0" borderId="12" xfId="0" applyBorder="1" applyAlignment="1">
      <alignment horizontal="center" wrapText="1"/>
    </xf>
    <xf numFmtId="0" fontId="15" fillId="5" borderId="1" xfId="0" applyFont="1" applyFill="1" applyBorder="1" applyAlignment="1">
      <alignment horizontal="center" vertical="center"/>
    </xf>
    <xf numFmtId="1" fontId="7" fillId="7" borderId="1" xfId="0" applyNumberFormat="1" applyFont="1" applyFill="1" applyBorder="1" applyAlignment="1">
      <alignment horizontal="center" vertical="center"/>
    </xf>
    <xf numFmtId="0" fontId="7" fillId="7" borderId="1" xfId="0" applyFont="1" applyFill="1" applyBorder="1" applyAlignment="1">
      <alignment horizontal="center"/>
    </xf>
    <xf numFmtId="0" fontId="9" fillId="8" borderId="5" xfId="0" applyFont="1" applyFill="1" applyBorder="1" applyAlignment="1">
      <alignment horizontal="center"/>
    </xf>
    <xf numFmtId="0" fontId="9" fillId="8" borderId="6" xfId="0" applyFont="1" applyFill="1" applyBorder="1" applyAlignment="1">
      <alignment horizontal="center"/>
    </xf>
    <xf numFmtId="0" fontId="7" fillId="6" borderId="1" xfId="0" applyFont="1" applyFill="1" applyBorder="1" applyAlignment="1">
      <alignment horizontal="center"/>
    </xf>
    <xf numFmtId="0" fontId="7" fillId="6" borderId="2" xfId="0" applyFont="1" applyFill="1" applyBorder="1" applyAlignment="1">
      <alignment horizontal="center"/>
    </xf>
    <xf numFmtId="0" fontId="9" fillId="7" borderId="7" xfId="0" applyFont="1" applyFill="1" applyBorder="1" applyAlignment="1">
      <alignment horizontal="right" vertical="center"/>
    </xf>
    <xf numFmtId="0" fontId="9" fillId="7" borderId="1" xfId="0" applyFont="1" applyFill="1" applyBorder="1" applyAlignment="1">
      <alignment horizontal="right" vertical="center"/>
    </xf>
    <xf numFmtId="0" fontId="7" fillId="3" borderId="1" xfId="0" applyFont="1" applyFill="1" applyBorder="1" applyAlignment="1">
      <alignment horizontal="center" vertical="center"/>
    </xf>
    <xf numFmtId="0" fontId="9" fillId="8" borderId="4" xfId="0" applyFont="1" applyFill="1" applyBorder="1" applyAlignment="1">
      <alignment horizontal="center"/>
    </xf>
    <xf numFmtId="0" fontId="9" fillId="7" borderId="8" xfId="0" applyFont="1" applyFill="1" applyBorder="1" applyAlignment="1">
      <alignment horizontal="right" vertical="center"/>
    </xf>
    <xf numFmtId="0" fontId="9" fillId="7" borderId="3" xfId="0" applyFont="1" applyFill="1" applyBorder="1" applyAlignment="1">
      <alignment horizontal="right" vertical="center"/>
    </xf>
    <xf numFmtId="0" fontId="7" fillId="3" borderId="3" xfId="0" applyFont="1" applyFill="1" applyBorder="1" applyAlignment="1">
      <alignment horizontal="center" vertical="center"/>
    </xf>
    <xf numFmtId="0" fontId="7" fillId="7" borderId="17" xfId="0" applyFont="1" applyFill="1" applyBorder="1" applyAlignment="1">
      <alignment horizontal="center"/>
    </xf>
    <xf numFmtId="0" fontId="7" fillId="7" borderId="18" xfId="0" applyFont="1" applyFill="1" applyBorder="1" applyAlignment="1">
      <alignment horizontal="center"/>
    </xf>
    <xf numFmtId="0" fontId="7" fillId="7" borderId="19" xfId="0" applyFont="1" applyFill="1" applyBorder="1" applyAlignment="1">
      <alignment horizontal="center"/>
    </xf>
    <xf numFmtId="0" fontId="0" fillId="0" borderId="1" xfId="0" applyBorder="1" applyAlignment="1">
      <alignment horizontal="center"/>
    </xf>
    <xf numFmtId="0" fontId="3" fillId="8" borderId="9"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cellXfs>
  <cellStyles count="24">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15" builtinId="8" hidden="1"/>
    <cellStyle name="Hyperlink" xfId="17" builtinId="8" hidden="1"/>
    <cellStyle name="Hyperlink" xfId="19" builtinId="8" hidden="1"/>
    <cellStyle name="Hyperlink" xfId="13" builtinId="8" hidden="1"/>
    <cellStyle name="Hyperlink" xfId="7" builtinId="8" hidden="1"/>
    <cellStyle name="Hyperlink" xfId="9" builtinId="8" hidden="1"/>
    <cellStyle name="Hyperlink" xfId="11" builtinId="8" hidden="1"/>
    <cellStyle name="Hyperlink" xfId="3" builtinId="8" hidden="1"/>
    <cellStyle name="Hyperlink" xfId="5" builtinId="8" hidden="1"/>
    <cellStyle name="Hyperlink" xfId="1" builtinId="8" hidden="1"/>
    <cellStyle name="Hyperlink" xfId="23" builtinId="8"/>
    <cellStyle name="Normal" xfId="0" builtinId="0"/>
    <cellStyle name="Normal 2" xfId="21" xr:uid="{00000000-0005-0000-0000-000016000000}"/>
    <cellStyle name="Normal 3" xfId="22" xr:uid="{00000000-0005-0000-0000-000017000000}"/>
  </cellStyles>
  <dxfs count="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dxf>
  </dxfs>
  <tableStyles count="0" defaultTableStyle="TableStyleMedium9" defaultPivotStyle="PivotStyleMedium7"/>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List" dx="22" fmlaRange="$1:$1048576" noThreeD="1" sel="2" val="0"/>
</file>

<file path=xl/ctrlProps/ctrlProp2.xml><?xml version="1.0" encoding="utf-8"?>
<formControlPr xmlns="http://schemas.microsoft.com/office/spreadsheetml/2009/9/main" objectType="List" dx="22" fmlaRange="$1:$1048576" noThreeD="1" sel="2" val="0"/>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emf"/><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drawing4.xml.rels><?xml version="1.0" encoding="UTF-8" standalone="yes"?>
<Relationships xmlns="http://schemas.openxmlformats.org/package/2006/relationships"><Relationship Id="rId8" Type="http://schemas.openxmlformats.org/officeDocument/2006/relationships/image" Target="../media/image29.png"/><Relationship Id="rId3" Type="http://schemas.openxmlformats.org/officeDocument/2006/relationships/image" Target="../media/image24.png"/><Relationship Id="rId7" Type="http://schemas.openxmlformats.org/officeDocument/2006/relationships/image" Target="../media/image28.png"/><Relationship Id="rId2" Type="http://schemas.microsoft.com/office/2007/relationships/hdphoto" Target="../media/hdphoto1.wdp"/><Relationship Id="rId1" Type="http://schemas.openxmlformats.org/officeDocument/2006/relationships/image" Target="../media/image23.png"/><Relationship Id="rId6" Type="http://schemas.openxmlformats.org/officeDocument/2006/relationships/image" Target="../media/image27.png"/><Relationship Id="rId11" Type="http://schemas.openxmlformats.org/officeDocument/2006/relationships/image" Target="../media/image32.png"/><Relationship Id="rId5" Type="http://schemas.openxmlformats.org/officeDocument/2006/relationships/image" Target="../media/image26.png"/><Relationship Id="rId10" Type="http://schemas.openxmlformats.org/officeDocument/2006/relationships/image" Target="../media/image31.png"/><Relationship Id="rId4" Type="http://schemas.openxmlformats.org/officeDocument/2006/relationships/image" Target="../media/image25.png"/><Relationship Id="rId9"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17.emf"/><Relationship Id="rId1" Type="http://schemas.openxmlformats.org/officeDocument/2006/relationships/image" Target="../media/image16.emf"/><Relationship Id="rId4"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oneCellAnchor>
    <xdr:from>
      <xdr:col>6</xdr:col>
      <xdr:colOff>1527720</xdr:colOff>
      <xdr:row>17</xdr:row>
      <xdr:rowOff>27966</xdr:rowOff>
    </xdr:from>
    <xdr:ext cx="1838484" cy="1736240"/>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
        <a:stretch>
          <a:fillRect/>
        </a:stretch>
      </xdr:blipFill>
      <xdr:spPr>
        <a:xfrm>
          <a:off x="11005095" y="13029591"/>
          <a:ext cx="1838484" cy="1736240"/>
        </a:xfrm>
        <a:prstGeom prst="rect">
          <a:avLst/>
        </a:prstGeom>
      </xdr:spPr>
    </xdr:pic>
    <xdr:clientData/>
  </xdr:oneCellAnchor>
  <xdr:oneCellAnchor>
    <xdr:from>
      <xdr:col>6</xdr:col>
      <xdr:colOff>1343569</xdr:colOff>
      <xdr:row>21</xdr:row>
      <xdr:rowOff>129815</xdr:rowOff>
    </xdr:from>
    <xdr:ext cx="2080986" cy="1314306"/>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90390" y="17465315"/>
          <a:ext cx="2080986" cy="1314306"/>
        </a:xfrm>
        <a:prstGeom prst="rect">
          <a:avLst/>
        </a:prstGeom>
      </xdr:spPr>
    </xdr:pic>
    <xdr:clientData/>
  </xdr:oneCellAnchor>
  <xdr:oneCellAnchor>
    <xdr:from>
      <xdr:col>6</xdr:col>
      <xdr:colOff>78177</xdr:colOff>
      <xdr:row>4</xdr:row>
      <xdr:rowOff>69108</xdr:rowOff>
    </xdr:from>
    <xdr:ext cx="4961910" cy="1970080"/>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005948" y="1342737"/>
          <a:ext cx="4961910" cy="1970080"/>
        </a:xfrm>
        <a:prstGeom prst="rect">
          <a:avLst/>
        </a:prstGeom>
      </xdr:spPr>
    </xdr:pic>
    <xdr:clientData/>
  </xdr:oneCellAnchor>
  <xdr:oneCellAnchor>
    <xdr:from>
      <xdr:col>6</xdr:col>
      <xdr:colOff>62518</xdr:colOff>
      <xdr:row>6</xdr:row>
      <xdr:rowOff>82246</xdr:rowOff>
    </xdr:from>
    <xdr:ext cx="4974142" cy="1104297"/>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990289" y="5557760"/>
          <a:ext cx="4974142" cy="1104297"/>
        </a:xfrm>
        <a:prstGeom prst="rect">
          <a:avLst/>
        </a:prstGeom>
      </xdr:spPr>
    </xdr:pic>
    <xdr:clientData/>
  </xdr:oneCellAnchor>
  <xdr:oneCellAnchor>
    <xdr:from>
      <xdr:col>6</xdr:col>
      <xdr:colOff>1251858</xdr:colOff>
      <xdr:row>26</xdr:row>
      <xdr:rowOff>0</xdr:rowOff>
    </xdr:from>
    <xdr:ext cx="2544535" cy="2027471"/>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198679" y="21472279"/>
          <a:ext cx="2544535" cy="2027471"/>
        </a:xfrm>
        <a:prstGeom prst="rect">
          <a:avLst/>
        </a:prstGeom>
      </xdr:spPr>
    </xdr:pic>
    <xdr:clientData/>
  </xdr:oneCellAnchor>
  <xdr:oneCellAnchor>
    <xdr:from>
      <xdr:col>6</xdr:col>
      <xdr:colOff>359992</xdr:colOff>
      <xdr:row>20</xdr:row>
      <xdr:rowOff>11430</xdr:rowOff>
    </xdr:from>
    <xdr:ext cx="4353526" cy="1567787"/>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0287763" y="18854601"/>
          <a:ext cx="4353526" cy="1567787"/>
        </a:xfrm>
        <a:prstGeom prst="rect">
          <a:avLst/>
        </a:prstGeom>
      </xdr:spPr>
    </xdr:pic>
    <xdr:clientData/>
  </xdr:oneCellAnchor>
  <xdr:oneCellAnchor>
    <xdr:from>
      <xdr:col>6</xdr:col>
      <xdr:colOff>803303</xdr:colOff>
      <xdr:row>12</xdr:row>
      <xdr:rowOff>51144</xdr:rowOff>
    </xdr:from>
    <xdr:ext cx="3823129" cy="1596470"/>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731074" y="11154573"/>
          <a:ext cx="3823129" cy="1596470"/>
        </a:xfrm>
        <a:prstGeom prst="rect">
          <a:avLst/>
        </a:prstGeom>
      </xdr:spPr>
    </xdr:pic>
    <xdr:clientData/>
  </xdr:oneCellAnchor>
  <mc:AlternateContent xmlns:mc="http://schemas.openxmlformats.org/markup-compatibility/2006">
    <mc:Choice xmlns:a14="http://schemas.microsoft.com/office/drawing/2010/main" Requires="a14">
      <xdr:oneCellAnchor>
        <xdr:from>
          <xdr:col>6</xdr:col>
          <xdr:colOff>5121</xdr:colOff>
          <xdr:row>15</xdr:row>
          <xdr:rowOff>12167</xdr:rowOff>
        </xdr:from>
        <xdr:ext cx="5056737" cy="1686005"/>
        <xdr:pic>
          <xdr:nvPicPr>
            <xdr:cNvPr id="13" name="Picture 12">
              <a:extLst>
                <a:ext uri="{FF2B5EF4-FFF2-40B4-BE49-F238E27FC236}">
                  <a16:creationId xmlns:a16="http://schemas.microsoft.com/office/drawing/2014/main" id="{00000000-0008-0000-0000-00000D000000}"/>
                </a:ext>
              </a:extLst>
            </xdr:cNvPr>
            <xdr:cNvPicPr>
              <a:picLocks noChangeAspect="1" noChangeArrowheads="1"/>
              <a:extLst>
                <a:ext uri="{84589F7E-364E-4C9E-8A38-B11213B215E9}">
                  <a14:cameraTool cellRange="Pics2" spid="_x0000_s10342"/>
                </a:ext>
              </a:extLst>
            </xdr:cNvPicPr>
          </xdr:nvPicPr>
          <xdr:blipFill>
            <a:blip xmlns:r="http://schemas.openxmlformats.org/officeDocument/2006/relationships" r:embed="rId8"/>
            <a:srcRect/>
            <a:stretch>
              <a:fillRect/>
            </a:stretch>
          </xdr:blipFill>
          <xdr:spPr bwMode="auto">
            <a:xfrm>
              <a:off x="9932892" y="14294224"/>
              <a:ext cx="5056737" cy="1686005"/>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6</xdr:col>
          <xdr:colOff>8724</xdr:colOff>
          <xdr:row>14</xdr:row>
          <xdr:rowOff>37699</xdr:rowOff>
        </xdr:from>
        <xdr:ext cx="5085791" cy="1061758"/>
        <xdr:pic>
          <xdr:nvPicPr>
            <xdr:cNvPr id="14" name="Picture 13">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Pics" spid="_x0000_s10343"/>
                </a:ext>
              </a:extLst>
            </xdr:cNvPicPr>
          </xdr:nvPicPr>
          <xdr:blipFill>
            <a:blip xmlns:r="http://schemas.openxmlformats.org/officeDocument/2006/relationships" r:embed="rId9"/>
            <a:srcRect/>
            <a:stretch>
              <a:fillRect/>
            </a:stretch>
          </xdr:blipFill>
          <xdr:spPr bwMode="auto">
            <a:xfrm>
              <a:off x="9936495" y="13176756"/>
              <a:ext cx="5085791" cy="1061758"/>
            </a:xfrm>
            <a:prstGeom prst="rect">
              <a:avLst/>
            </a:prstGeom>
            <a:noFill/>
            <a:extLst>
              <a:ext uri="{909E8E84-426E-40DD-AFC4-6F175D3DCCD1}">
                <a14:hiddenFill>
                  <a:solidFill>
                    <a:srgbClr val="FFFFFF"/>
                  </a:solidFill>
                </a14:hiddenFill>
              </a:ext>
            </a:extLst>
          </xdr:spPr>
        </xdr:pic>
        <xdr:clientData/>
      </xdr:oneCellAnchor>
    </mc:Choice>
    <mc:Fallback/>
  </mc:AlternateContent>
  <xdr:oneCellAnchor>
    <xdr:from>
      <xdr:col>6</xdr:col>
      <xdr:colOff>1647825</xdr:colOff>
      <xdr:row>24</xdr:row>
      <xdr:rowOff>73413</xdr:rowOff>
    </xdr:from>
    <xdr:ext cx="1819275" cy="1243898"/>
    <xdr:pic>
      <xdr:nvPicPr>
        <xdr:cNvPr id="16" name="Picture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25200" y="21323688"/>
          <a:ext cx="1819275" cy="12438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oneCellAnchor>
        <xdr:from>
          <xdr:col>6</xdr:col>
          <xdr:colOff>26894</xdr:colOff>
          <xdr:row>26</xdr:row>
          <xdr:rowOff>44825</xdr:rowOff>
        </xdr:from>
        <xdr:ext cx="5065059" cy="4052045"/>
        <xdr:pic>
          <xdr:nvPicPr>
            <xdr:cNvPr id="17" name="Picture 16">
              <a:extLst>
                <a:ext uri="{FF2B5EF4-FFF2-40B4-BE49-F238E27FC236}">
                  <a16:creationId xmlns:a16="http://schemas.microsoft.com/office/drawing/2014/main" id="{00000000-0008-0000-0000-000011000000}"/>
                </a:ext>
              </a:extLst>
            </xdr:cNvPr>
            <xdr:cNvPicPr>
              <a:picLocks noChangeAspect="1" noChangeArrowheads="1"/>
              <a:extLst>
                <a:ext uri="{84589F7E-364E-4C9E-8A38-B11213B215E9}">
                  <a14:cameraTool cellRange="Pics3" spid="_x0000_s10344"/>
                </a:ext>
              </a:extLst>
            </xdr:cNvPicPr>
          </xdr:nvPicPr>
          <xdr:blipFill>
            <a:blip xmlns:r="http://schemas.openxmlformats.org/officeDocument/2006/relationships" r:embed="rId11"/>
            <a:srcRect/>
            <a:stretch>
              <a:fillRect/>
            </a:stretch>
          </xdr:blipFill>
          <xdr:spPr bwMode="auto">
            <a:xfrm>
              <a:off x="9511553" y="25074284"/>
              <a:ext cx="5065059" cy="4052045"/>
            </a:xfrm>
            <a:prstGeom prst="rect">
              <a:avLst/>
            </a:prstGeom>
            <a:noFill/>
            <a:extLst>
              <a:ext uri="{909E8E84-426E-40DD-AFC4-6F175D3DCCD1}">
                <a14:hiddenFill>
                  <a:solidFill>
                    <a:srgbClr val="FFFFFF"/>
                  </a:solidFill>
                </a14:hiddenFill>
              </a:ext>
            </a:extLst>
          </xdr:spPr>
        </xdr:pic>
        <xdr:clientData/>
      </xdr:oneCellAnchor>
    </mc:Choice>
    <mc:Fallback/>
  </mc:AlternateContent>
  <xdr:oneCellAnchor>
    <xdr:from>
      <xdr:col>6</xdr:col>
      <xdr:colOff>20052</xdr:colOff>
      <xdr:row>41</xdr:row>
      <xdr:rowOff>360946</xdr:rowOff>
    </xdr:from>
    <xdr:ext cx="5043237" cy="2490099"/>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2"/>
        <a:stretch>
          <a:fillRect/>
        </a:stretch>
      </xdr:blipFill>
      <xdr:spPr>
        <a:xfrm>
          <a:off x="9494920" y="19451051"/>
          <a:ext cx="5043237" cy="2490099"/>
        </a:xfrm>
        <a:prstGeom prst="rect">
          <a:avLst/>
        </a:prstGeom>
      </xdr:spPr>
    </xdr:pic>
    <xdr:clientData/>
  </xdr:oneCellAnchor>
  <mc:AlternateContent xmlns:mc="http://schemas.openxmlformats.org/markup-compatibility/2006">
    <mc:Choice xmlns:a14="http://schemas.microsoft.com/office/drawing/2010/main" Requires="a14">
      <xdr:twoCellAnchor editAs="absolute">
        <xdr:from>
          <xdr:col>6</xdr:col>
          <xdr:colOff>48759</xdr:colOff>
          <xdr:row>7</xdr:row>
          <xdr:rowOff>53851</xdr:rowOff>
        </xdr:from>
        <xdr:to>
          <xdr:col>6</xdr:col>
          <xdr:colOff>5076584</xdr:colOff>
          <xdr:row>8</xdr:row>
          <xdr:rowOff>849087</xdr:rowOff>
        </xdr:to>
        <xdr:pic>
          <xdr:nvPicPr>
            <xdr:cNvPr id="15" name="Picture 14">
              <a:extLst>
                <a:ext uri="{FF2B5EF4-FFF2-40B4-BE49-F238E27FC236}">
                  <a16:creationId xmlns:a16="http://schemas.microsoft.com/office/drawing/2014/main" id="{00000000-0008-0000-0000-00000F000000}"/>
                </a:ext>
              </a:extLst>
            </xdr:cNvPr>
            <xdr:cNvPicPr>
              <a:picLocks noChangeAspect="1"/>
              <a:extLst>
                <a:ext uri="{84589F7E-364E-4C9E-8A38-B11213B215E9}">
                  <a14:cameraTool cellRange="Pics4" spid="_x0000_s10345"/>
                </a:ext>
              </a:extLst>
            </xdr:cNvPicPr>
          </xdr:nvPicPr>
          <xdr:blipFill>
            <a:blip xmlns:r="http://schemas.openxmlformats.org/officeDocument/2006/relationships" r:embed="rId13"/>
            <a:stretch>
              <a:fillRect/>
            </a:stretch>
          </xdr:blipFill>
          <xdr:spPr>
            <a:xfrm>
              <a:off x="9976530" y="6944508"/>
              <a:ext cx="5027825" cy="1785836"/>
            </a:xfrm>
            <a:prstGeom prst="rect">
              <a:avLst/>
            </a:prstGeom>
          </xdr:spPr>
        </xdr:pic>
        <xdr:clientData/>
      </xdr:twoCellAnchor>
    </mc:Choice>
    <mc:Fallback/>
  </mc:AlternateContent>
  <xdr:twoCellAnchor editAs="oneCell">
    <xdr:from>
      <xdr:col>6</xdr:col>
      <xdr:colOff>43543</xdr:colOff>
      <xdr:row>5</xdr:row>
      <xdr:rowOff>65317</xdr:rowOff>
    </xdr:from>
    <xdr:to>
      <xdr:col>6</xdr:col>
      <xdr:colOff>5061859</xdr:colOff>
      <xdr:row>5</xdr:row>
      <xdr:rowOff>2012276</xdr:rowOff>
    </xdr:to>
    <xdr:pic>
      <xdr:nvPicPr>
        <xdr:cNvPr id="20" name="Picture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971314" y="3439888"/>
          <a:ext cx="5018316" cy="1946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1251858</xdr:colOff>
      <xdr:row>10</xdr:row>
      <xdr:rowOff>41029</xdr:rowOff>
    </xdr:from>
    <xdr:ext cx="2544535" cy="2027471"/>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1179629" y="23162286"/>
          <a:ext cx="2544535" cy="2027471"/>
        </a:xfrm>
        <a:prstGeom prst="rect">
          <a:avLst/>
        </a:prstGeom>
      </xdr:spPr>
    </xdr:pic>
    <xdr:clientData/>
  </xdr:oneCellAnchor>
  <xdr:twoCellAnchor editAs="oneCell">
    <xdr:from>
      <xdr:col>6</xdr:col>
      <xdr:colOff>29275</xdr:colOff>
      <xdr:row>23</xdr:row>
      <xdr:rowOff>21773</xdr:rowOff>
    </xdr:from>
    <xdr:to>
      <xdr:col>6</xdr:col>
      <xdr:colOff>5061859</xdr:colOff>
      <xdr:row>23</xdr:row>
      <xdr:rowOff>981035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9957046" y="22315716"/>
          <a:ext cx="5032584" cy="95926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114300</xdr:colOff>
          <xdr:row>84</xdr:row>
          <xdr:rowOff>171450</xdr:rowOff>
        </xdr:from>
        <xdr:to>
          <xdr:col>0</xdr:col>
          <xdr:colOff>698500</xdr:colOff>
          <xdr:row>86</xdr:row>
          <xdr:rowOff>76200</xdr:rowOff>
        </xdr:to>
        <xdr:sp macro="" textlink="">
          <xdr:nvSpPr>
            <xdr:cNvPr id="10293" name="List Box 2101" hidden="1">
              <a:extLst>
                <a:ext uri="{63B3BB69-23CF-44E3-9099-C40C66FF867C}">
                  <a14:compatExt spid="_x0000_s10293"/>
                </a:ext>
                <a:ext uri="{FF2B5EF4-FFF2-40B4-BE49-F238E27FC236}">
                  <a16:creationId xmlns:a16="http://schemas.microsoft.com/office/drawing/2014/main" id="{00000000-0008-0000-0000-00003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948024</xdr:colOff>
      <xdr:row>14</xdr:row>
      <xdr:rowOff>198900</xdr:rowOff>
    </xdr:from>
    <xdr:to>
      <xdr:col>4</xdr:col>
      <xdr:colOff>376860</xdr:colOff>
      <xdr:row>18</xdr:row>
      <xdr:rowOff>140235</xdr:rowOff>
    </xdr:to>
    <xdr:sp macro="" textlink="">
      <xdr:nvSpPr>
        <xdr:cNvPr id="17" name="Rounded Rectangle 3">
          <a:extLst>
            <a:ext uri="{FF2B5EF4-FFF2-40B4-BE49-F238E27FC236}">
              <a16:creationId xmlns:a16="http://schemas.microsoft.com/office/drawing/2014/main" id="{00000000-0008-0000-0100-000011000000}"/>
            </a:ext>
          </a:extLst>
        </xdr:cNvPr>
        <xdr:cNvSpPr/>
      </xdr:nvSpPr>
      <xdr:spPr>
        <a:xfrm>
          <a:off x="2646458" y="3320346"/>
          <a:ext cx="1509800" cy="767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the dropdowns to select the desired Strap Configurations </a:t>
          </a:r>
        </a:p>
      </xdr:txBody>
    </xdr:sp>
    <xdr:clientData/>
  </xdr:twoCellAnchor>
  <xdr:twoCellAnchor>
    <xdr:from>
      <xdr:col>3</xdr:col>
      <xdr:colOff>661792</xdr:colOff>
      <xdr:row>12</xdr:row>
      <xdr:rowOff>87982</xdr:rowOff>
    </xdr:from>
    <xdr:to>
      <xdr:col>3</xdr:col>
      <xdr:colOff>1004210</xdr:colOff>
      <xdr:row>14</xdr:row>
      <xdr:rowOff>198900</xdr:rowOff>
    </xdr:to>
    <xdr:cxnSp macro="">
      <xdr:nvCxnSpPr>
        <xdr:cNvPr id="18" name="Straight Arrow Connector 17">
          <a:extLst>
            <a:ext uri="{FF2B5EF4-FFF2-40B4-BE49-F238E27FC236}">
              <a16:creationId xmlns:a16="http://schemas.microsoft.com/office/drawing/2014/main" id="{00000000-0008-0000-0100-000012000000}"/>
            </a:ext>
          </a:extLst>
        </xdr:cNvPr>
        <xdr:cNvCxnSpPr>
          <a:stCxn id="17" idx="0"/>
        </xdr:cNvCxnSpPr>
      </xdr:nvCxnSpPr>
      <xdr:spPr>
        <a:xfrm flipV="1">
          <a:off x="3400708" y="2796295"/>
          <a:ext cx="342418" cy="5240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537057</xdr:colOff>
      <xdr:row>8</xdr:row>
      <xdr:rowOff>31974</xdr:rowOff>
    </xdr:from>
    <xdr:to>
      <xdr:col>24</xdr:col>
      <xdr:colOff>140285</xdr:colOff>
      <xdr:row>10</xdr:row>
      <xdr:rowOff>188232</xdr:rowOff>
    </xdr:to>
    <xdr:sp macro="" textlink="">
      <xdr:nvSpPr>
        <xdr:cNvPr id="19" name="Rounded Rectangle 3">
          <a:extLst>
            <a:ext uri="{FF2B5EF4-FFF2-40B4-BE49-F238E27FC236}">
              <a16:creationId xmlns:a16="http://schemas.microsoft.com/office/drawing/2014/main" id="{00000000-0008-0000-0100-000013000000}"/>
            </a:ext>
          </a:extLst>
        </xdr:cNvPr>
        <xdr:cNvSpPr/>
      </xdr:nvSpPr>
      <xdr:spPr>
        <a:xfrm>
          <a:off x="14141545" y="1630315"/>
          <a:ext cx="2985764" cy="74169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Note: Resistors with 1% tolerance</a:t>
          </a:r>
          <a:r>
            <a:rPr lang="en-US" sz="1100" baseline="0"/>
            <a:t> are required for 2.5V VDDIO operations for PHY Address straps, otherwise use 10% tolerance.</a:t>
          </a:r>
          <a:endParaRPr lang="en-US" sz="1100"/>
        </a:p>
      </xdr:txBody>
    </xdr:sp>
    <xdr:clientData/>
  </xdr:twoCellAnchor>
  <xdr:twoCellAnchor>
    <xdr:from>
      <xdr:col>20</xdr:col>
      <xdr:colOff>18585</xdr:colOff>
      <xdr:row>9</xdr:row>
      <xdr:rowOff>12530</xdr:rowOff>
    </xdr:from>
    <xdr:to>
      <xdr:col>20</xdr:col>
      <xdr:colOff>537057</xdr:colOff>
      <xdr:row>10</xdr:row>
      <xdr:rowOff>120805</xdr:rowOff>
    </xdr:to>
    <xdr:cxnSp macro="">
      <xdr:nvCxnSpPr>
        <xdr:cNvPr id="21" name="Straight Arrow Connector 20">
          <a:extLst>
            <a:ext uri="{FF2B5EF4-FFF2-40B4-BE49-F238E27FC236}">
              <a16:creationId xmlns:a16="http://schemas.microsoft.com/office/drawing/2014/main" id="{00000000-0008-0000-0100-000015000000}"/>
            </a:ext>
          </a:extLst>
        </xdr:cNvPr>
        <xdr:cNvCxnSpPr>
          <a:stCxn id="19" idx="1"/>
        </xdr:cNvCxnSpPr>
      </xdr:nvCxnSpPr>
      <xdr:spPr>
        <a:xfrm flipH="1">
          <a:off x="13623073" y="2001164"/>
          <a:ext cx="518472" cy="3034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9292</xdr:colOff>
      <xdr:row>9</xdr:row>
      <xdr:rowOff>12530</xdr:rowOff>
    </xdr:from>
    <xdr:to>
      <xdr:col>20</xdr:col>
      <xdr:colOff>537057</xdr:colOff>
      <xdr:row>9</xdr:row>
      <xdr:rowOff>102220</xdr:rowOff>
    </xdr:to>
    <xdr:cxnSp macro="">
      <xdr:nvCxnSpPr>
        <xdr:cNvPr id="24" name="Straight Arrow Connector 23">
          <a:extLst>
            <a:ext uri="{FF2B5EF4-FFF2-40B4-BE49-F238E27FC236}">
              <a16:creationId xmlns:a16="http://schemas.microsoft.com/office/drawing/2014/main" id="{00000000-0008-0000-0100-000018000000}"/>
            </a:ext>
          </a:extLst>
        </xdr:cNvPr>
        <xdr:cNvCxnSpPr>
          <a:stCxn id="19" idx="1"/>
        </xdr:cNvCxnSpPr>
      </xdr:nvCxnSpPr>
      <xdr:spPr>
        <a:xfrm flipH="1">
          <a:off x="13613780" y="2001164"/>
          <a:ext cx="527765" cy="896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114300</xdr:colOff>
          <xdr:row>108</xdr:row>
          <xdr:rowOff>133350</xdr:rowOff>
        </xdr:from>
        <xdr:to>
          <xdr:col>0</xdr:col>
          <xdr:colOff>698500</xdr:colOff>
          <xdr:row>110</xdr:row>
          <xdr:rowOff>184150</xdr:rowOff>
        </xdr:to>
        <xdr:sp macro="" textlink="">
          <xdr:nvSpPr>
            <xdr:cNvPr id="11266" name="List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3</xdr:col>
      <xdr:colOff>356577</xdr:colOff>
      <xdr:row>3</xdr:row>
      <xdr:rowOff>24424</xdr:rowOff>
    </xdr:from>
    <xdr:ext cx="2271346" cy="211434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413977" y="424474"/>
          <a:ext cx="2271346" cy="2114340"/>
        </a:xfrm>
        <a:prstGeom prst="rect">
          <a:avLst/>
        </a:prstGeom>
      </xdr:spPr>
    </xdr:pic>
    <xdr:clientData/>
  </xdr:oneCellAnchor>
  <xdr:oneCellAnchor>
    <xdr:from>
      <xdr:col>2</xdr:col>
      <xdr:colOff>1479177</xdr:colOff>
      <xdr:row>51</xdr:row>
      <xdr:rowOff>37694</xdr:rowOff>
    </xdr:from>
    <xdr:ext cx="197" cy="3543654"/>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060202" y="9038819"/>
          <a:ext cx="197" cy="3543654"/>
        </a:xfrm>
        <a:prstGeom prst="rect">
          <a:avLst/>
        </a:prstGeom>
      </xdr:spPr>
    </xdr:pic>
    <xdr:clientData/>
  </xdr:oneCellAnchor>
  <xdr:oneCellAnchor>
    <xdr:from>
      <xdr:col>3</xdr:col>
      <xdr:colOff>418354</xdr:colOff>
      <xdr:row>51</xdr:row>
      <xdr:rowOff>171825</xdr:rowOff>
    </xdr:from>
    <xdr:ext cx="2644588" cy="1693204"/>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2475754" y="9172950"/>
          <a:ext cx="2644588" cy="1693204"/>
        </a:xfrm>
        <a:prstGeom prst="rect">
          <a:avLst/>
        </a:prstGeom>
      </xdr:spPr>
    </xdr:pic>
    <xdr:clientData/>
  </xdr:oneCellAnchor>
  <xdr:oneCellAnchor>
    <xdr:from>
      <xdr:col>3</xdr:col>
      <xdr:colOff>276412</xdr:colOff>
      <xdr:row>20</xdr:row>
      <xdr:rowOff>1</xdr:rowOff>
    </xdr:from>
    <xdr:ext cx="2061883" cy="1558178"/>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2333812" y="3400426"/>
          <a:ext cx="2061883" cy="1558178"/>
        </a:xfrm>
        <a:prstGeom prst="rect">
          <a:avLst/>
        </a:prstGeom>
      </xdr:spPr>
    </xdr:pic>
    <xdr:clientData/>
  </xdr:oneCellAnchor>
  <xdr:twoCellAnchor>
    <xdr:from>
      <xdr:col>3</xdr:col>
      <xdr:colOff>859118</xdr:colOff>
      <xdr:row>20</xdr:row>
      <xdr:rowOff>224118</xdr:rowOff>
    </xdr:from>
    <xdr:to>
      <xdr:col>3</xdr:col>
      <xdr:colOff>1030942</xdr:colOff>
      <xdr:row>22</xdr:row>
      <xdr:rowOff>0</xdr:rowOff>
    </xdr:to>
    <xdr:cxnSp macro="">
      <xdr:nvCxnSpPr>
        <xdr:cNvPr id="6" name="Straight Arrow Connector 5">
          <a:extLst>
            <a:ext uri="{FF2B5EF4-FFF2-40B4-BE49-F238E27FC236}">
              <a16:creationId xmlns:a16="http://schemas.microsoft.com/office/drawing/2014/main" id="{00000000-0008-0000-0200-000006000000}"/>
            </a:ext>
          </a:extLst>
        </xdr:cNvPr>
        <xdr:cNvCxnSpPr/>
      </xdr:nvCxnSpPr>
      <xdr:spPr>
        <a:xfrm>
          <a:off x="2745068" y="3595968"/>
          <a:ext cx="374" cy="204507"/>
        </a:xfrm>
        <a:prstGeom prst="straightConnector1">
          <a:avLst/>
        </a:prstGeom>
        <a:ln w="38100">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857250</xdr:colOff>
      <xdr:row>20</xdr:row>
      <xdr:rowOff>209550</xdr:rowOff>
    </xdr:from>
    <xdr:to>
      <xdr:col>3</xdr:col>
      <xdr:colOff>1029074</xdr:colOff>
      <xdr:row>21</xdr:row>
      <xdr:rowOff>182282</xdr:rowOff>
    </xdr:to>
    <xdr:cxnSp macro="">
      <xdr:nvCxnSpPr>
        <xdr:cNvPr id="7" name="Straight Arrow Connector 6">
          <a:extLst>
            <a:ext uri="{FF2B5EF4-FFF2-40B4-BE49-F238E27FC236}">
              <a16:creationId xmlns:a16="http://schemas.microsoft.com/office/drawing/2014/main" id="{00000000-0008-0000-0200-000007000000}"/>
            </a:ext>
          </a:extLst>
        </xdr:cNvPr>
        <xdr:cNvCxnSpPr/>
      </xdr:nvCxnSpPr>
      <xdr:spPr>
        <a:xfrm>
          <a:off x="2743200" y="3600450"/>
          <a:ext cx="374" cy="182282"/>
        </a:xfrm>
        <a:prstGeom prst="straightConnector1">
          <a:avLst/>
        </a:prstGeom>
        <a:ln w="38100">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xdr:rowOff>
    </xdr:from>
    <xdr:to>
      <xdr:col>2</xdr:col>
      <xdr:colOff>12605</xdr:colOff>
      <xdr:row>0</xdr:row>
      <xdr:rowOff>476251</xdr:rowOff>
    </xdr:to>
    <xdr:pic>
      <xdr:nvPicPr>
        <xdr:cNvPr id="24" name="Picture 23">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99000"/>
                  </a14:imgEffect>
                </a14:imgLayer>
              </a14:imgProps>
            </a:ext>
            <a:ext uri="{28A0092B-C50C-407E-A947-70E740481C1C}">
              <a14:useLocalDpi xmlns:a14="http://schemas.microsoft.com/office/drawing/2010/main" val="0"/>
            </a:ext>
          </a:extLst>
        </a:blip>
        <a:stretch>
          <a:fillRect/>
        </a:stretch>
      </xdr:blipFill>
      <xdr:spPr>
        <a:xfrm>
          <a:off x="1143000" y="1"/>
          <a:ext cx="4194080" cy="476250"/>
        </a:xfrm>
        <a:prstGeom prst="rect">
          <a:avLst/>
        </a:prstGeom>
      </xdr:spPr>
    </xdr:pic>
    <xdr:clientData fLocksWithSheet="0"/>
  </xdr:twoCellAnchor>
  <xdr:twoCellAnchor editAs="oneCell">
    <xdr:from>
      <xdr:col>1</xdr:col>
      <xdr:colOff>9833</xdr:colOff>
      <xdr:row>1</xdr:row>
      <xdr:rowOff>11723</xdr:rowOff>
    </xdr:from>
    <xdr:to>
      <xdr:col>1</xdr:col>
      <xdr:colOff>4159217</xdr:colOff>
      <xdr:row>1</xdr:row>
      <xdr:rowOff>943707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39341" y="597877"/>
          <a:ext cx="4149384" cy="931984"/>
        </a:xfrm>
        <a:prstGeom prst="rect">
          <a:avLst/>
        </a:prstGeom>
      </xdr:spPr>
    </xdr:pic>
    <xdr:clientData/>
  </xdr:twoCellAnchor>
  <xdr:oneCellAnchor>
    <xdr:from>
      <xdr:col>1</xdr:col>
      <xdr:colOff>171450</xdr:colOff>
      <xdr:row>4</xdr:row>
      <xdr:rowOff>25400</xdr:rowOff>
    </xdr:from>
    <xdr:ext cx="3757613" cy="1654274"/>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97050" y="2235200"/>
          <a:ext cx="3757613" cy="1654274"/>
        </a:xfrm>
        <a:prstGeom prst="rect">
          <a:avLst/>
        </a:prstGeom>
      </xdr:spPr>
    </xdr:pic>
    <xdr:clientData/>
  </xdr:oneCellAnchor>
  <xdr:twoCellAnchor editAs="oneCell">
    <xdr:from>
      <xdr:col>1</xdr:col>
      <xdr:colOff>43544</xdr:colOff>
      <xdr:row>8</xdr:row>
      <xdr:rowOff>0</xdr:rowOff>
    </xdr:from>
    <xdr:to>
      <xdr:col>1</xdr:col>
      <xdr:colOff>4150529</xdr:colOff>
      <xdr:row>8</xdr:row>
      <xdr:rowOff>4833257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5"/>
        <a:stretch>
          <a:fillRect/>
        </a:stretch>
      </xdr:blipFill>
      <xdr:spPr>
        <a:xfrm>
          <a:off x="1676401" y="4931229"/>
          <a:ext cx="4106985" cy="4833257"/>
        </a:xfrm>
        <a:prstGeom prst="rect">
          <a:avLst/>
        </a:prstGeom>
      </xdr:spPr>
    </xdr:pic>
    <xdr:clientData/>
  </xdr:twoCellAnchor>
  <xdr:twoCellAnchor editAs="oneCell">
    <xdr:from>
      <xdr:col>1</xdr:col>
      <xdr:colOff>43544</xdr:colOff>
      <xdr:row>11</xdr:row>
      <xdr:rowOff>0</xdr:rowOff>
    </xdr:from>
    <xdr:to>
      <xdr:col>1</xdr:col>
      <xdr:colOff>4136573</xdr:colOff>
      <xdr:row>11</xdr:row>
      <xdr:rowOff>4317647</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6"/>
        <a:stretch>
          <a:fillRect/>
        </a:stretch>
      </xdr:blipFill>
      <xdr:spPr>
        <a:xfrm>
          <a:off x="1676401" y="14325600"/>
          <a:ext cx="4093029" cy="4317647"/>
        </a:xfrm>
        <a:prstGeom prst="rect">
          <a:avLst/>
        </a:prstGeom>
      </xdr:spPr>
    </xdr:pic>
    <xdr:clientData/>
  </xdr:twoCellAnchor>
  <xdr:twoCellAnchor editAs="oneCell">
    <xdr:from>
      <xdr:col>1</xdr:col>
      <xdr:colOff>43544</xdr:colOff>
      <xdr:row>12</xdr:row>
      <xdr:rowOff>0</xdr:rowOff>
    </xdr:from>
    <xdr:to>
      <xdr:col>1</xdr:col>
      <xdr:colOff>4132311</xdr:colOff>
      <xdr:row>12</xdr:row>
      <xdr:rowOff>3842658</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7"/>
        <a:stretch>
          <a:fillRect/>
        </a:stretch>
      </xdr:blipFill>
      <xdr:spPr>
        <a:xfrm>
          <a:off x="1676401" y="18690771"/>
          <a:ext cx="4088767" cy="3842658"/>
        </a:xfrm>
        <a:prstGeom prst="rect">
          <a:avLst/>
        </a:prstGeom>
      </xdr:spPr>
    </xdr:pic>
    <xdr:clientData/>
  </xdr:twoCellAnchor>
  <xdr:twoCellAnchor editAs="oneCell">
    <xdr:from>
      <xdr:col>1</xdr:col>
      <xdr:colOff>293914</xdr:colOff>
      <xdr:row>9</xdr:row>
      <xdr:rowOff>32657</xdr:rowOff>
    </xdr:from>
    <xdr:to>
      <xdr:col>1</xdr:col>
      <xdr:colOff>3886200</xdr:colOff>
      <xdr:row>9</xdr:row>
      <xdr:rowOff>4995122</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8"/>
        <a:stretch>
          <a:fillRect/>
        </a:stretch>
      </xdr:blipFill>
      <xdr:spPr>
        <a:xfrm>
          <a:off x="1926771" y="9862457"/>
          <a:ext cx="3592286" cy="4962465"/>
        </a:xfrm>
        <a:prstGeom prst="rect">
          <a:avLst/>
        </a:prstGeom>
      </xdr:spPr>
    </xdr:pic>
    <xdr:clientData/>
  </xdr:twoCellAnchor>
  <xdr:twoCellAnchor editAs="oneCell">
    <xdr:from>
      <xdr:col>1</xdr:col>
      <xdr:colOff>65314</xdr:colOff>
      <xdr:row>10</xdr:row>
      <xdr:rowOff>65314</xdr:rowOff>
    </xdr:from>
    <xdr:to>
      <xdr:col>1</xdr:col>
      <xdr:colOff>4060371</xdr:colOff>
      <xdr:row>10</xdr:row>
      <xdr:rowOff>5037636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9"/>
        <a:stretch>
          <a:fillRect/>
        </a:stretch>
      </xdr:blipFill>
      <xdr:spPr>
        <a:xfrm>
          <a:off x="1698171" y="15087600"/>
          <a:ext cx="3995057" cy="4972322"/>
        </a:xfrm>
        <a:prstGeom prst="rect">
          <a:avLst/>
        </a:prstGeom>
      </xdr:spPr>
    </xdr:pic>
    <xdr:clientData/>
  </xdr:twoCellAnchor>
  <xdr:twoCellAnchor editAs="oneCell">
    <xdr:from>
      <xdr:col>1</xdr:col>
      <xdr:colOff>51546</xdr:colOff>
      <xdr:row>14</xdr:row>
      <xdr:rowOff>41928</xdr:rowOff>
    </xdr:from>
    <xdr:to>
      <xdr:col>1</xdr:col>
      <xdr:colOff>4119282</xdr:colOff>
      <xdr:row>14</xdr:row>
      <xdr:rowOff>1383457</xdr:rowOff>
    </xdr:to>
    <xdr:pic>
      <xdr:nvPicPr>
        <xdr:cNvPr id="15" name="Picture 14">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1683122" y="30432281"/>
          <a:ext cx="4067736" cy="1341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83445</xdr:colOff>
      <xdr:row>13</xdr:row>
      <xdr:rowOff>331569</xdr:rowOff>
    </xdr:from>
    <xdr:to>
      <xdr:col>1</xdr:col>
      <xdr:colOff>4075051</xdr:colOff>
      <xdr:row>13</xdr:row>
      <xdr:rowOff>1259666</xdr:rowOff>
    </xdr:to>
    <xdr:pic>
      <xdr:nvPicPr>
        <xdr:cNvPr id="16" name="Picture 15">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1715021" y="28830369"/>
          <a:ext cx="3991606" cy="9280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5"/>
  <sheetViews>
    <sheetView tabSelected="1" zoomScale="70" zoomScaleNormal="70" workbookViewId="0">
      <selection activeCell="A2" sqref="A2"/>
    </sheetView>
  </sheetViews>
  <sheetFormatPr defaultColWidth="10.83203125" defaultRowHeight="15.5" x14ac:dyDescent="0.35"/>
  <cols>
    <col min="1" max="1" width="18.5" style="3" customWidth="1"/>
    <col min="2" max="2" width="4.33203125" hidden="1" customWidth="1"/>
    <col min="3" max="3" width="11.58203125" customWidth="1"/>
    <col min="4" max="4" width="16.33203125" style="3" customWidth="1"/>
    <col min="5" max="5" width="16.83203125" style="3" bestFit="1" customWidth="1"/>
    <col min="6" max="7" width="66.83203125" style="6" customWidth="1"/>
    <col min="8" max="8" width="26.5" style="3" customWidth="1"/>
    <col min="9" max="9" width="24.08203125" style="28" customWidth="1"/>
  </cols>
  <sheetData>
    <row r="1" spans="1:9" ht="31.15" customHeight="1" x14ac:dyDescent="0.35">
      <c r="A1" s="39" t="s">
        <v>163</v>
      </c>
      <c r="B1" s="39"/>
      <c r="C1" s="39"/>
      <c r="D1" s="39"/>
      <c r="E1" s="39"/>
      <c r="F1" s="39"/>
    </row>
    <row r="2" spans="1:9" ht="31.15" customHeight="1" x14ac:dyDescent="0.35">
      <c r="A2" s="31" t="s">
        <v>162</v>
      </c>
      <c r="B2" s="40" t="s">
        <v>161</v>
      </c>
      <c r="C2" s="40"/>
      <c r="D2" s="40"/>
      <c r="E2" s="20"/>
      <c r="F2" s="20"/>
    </row>
    <row r="4" spans="1:9" ht="23.25" customHeight="1" x14ac:dyDescent="0.35">
      <c r="A4" s="17" t="s">
        <v>33</v>
      </c>
      <c r="B4" s="18"/>
      <c r="C4" s="43" t="s">
        <v>146</v>
      </c>
      <c r="D4" s="44"/>
      <c r="E4" s="19" t="s">
        <v>133</v>
      </c>
      <c r="F4" s="19" t="s">
        <v>34</v>
      </c>
      <c r="G4" s="19" t="s">
        <v>35</v>
      </c>
      <c r="H4" s="29" t="s">
        <v>160</v>
      </c>
      <c r="I4" s="21" t="s">
        <v>159</v>
      </c>
    </row>
    <row r="5" spans="1:9" ht="165" customHeight="1" x14ac:dyDescent="0.35">
      <c r="A5" s="74" t="s">
        <v>36</v>
      </c>
      <c r="B5" s="1"/>
      <c r="C5" s="65" t="s">
        <v>118</v>
      </c>
      <c r="D5" s="66"/>
      <c r="E5" s="4" t="s">
        <v>167</v>
      </c>
      <c r="F5" s="8" t="s">
        <v>164</v>
      </c>
      <c r="G5" s="9" t="s">
        <v>37</v>
      </c>
      <c r="H5" s="2"/>
      <c r="I5" s="24"/>
    </row>
    <row r="6" spans="1:9" ht="165" customHeight="1" x14ac:dyDescent="0.35">
      <c r="A6" s="74"/>
      <c r="B6" s="1"/>
      <c r="C6" s="65" t="s">
        <v>165</v>
      </c>
      <c r="D6" s="66"/>
      <c r="E6" s="4" t="s">
        <v>166</v>
      </c>
      <c r="F6" s="8" t="s">
        <v>200</v>
      </c>
      <c r="G6" s="9" t="s">
        <v>37</v>
      </c>
      <c r="I6" s="24"/>
    </row>
    <row r="7" spans="1:9" ht="111.65" customHeight="1" x14ac:dyDescent="0.35">
      <c r="A7" s="54"/>
      <c r="B7" s="1"/>
      <c r="C7" s="37" t="s">
        <v>38</v>
      </c>
      <c r="D7" s="38"/>
      <c r="E7" s="2">
        <v>11</v>
      </c>
      <c r="F7" s="8" t="s">
        <v>168</v>
      </c>
      <c r="G7" s="9"/>
      <c r="H7" s="2"/>
      <c r="I7" s="24"/>
    </row>
    <row r="8" spans="1:9" ht="78" customHeight="1" x14ac:dyDescent="0.35">
      <c r="A8" s="54"/>
      <c r="B8" s="1"/>
      <c r="C8" s="68" t="s">
        <v>169</v>
      </c>
      <c r="D8" s="32" t="s">
        <v>148</v>
      </c>
      <c r="E8" s="70">
        <v>7</v>
      </c>
      <c r="F8" s="72" t="s">
        <v>151</v>
      </c>
      <c r="G8" s="55"/>
      <c r="H8" s="54"/>
      <c r="I8" s="75"/>
    </row>
    <row r="9" spans="1:9" ht="70.900000000000006" customHeight="1" x14ac:dyDescent="0.35">
      <c r="A9" s="54"/>
      <c r="B9" s="1"/>
      <c r="C9" s="69"/>
      <c r="D9" s="30" t="s">
        <v>149</v>
      </c>
      <c r="E9" s="71"/>
      <c r="F9" s="73"/>
      <c r="G9" s="56"/>
      <c r="H9" s="54"/>
      <c r="I9" s="76"/>
    </row>
    <row r="10" spans="1:9" ht="18" customHeight="1" x14ac:dyDescent="0.35">
      <c r="A10" s="48"/>
      <c r="B10" s="49"/>
      <c r="C10" s="49"/>
      <c r="D10" s="49"/>
      <c r="E10" s="49"/>
      <c r="F10" s="49"/>
      <c r="G10" s="49"/>
      <c r="H10" s="49"/>
      <c r="I10" s="49"/>
    </row>
    <row r="11" spans="1:9" ht="82.5" customHeight="1" x14ac:dyDescent="0.35">
      <c r="A11" s="59" t="s">
        <v>53</v>
      </c>
      <c r="B11" s="1"/>
      <c r="C11" s="37" t="s">
        <v>54</v>
      </c>
      <c r="D11" s="38"/>
      <c r="E11" s="2">
        <v>13</v>
      </c>
      <c r="F11" s="67" t="s">
        <v>170</v>
      </c>
      <c r="G11" s="47"/>
      <c r="H11" s="70"/>
      <c r="I11" s="75"/>
    </row>
    <row r="12" spans="1:9" ht="82.5" customHeight="1" x14ac:dyDescent="0.35">
      <c r="A12" s="60"/>
      <c r="B12" s="1"/>
      <c r="C12" s="37" t="s">
        <v>55</v>
      </c>
      <c r="D12" s="38"/>
      <c r="E12" s="2">
        <v>12</v>
      </c>
      <c r="F12" s="67"/>
      <c r="G12" s="47"/>
      <c r="H12" s="71"/>
      <c r="I12" s="76"/>
    </row>
    <row r="13" spans="1:9" ht="142.5" customHeight="1" x14ac:dyDescent="0.35">
      <c r="A13" s="61"/>
      <c r="B13" s="1"/>
      <c r="C13" s="37" t="s">
        <v>39</v>
      </c>
      <c r="D13" s="38"/>
      <c r="E13" s="2" t="s">
        <v>40</v>
      </c>
      <c r="F13" s="8" t="s">
        <v>171</v>
      </c>
      <c r="G13" s="4"/>
      <c r="H13" s="2"/>
      <c r="I13" s="24"/>
    </row>
    <row r="14" spans="1:9" ht="18" customHeight="1" x14ac:dyDescent="0.35">
      <c r="A14" s="48"/>
      <c r="B14" s="49"/>
      <c r="C14" s="49"/>
      <c r="D14" s="49"/>
      <c r="E14" s="49"/>
      <c r="F14" s="49"/>
      <c r="G14" s="49"/>
      <c r="H14" s="49"/>
      <c r="I14" s="49"/>
    </row>
    <row r="15" spans="1:9" ht="90" customHeight="1" x14ac:dyDescent="0.35">
      <c r="A15" s="45" t="s">
        <v>134</v>
      </c>
      <c r="B15" s="1"/>
      <c r="C15" s="37" t="s">
        <v>44</v>
      </c>
      <c r="D15" s="38"/>
      <c r="E15" s="2">
        <v>5</v>
      </c>
      <c r="F15" s="8" t="str">
        <f>IF(OR(A15="Clock (25MHz XTAL)", A15="Clock (50MHz XTAL)"), "Contact crystal vendor to tune capacitance values and ensure crystal circuit meets the specifications shown in table to the right. 
Populate 100 ohm series resistor on XI path.", "Ensure Oscillator Input meets  the spec (jitter, ppm, rise/fall time, duty cycle) as defined in datasheet.")</f>
        <v>Contact crystal vendor to tune capacitance values and ensure crystal circuit meets the specifications shown in table to the right. 
Populate 100 ohm series resistor on XI path.</v>
      </c>
      <c r="G15" s="4"/>
      <c r="H15" s="2"/>
      <c r="I15" s="24"/>
    </row>
    <row r="16" spans="1:9" ht="135" customHeight="1" x14ac:dyDescent="0.35">
      <c r="A16" s="45"/>
      <c r="B16" s="1"/>
      <c r="C16" s="37" t="s">
        <v>45</v>
      </c>
      <c r="D16" s="38"/>
      <c r="E16" s="2">
        <v>4</v>
      </c>
      <c r="F16" s="8" t="str">
        <f>IF(A15="Clock (25Mhz XTAL)", "Populate XO series resistor as minimum value required for crystal wattage specification", "Do not connect")</f>
        <v>Populate XO series resistor as minimum value required for crystal wattage specification</v>
      </c>
      <c r="G16" s="4"/>
      <c r="H16" s="2"/>
      <c r="I16" s="24"/>
    </row>
    <row r="17" spans="1:9" ht="18" customHeight="1" x14ac:dyDescent="0.35">
      <c r="A17" s="48"/>
      <c r="B17" s="49"/>
      <c r="C17" s="49"/>
      <c r="D17" s="49"/>
      <c r="E17" s="49"/>
      <c r="F17" s="49"/>
      <c r="G17" s="49"/>
      <c r="H17" s="49"/>
      <c r="I17" s="49"/>
    </row>
    <row r="18" spans="1:9" ht="142.5" customHeight="1" x14ac:dyDescent="0.35">
      <c r="A18" s="57" t="s">
        <v>153</v>
      </c>
      <c r="B18" s="1"/>
      <c r="C18" s="37" t="s">
        <v>49</v>
      </c>
      <c r="D18" s="38"/>
      <c r="E18" s="2">
        <v>3</v>
      </c>
      <c r="F18" s="8" t="s">
        <v>152</v>
      </c>
      <c r="G18" s="4"/>
      <c r="H18" s="2"/>
      <c r="I18" s="24"/>
    </row>
    <row r="19" spans="1:9" ht="45" customHeight="1" x14ac:dyDescent="0.35">
      <c r="A19" s="58"/>
      <c r="B19" s="1"/>
      <c r="C19" s="37" t="s">
        <v>50</v>
      </c>
      <c r="D19" s="38"/>
      <c r="E19" s="2">
        <v>2</v>
      </c>
      <c r="F19" s="8" t="s">
        <v>172</v>
      </c>
      <c r="G19" s="12"/>
      <c r="H19" s="2"/>
      <c r="I19" s="24"/>
    </row>
    <row r="20" spans="1:9" ht="18" customHeight="1" x14ac:dyDescent="0.35">
      <c r="A20" s="48"/>
      <c r="B20" s="49"/>
      <c r="C20" s="49"/>
      <c r="D20" s="49"/>
      <c r="E20" s="49"/>
      <c r="F20" s="49"/>
      <c r="G20" s="49"/>
      <c r="H20" s="49"/>
      <c r="I20" s="49"/>
    </row>
    <row r="21" spans="1:9" ht="127.5" customHeight="1" x14ac:dyDescent="0.35">
      <c r="A21" s="57" t="s">
        <v>173</v>
      </c>
      <c r="B21" s="1"/>
      <c r="C21" s="37" t="s">
        <v>51</v>
      </c>
      <c r="D21" s="38"/>
      <c r="E21" s="2">
        <v>8</v>
      </c>
      <c r="F21" s="8" t="s">
        <v>175</v>
      </c>
      <c r="G21" s="12"/>
      <c r="H21" s="2"/>
      <c r="I21" s="24"/>
    </row>
    <row r="22" spans="1:9" ht="127.5" customHeight="1" x14ac:dyDescent="0.35">
      <c r="A22" s="58"/>
      <c r="B22" s="1"/>
      <c r="C22" s="37" t="s">
        <v>52</v>
      </c>
      <c r="D22" s="38"/>
      <c r="E22" s="2">
        <v>10</v>
      </c>
      <c r="F22" s="8" t="s">
        <v>174</v>
      </c>
      <c r="G22" s="12"/>
      <c r="H22" s="2"/>
      <c r="I22" s="24"/>
    </row>
    <row r="23" spans="1:9" ht="18" customHeight="1" x14ac:dyDescent="0.35">
      <c r="A23" s="48"/>
      <c r="B23" s="49"/>
      <c r="C23" s="49"/>
      <c r="D23" s="49"/>
      <c r="E23" s="49"/>
      <c r="F23" s="49"/>
      <c r="G23" s="49"/>
      <c r="H23" s="49"/>
      <c r="I23" s="49"/>
    </row>
    <row r="24" spans="1:9" ht="79.150000000000006" customHeight="1" x14ac:dyDescent="0.35">
      <c r="A24" s="64" t="s">
        <v>46</v>
      </c>
      <c r="B24" s="1"/>
      <c r="C24" s="37" t="s">
        <v>47</v>
      </c>
      <c r="D24" s="38"/>
      <c r="E24" s="2">
        <v>1</v>
      </c>
      <c r="F24" s="8" t="s">
        <v>176</v>
      </c>
      <c r="G24" s="4"/>
      <c r="H24" s="2"/>
      <c r="I24" s="24"/>
    </row>
    <row r="25" spans="1:9" ht="112.5" customHeight="1" x14ac:dyDescent="0.35">
      <c r="A25" s="64"/>
      <c r="B25" s="1"/>
      <c r="C25" s="37" t="s">
        <v>48</v>
      </c>
      <c r="D25" s="38"/>
      <c r="E25" s="2">
        <v>36</v>
      </c>
      <c r="F25" s="8" t="s">
        <v>177</v>
      </c>
      <c r="G25" s="4"/>
      <c r="H25" s="2"/>
      <c r="I25" s="24"/>
    </row>
    <row r="26" spans="1:9" ht="18" customHeight="1" x14ac:dyDescent="0.35">
      <c r="A26" s="62"/>
      <c r="B26" s="63"/>
      <c r="C26" s="63"/>
      <c r="D26" s="63"/>
      <c r="E26" s="63"/>
      <c r="F26" s="63"/>
      <c r="G26" s="63"/>
      <c r="H26" s="63"/>
      <c r="I26" s="63"/>
    </row>
    <row r="27" spans="1:9" ht="23.5" customHeight="1" x14ac:dyDescent="0.35">
      <c r="A27" s="45" t="s">
        <v>139</v>
      </c>
      <c r="B27" s="1"/>
      <c r="C27" s="37" t="s">
        <v>56</v>
      </c>
      <c r="D27" s="38"/>
      <c r="E27" s="2">
        <v>28</v>
      </c>
      <c r="F27" s="4" t="str">
        <f>IF(OR(A27="MII Mode", A27="RGMII Mode"), "25 MHz Transmit Clock", "Do Not Connect")</f>
        <v>25 MHz Transmit Clock</v>
      </c>
      <c r="G27" s="47"/>
      <c r="H27" s="2"/>
      <c r="I27" s="24"/>
    </row>
    <row r="28" spans="1:9" ht="23.5" customHeight="1" x14ac:dyDescent="0.35">
      <c r="A28" s="46"/>
      <c r="B28" s="1"/>
      <c r="C28" s="37" t="s">
        <v>57</v>
      </c>
      <c r="D28" s="38"/>
      <c r="E28" s="2">
        <v>29</v>
      </c>
      <c r="F28" s="5" t="str">
        <f>_xlfn.SWITCH(A27,"MII Mode","Transmit Enable", "RMII Master Mode", "Transmit Enable", "RMII Slave Mode", "Transmit Enable", "RGMII Mode", "Transmit Control", "SGMII Mode", "Do Not Connect")</f>
        <v>Transmit Control</v>
      </c>
      <c r="G28" s="47"/>
      <c r="H28" s="2"/>
      <c r="I28" s="24"/>
    </row>
    <row r="29" spans="1:9" ht="23.5" customHeight="1" x14ac:dyDescent="0.35">
      <c r="A29" s="46"/>
      <c r="B29" s="1"/>
      <c r="C29" s="37" t="s">
        <v>58</v>
      </c>
      <c r="D29" s="38"/>
      <c r="E29" s="2">
        <v>30</v>
      </c>
      <c r="F29" s="5" t="str">
        <f>IF(OR(A27="MII Mode", A27="RGMII Mode"), "Transmit Data", "Do Not Connect")</f>
        <v>Transmit Data</v>
      </c>
      <c r="G29" s="47"/>
      <c r="H29" s="2"/>
      <c r="I29" s="24"/>
    </row>
    <row r="30" spans="1:9" ht="23.5" customHeight="1" x14ac:dyDescent="0.35">
      <c r="A30" s="46"/>
      <c r="B30" s="1"/>
      <c r="C30" s="37" t="s">
        <v>59</v>
      </c>
      <c r="D30" s="38"/>
      <c r="E30" s="2">
        <v>31</v>
      </c>
      <c r="F30" s="5" t="str">
        <f>IF(OR(A27="MII Mode", A27="RGMII Mode"), "Transmit Data", "Do Not Connect")</f>
        <v>Transmit Data</v>
      </c>
      <c r="G30" s="47"/>
      <c r="H30" s="2"/>
      <c r="I30" s="24"/>
    </row>
    <row r="31" spans="1:9" ht="23.5" customHeight="1" x14ac:dyDescent="0.35">
      <c r="A31" s="46"/>
      <c r="B31" s="1"/>
      <c r="C31" s="37" t="s">
        <v>60</v>
      </c>
      <c r="D31" s="38"/>
      <c r="E31" s="2">
        <v>32</v>
      </c>
      <c r="F31" s="5" t="str">
        <f>IF(A27="SGMII Mode", "Transmit Data (TX_P)", "Transmit Data")</f>
        <v>Transmit Data</v>
      </c>
      <c r="G31" s="47"/>
      <c r="H31" s="2"/>
      <c r="I31" s="24"/>
    </row>
    <row r="32" spans="1:9" ht="23.5" customHeight="1" x14ac:dyDescent="0.35">
      <c r="A32" s="46"/>
      <c r="B32" s="1"/>
      <c r="C32" s="37" t="s">
        <v>61</v>
      </c>
      <c r="D32" s="38"/>
      <c r="E32" s="2">
        <v>33</v>
      </c>
      <c r="F32" s="5" t="str">
        <f>IF(A27="SGMII Mode", "Transmit Data (TX_M)", "Transmit Data")</f>
        <v>Transmit Data</v>
      </c>
      <c r="G32" s="47"/>
      <c r="H32" s="2"/>
      <c r="I32" s="24"/>
    </row>
    <row r="33" spans="1:9" ht="23.5" customHeight="1" x14ac:dyDescent="0.35">
      <c r="A33" s="46"/>
      <c r="B33" s="1"/>
      <c r="C33" s="37" t="s">
        <v>141</v>
      </c>
      <c r="D33" s="38"/>
      <c r="E33" s="2">
        <v>6</v>
      </c>
      <c r="F33" s="4" t="str">
        <f>IF(A27="MII Mode", "Transmit Error (Write Register 0x453[15] = 1 to set LED_1 pin to TX_ER)", "Do Not Connect")</f>
        <v>Do Not Connect</v>
      </c>
      <c r="G33" s="47"/>
      <c r="H33" s="2"/>
      <c r="I33" s="24"/>
    </row>
    <row r="34" spans="1:9" ht="24" customHeight="1" x14ac:dyDescent="0.35">
      <c r="A34" s="46"/>
      <c r="B34" s="1"/>
      <c r="C34" s="37" t="s">
        <v>62</v>
      </c>
      <c r="D34" s="38"/>
      <c r="E34" s="2">
        <v>27</v>
      </c>
      <c r="F34" s="4" t="str">
        <f>IF(OR(A27="MII Mode", A27="RGMII Mode"), "25 MHz Receive Clock", "Do Not Connect")</f>
        <v>25 MHz Receive Clock</v>
      </c>
      <c r="G34" s="47"/>
      <c r="H34" s="2"/>
      <c r="I34" s="24"/>
    </row>
    <row r="35" spans="1:9" ht="23.5" customHeight="1" x14ac:dyDescent="0.35">
      <c r="A35" s="46"/>
      <c r="B35" s="1"/>
      <c r="C35" s="37" t="s">
        <v>2</v>
      </c>
      <c r="D35" s="38"/>
      <c r="E35" s="2">
        <v>26</v>
      </c>
      <c r="F35" s="4" t="str">
        <f>IF(A27="SGMII Mode", "Do Not Connect", "Receive Data")</f>
        <v>Receive Data</v>
      </c>
      <c r="G35" s="47"/>
      <c r="H35" s="2"/>
      <c r="I35" s="24"/>
    </row>
    <row r="36" spans="1:9" ht="23.5" customHeight="1" x14ac:dyDescent="0.35">
      <c r="A36" s="46"/>
      <c r="B36" s="1"/>
      <c r="C36" s="37" t="s">
        <v>1</v>
      </c>
      <c r="D36" s="38"/>
      <c r="E36" s="2">
        <v>25</v>
      </c>
      <c r="F36" s="4" t="str">
        <f>IF(A27="SGMII Mode", "Do Not Connect", "Receive Data")</f>
        <v>Receive Data</v>
      </c>
      <c r="G36" s="47"/>
      <c r="H36" s="2"/>
      <c r="I36" s="24"/>
    </row>
    <row r="37" spans="1:9" ht="23.5" customHeight="1" x14ac:dyDescent="0.35">
      <c r="A37" s="46"/>
      <c r="B37" s="1"/>
      <c r="C37" s="37" t="s">
        <v>0</v>
      </c>
      <c r="D37" s="38"/>
      <c r="E37" s="2">
        <v>24</v>
      </c>
      <c r="F37" s="4" t="str">
        <f>_xlfn.SWITCH(A27, "RMII Master Mode", "Do Not Connect", "RMII Slave Mode", "Do Not Connect", "SGMII Mode", "Receive Data (RX_P)", "Receive Data")</f>
        <v>Receive Data</v>
      </c>
      <c r="G37" s="47"/>
      <c r="H37" s="2"/>
      <c r="I37" s="24"/>
    </row>
    <row r="38" spans="1:9" ht="23.5" customHeight="1" x14ac:dyDescent="0.35">
      <c r="A38" s="46"/>
      <c r="B38" s="1"/>
      <c r="C38" s="37" t="s">
        <v>4</v>
      </c>
      <c r="D38" s="38"/>
      <c r="E38" s="2">
        <v>23</v>
      </c>
      <c r="F38" s="4" t="str">
        <f>_xlfn.SWITCH(A27, "RMII Master Mode", "50 MHz Reference Clock Output", "RMII Slave Mode", "Do Not Connect", "SGMII Mode", "Receive Data (RX_M)", "Receive Data")</f>
        <v>Receive Data</v>
      </c>
      <c r="G38" s="47"/>
      <c r="H38" s="2"/>
      <c r="I38" s="24"/>
    </row>
    <row r="39" spans="1:9" ht="23.5" customHeight="1" x14ac:dyDescent="0.35">
      <c r="A39" s="46"/>
      <c r="B39" s="1"/>
      <c r="C39" s="37" t="s">
        <v>63</v>
      </c>
      <c r="D39" s="38"/>
      <c r="E39" s="2">
        <v>15</v>
      </c>
      <c r="F39" s="4" t="str">
        <f>_xlfn.SWITCH(A27, "MII Mode", "Receive Data Valid",  "RMII Master Mode", "Carrier Sense Data Valid", "RMII Slave Mode", "Carrier Sense Data Valid", "RGMII Mode", "Receive Control", "Do Not Connect")</f>
        <v>Receive Control</v>
      </c>
      <c r="G39" s="47"/>
      <c r="H39" s="2"/>
      <c r="I39" s="24"/>
    </row>
    <row r="40" spans="1:9" ht="23.5" customHeight="1" x14ac:dyDescent="0.35">
      <c r="A40" s="46"/>
      <c r="B40" s="1"/>
      <c r="C40" s="37" t="s">
        <v>19</v>
      </c>
      <c r="D40" s="38"/>
      <c r="E40" s="2">
        <v>14</v>
      </c>
      <c r="F40" s="4" t="str">
        <f>IF(A27="MII Mode", "Receive Error", "Do Not Connect")</f>
        <v>Do Not Connect</v>
      </c>
      <c r="G40" s="47"/>
      <c r="H40" s="2"/>
      <c r="I40" s="24"/>
    </row>
    <row r="41" spans="1:9" ht="18" customHeight="1" x14ac:dyDescent="0.35">
      <c r="A41" s="48"/>
      <c r="B41" s="49"/>
      <c r="C41" s="49"/>
      <c r="D41" s="49"/>
      <c r="E41" s="49"/>
      <c r="F41" s="49"/>
      <c r="G41" s="49"/>
      <c r="H41" s="49"/>
      <c r="I41" s="49"/>
    </row>
    <row r="42" spans="1:9" ht="153" customHeight="1" x14ac:dyDescent="0.35">
      <c r="A42" s="51" t="s">
        <v>41</v>
      </c>
      <c r="B42" s="1"/>
      <c r="C42" s="37" t="s">
        <v>42</v>
      </c>
      <c r="D42" s="38"/>
      <c r="E42" s="2">
        <v>35</v>
      </c>
      <c r="F42" s="4" t="s">
        <v>178</v>
      </c>
      <c r="G42" s="41"/>
      <c r="H42" s="2"/>
      <c r="I42" s="24"/>
    </row>
    <row r="43" spans="1:9" ht="83.5" customHeight="1" x14ac:dyDescent="0.35">
      <c r="A43" s="52"/>
      <c r="B43" s="1"/>
      <c r="C43" s="37" t="s">
        <v>43</v>
      </c>
      <c r="D43" s="38"/>
      <c r="E43" s="2">
        <v>6</v>
      </c>
      <c r="F43" s="4" t="s">
        <v>179</v>
      </c>
      <c r="G43" s="42"/>
      <c r="H43" s="2"/>
      <c r="I43" s="24"/>
    </row>
    <row r="44" spans="1:9" ht="83.5" customHeight="1" x14ac:dyDescent="0.35">
      <c r="A44" s="53"/>
      <c r="B44" s="34"/>
      <c r="C44" s="54" t="s">
        <v>180</v>
      </c>
      <c r="D44" s="54"/>
      <c r="E44" s="2">
        <v>16</v>
      </c>
      <c r="F44" s="4" t="s">
        <v>181</v>
      </c>
      <c r="G44" s="4"/>
      <c r="H44" s="2"/>
      <c r="I44" s="24"/>
    </row>
    <row r="45" spans="1:9" ht="18" customHeight="1" x14ac:dyDescent="0.35">
      <c r="A45" s="48"/>
      <c r="B45" s="49"/>
      <c r="C45" s="49"/>
      <c r="D45" s="49"/>
      <c r="E45" s="49"/>
      <c r="F45" s="49"/>
      <c r="G45" s="49"/>
      <c r="H45" s="49"/>
      <c r="I45" s="49"/>
    </row>
    <row r="46" spans="1:9" ht="24" customHeight="1" x14ac:dyDescent="0.35">
      <c r="A46" s="15" t="s">
        <v>142</v>
      </c>
      <c r="B46" s="1"/>
      <c r="C46" s="50" t="s">
        <v>154</v>
      </c>
      <c r="D46" s="50"/>
      <c r="E46" s="16"/>
      <c r="F46" s="1"/>
      <c r="G46" s="1"/>
      <c r="H46" s="2"/>
      <c r="I46" s="24"/>
    </row>
    <row r="47" spans="1:9" ht="18" customHeight="1" x14ac:dyDescent="0.35">
      <c r="A47" s="48"/>
      <c r="B47" s="49"/>
      <c r="C47" s="49"/>
      <c r="D47" s="49"/>
      <c r="E47" s="49"/>
      <c r="F47" s="49"/>
      <c r="G47" s="49"/>
      <c r="H47" s="49"/>
      <c r="I47" s="49"/>
    </row>
    <row r="48" spans="1:9" x14ac:dyDescent="0.35">
      <c r="A48" s="33" t="s">
        <v>155</v>
      </c>
      <c r="B48" s="1"/>
      <c r="C48" s="37" t="s">
        <v>64</v>
      </c>
      <c r="D48" s="38"/>
      <c r="E48" s="2" t="s">
        <v>182</v>
      </c>
      <c r="F48" s="4" t="s">
        <v>156</v>
      </c>
      <c r="G48" s="4"/>
      <c r="H48" s="2"/>
      <c r="I48" s="24"/>
    </row>
    <row r="49" spans="1:8" x14ac:dyDescent="0.35">
      <c r="A49"/>
      <c r="D49"/>
      <c r="E49"/>
      <c r="F49"/>
      <c r="G49"/>
      <c r="H49"/>
    </row>
    <row r="50" spans="1:8" x14ac:dyDescent="0.35">
      <c r="A50"/>
      <c r="D50"/>
      <c r="E50"/>
      <c r="F50"/>
      <c r="G50"/>
      <c r="H50"/>
    </row>
    <row r="55" spans="1:8" x14ac:dyDescent="0.35">
      <c r="F55"/>
      <c r="G55"/>
      <c r="H55"/>
    </row>
    <row r="56" spans="1:8" x14ac:dyDescent="0.35">
      <c r="F56"/>
      <c r="G56"/>
      <c r="H56"/>
    </row>
    <row r="57" spans="1:8" x14ac:dyDescent="0.35">
      <c r="F57"/>
      <c r="G57"/>
      <c r="H57"/>
    </row>
    <row r="58" spans="1:8" x14ac:dyDescent="0.35">
      <c r="F58"/>
      <c r="G58"/>
      <c r="H58"/>
    </row>
    <row r="59" spans="1:8" x14ac:dyDescent="0.35">
      <c r="F59"/>
      <c r="G59"/>
      <c r="H59"/>
    </row>
    <row r="63" spans="1:8" x14ac:dyDescent="0.35">
      <c r="F63"/>
      <c r="G63"/>
      <c r="H63"/>
    </row>
    <row r="64" spans="1:8" x14ac:dyDescent="0.35">
      <c r="F64"/>
      <c r="G64"/>
      <c r="H64"/>
    </row>
    <row r="65" spans="1:8" x14ac:dyDescent="0.35">
      <c r="F65"/>
      <c r="G65"/>
      <c r="H65"/>
    </row>
    <row r="66" spans="1:8" x14ac:dyDescent="0.35">
      <c r="F66"/>
      <c r="G66"/>
      <c r="H66"/>
    </row>
    <row r="67" spans="1:8" x14ac:dyDescent="0.35">
      <c r="F67"/>
      <c r="G67"/>
      <c r="H67"/>
    </row>
    <row r="68" spans="1:8" x14ac:dyDescent="0.35">
      <c r="F68"/>
      <c r="G68"/>
      <c r="H68"/>
    </row>
    <row r="69" spans="1:8" x14ac:dyDescent="0.35">
      <c r="A69"/>
      <c r="D69"/>
      <c r="E69"/>
      <c r="F69"/>
      <c r="G69"/>
      <c r="H69"/>
    </row>
    <row r="70" spans="1:8" x14ac:dyDescent="0.35">
      <c r="A70"/>
      <c r="D70"/>
      <c r="E70"/>
      <c r="F70"/>
      <c r="G70"/>
      <c r="H70"/>
    </row>
    <row r="71" spans="1:8" x14ac:dyDescent="0.35">
      <c r="A71"/>
      <c r="D71"/>
      <c r="E71"/>
      <c r="F71"/>
      <c r="G71"/>
      <c r="H71"/>
    </row>
    <row r="72" spans="1:8" x14ac:dyDescent="0.35">
      <c r="A72"/>
      <c r="D72"/>
      <c r="E72"/>
      <c r="F72"/>
      <c r="G72"/>
      <c r="H72"/>
    </row>
    <row r="73" spans="1:8" x14ac:dyDescent="0.35">
      <c r="A73"/>
      <c r="D73"/>
      <c r="E73"/>
      <c r="F73"/>
      <c r="G73"/>
      <c r="H73"/>
    </row>
    <row r="74" spans="1:8" x14ac:dyDescent="0.35">
      <c r="A74"/>
      <c r="D74"/>
      <c r="E74"/>
      <c r="F74"/>
      <c r="G74"/>
      <c r="H74"/>
    </row>
    <row r="75" spans="1:8" x14ac:dyDescent="0.35">
      <c r="A75"/>
      <c r="D75"/>
      <c r="E75"/>
      <c r="F75"/>
      <c r="G75"/>
      <c r="H75"/>
    </row>
    <row r="76" spans="1:8" x14ac:dyDescent="0.35">
      <c r="A76"/>
      <c r="D76"/>
      <c r="E76"/>
      <c r="F76"/>
      <c r="G76"/>
      <c r="H76"/>
    </row>
    <row r="77" spans="1:8" x14ac:dyDescent="0.35">
      <c r="A77"/>
      <c r="D77"/>
      <c r="E77"/>
      <c r="F77"/>
      <c r="G77"/>
      <c r="H77"/>
    </row>
    <row r="78" spans="1:8" x14ac:dyDescent="0.35">
      <c r="A78"/>
      <c r="D78"/>
      <c r="E78"/>
      <c r="F78"/>
      <c r="G78"/>
      <c r="H78"/>
    </row>
    <row r="79" spans="1:8" x14ac:dyDescent="0.35">
      <c r="A79"/>
      <c r="D79"/>
      <c r="E79"/>
      <c r="F79"/>
      <c r="G79"/>
      <c r="H79"/>
    </row>
    <row r="80" spans="1:8" x14ac:dyDescent="0.35">
      <c r="A80"/>
      <c r="D80"/>
      <c r="E80"/>
      <c r="F80"/>
      <c r="G80"/>
      <c r="H80"/>
    </row>
    <row r="81" spans="1:8" x14ac:dyDescent="0.35">
      <c r="A81"/>
      <c r="D81"/>
      <c r="E81"/>
      <c r="F81"/>
      <c r="G81"/>
      <c r="H81"/>
    </row>
    <row r="82" spans="1:8" x14ac:dyDescent="0.35">
      <c r="A82"/>
      <c r="D82"/>
      <c r="E82"/>
      <c r="F82"/>
      <c r="G82"/>
      <c r="H82"/>
    </row>
    <row r="85" spans="1:8" ht="27" customHeight="1" x14ac:dyDescent="0.35"/>
  </sheetData>
  <dataConsolidate/>
  <mergeCells count="65">
    <mergeCell ref="C5:D5"/>
    <mergeCell ref="C7:D7"/>
    <mergeCell ref="C6:D6"/>
    <mergeCell ref="C11:D11"/>
    <mergeCell ref="F11:F12"/>
    <mergeCell ref="C12:D12"/>
    <mergeCell ref="C8:C9"/>
    <mergeCell ref="E8:E9"/>
    <mergeCell ref="F8:F9"/>
    <mergeCell ref="A10:I10"/>
    <mergeCell ref="G11:G12"/>
    <mergeCell ref="A5:A9"/>
    <mergeCell ref="I8:I9"/>
    <mergeCell ref="H11:H12"/>
    <mergeCell ref="I11:I12"/>
    <mergeCell ref="A21:A22"/>
    <mergeCell ref="A18:A19"/>
    <mergeCell ref="A17:I17"/>
    <mergeCell ref="A11:A13"/>
    <mergeCell ref="C39:D39"/>
    <mergeCell ref="C27:D27"/>
    <mergeCell ref="C28:D28"/>
    <mergeCell ref="C29:D29"/>
    <mergeCell ref="C30:D30"/>
    <mergeCell ref="C31:D31"/>
    <mergeCell ref="C13:D13"/>
    <mergeCell ref="A23:I23"/>
    <mergeCell ref="A26:I26"/>
    <mergeCell ref="A15:A16"/>
    <mergeCell ref="C15:D15"/>
    <mergeCell ref="A24:A25"/>
    <mergeCell ref="C40:D40"/>
    <mergeCell ref="C42:D42"/>
    <mergeCell ref="C35:D35"/>
    <mergeCell ref="C36:D36"/>
    <mergeCell ref="C33:D33"/>
    <mergeCell ref="C34:D34"/>
    <mergeCell ref="C16:D16"/>
    <mergeCell ref="A20:I20"/>
    <mergeCell ref="H8:H9"/>
    <mergeCell ref="G8:G9"/>
    <mergeCell ref="A14:I14"/>
    <mergeCell ref="C43:D43"/>
    <mergeCell ref="A41:I41"/>
    <mergeCell ref="A45:I45"/>
    <mergeCell ref="A47:I47"/>
    <mergeCell ref="C46:D46"/>
    <mergeCell ref="A42:A44"/>
    <mergeCell ref="C44:D44"/>
    <mergeCell ref="C48:D48"/>
    <mergeCell ref="A1:F1"/>
    <mergeCell ref="B2:D2"/>
    <mergeCell ref="G42:G43"/>
    <mergeCell ref="C24:D24"/>
    <mergeCell ref="C25:D25"/>
    <mergeCell ref="C18:D18"/>
    <mergeCell ref="C19:D19"/>
    <mergeCell ref="C21:D21"/>
    <mergeCell ref="C22:D22"/>
    <mergeCell ref="C4:D4"/>
    <mergeCell ref="C37:D37"/>
    <mergeCell ref="C38:D38"/>
    <mergeCell ref="A27:A40"/>
    <mergeCell ref="G27:G40"/>
    <mergeCell ref="C32:D32"/>
  </mergeCells>
  <conditionalFormatting sqref="F27:F40">
    <cfRule type="cellIs" dxfId="6" priority="5" operator="equal">
      <formula>"Do Not Connect"</formula>
    </cfRule>
  </conditionalFormatting>
  <conditionalFormatting sqref="H5:H9">
    <cfRule type="cellIs" dxfId="5" priority="3" operator="equal">
      <formula>"Yes"</formula>
    </cfRule>
    <cfRule type="cellIs" dxfId="4" priority="4" operator="equal">
      <formula>"No"</formula>
    </cfRule>
  </conditionalFormatting>
  <conditionalFormatting sqref="H11">
    <cfRule type="cellIs" dxfId="3" priority="1" operator="equal">
      <formula>"Yes"</formula>
    </cfRule>
    <cfRule type="cellIs" dxfId="2" priority="2" operator="equal">
      <formula>"No"</formula>
    </cfRule>
  </conditionalFormatting>
  <conditionalFormatting sqref="H13 H15:H16 H18:H19 H21:H22 H24:H25 H27:H40 H42:H44 H46 H48">
    <cfRule type="cellIs" dxfId="1" priority="6" operator="equal">
      <formula>"Yes"</formula>
    </cfRule>
    <cfRule type="cellIs" dxfId="0" priority="7" operator="equal">
      <formula>"No"</formula>
    </cfRule>
  </conditionalFormatting>
  <dataValidations count="5">
    <dataValidation type="list" allowBlank="1" showInputMessage="1" showErrorMessage="1" sqref="A47 A45 A41" xr:uid="{22D909A6-162C-41FC-B7B1-590C1D65D5F5}">
      <formula1>"MII Mode, RMII Mode, RGMII Mode, SGMII Mode"</formula1>
    </dataValidation>
    <dataValidation type="list" allowBlank="1" showInputMessage="1" showErrorMessage="1" sqref="A27:A40" xr:uid="{AFE870B0-CA0B-4D18-8845-2D77BC4E2015}">
      <formula1>"RGMII Mode, SGMII Mode"</formula1>
    </dataValidation>
    <dataValidation type="list" allowBlank="1" showInputMessage="1" showErrorMessage="1" sqref="D9" xr:uid="{E2C4979A-D120-4C97-8E1E-9AE1041F5AF6}">
      <formula1>"Yes, No"</formula1>
    </dataValidation>
    <dataValidation type="list" allowBlank="1" showInputMessage="1" showErrorMessage="1" sqref="A2" xr:uid="{78BD731E-BB73-458E-A055-2C57710BA452}">
      <formula1>"Click Me, Good Job!"</formula1>
    </dataValidation>
    <dataValidation type="list" allowBlank="1" showInputMessage="1" showErrorMessage="1" sqref="A15:A16" xr:uid="{7F2FFFE2-8076-4488-B3F8-43ED3BF2D35A}">
      <formula1>"Clock (25MHz XTAL), Clock (25MHz Oscillator)"</formula1>
    </dataValidation>
  </dataValidations>
  <hyperlinks>
    <hyperlink ref="C46:D46" location="'Strap Tool'!A1" display="DP83TC812 Strap Tool" xr:uid="{7C06B65B-A73E-4559-AA9D-062B3EC6A9F1}"/>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3" r:id="rId4" name="List Box 2101">
              <controlPr defaultSize="0" autoLine="0" autoPict="0">
                <anchor moveWithCells="1">
                  <from>
                    <xdr:col>0</xdr:col>
                    <xdr:colOff>114300</xdr:colOff>
                    <xdr:row>84</xdr:row>
                    <xdr:rowOff>171450</xdr:rowOff>
                  </from>
                  <to>
                    <xdr:col>0</xdr:col>
                    <xdr:colOff>698500</xdr:colOff>
                    <xdr:row>86</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C67"/>
  <sheetViews>
    <sheetView topLeftCell="A57" zoomScale="75" zoomScaleNormal="85" workbookViewId="0">
      <selection activeCell="A109" sqref="A109"/>
    </sheetView>
  </sheetViews>
  <sheetFormatPr defaultColWidth="11.08203125" defaultRowHeight="15.5" x14ac:dyDescent="0.35"/>
  <cols>
    <col min="1" max="1" width="14.25" style="7" customWidth="1"/>
    <col min="2" max="2" width="11.08203125" style="7"/>
    <col min="3" max="4" width="13.58203125" style="7" customWidth="1"/>
    <col min="5" max="5" width="12.33203125" style="7" bestFit="1" customWidth="1"/>
    <col min="6" max="8" width="11.08203125" style="7"/>
    <col min="9" max="11" width="11.08203125" style="7" customWidth="1"/>
    <col min="12" max="12" width="11.08203125" style="7"/>
    <col min="13" max="13" width="10.58203125" style="7" customWidth="1"/>
    <col min="14" max="14" width="11.08203125" style="7"/>
    <col min="15" max="15" width="14" customWidth="1"/>
    <col min="16" max="16" width="17.08203125" style="7" hidden="1" customWidth="1"/>
    <col min="17" max="17" width="15.83203125" style="7" hidden="1" customWidth="1"/>
    <col min="18" max="20" width="15.33203125" style="7" hidden="1" customWidth="1"/>
    <col min="21" max="16384" width="11.08203125" style="7"/>
  </cols>
  <sheetData>
    <row r="3" spans="1:29" s="10" customFormat="1" ht="15.65" customHeight="1" thickBot="1" x14ac:dyDescent="0.4">
      <c r="O3"/>
    </row>
    <row r="4" spans="1:29" s="10" customFormat="1" ht="17.5" x14ac:dyDescent="0.45">
      <c r="B4" s="87" t="s">
        <v>7</v>
      </c>
      <c r="C4" s="80"/>
      <c r="D4" s="80"/>
      <c r="E4" s="80"/>
      <c r="F4" s="80" t="s">
        <v>8</v>
      </c>
      <c r="G4" s="80"/>
      <c r="H4" s="80" t="s">
        <v>130</v>
      </c>
      <c r="I4" s="80"/>
      <c r="J4" s="80" t="s">
        <v>9</v>
      </c>
      <c r="K4" s="80"/>
      <c r="L4" s="80" t="s">
        <v>115</v>
      </c>
      <c r="M4" s="80"/>
      <c r="N4" s="80" t="s">
        <v>116</v>
      </c>
      <c r="O4" s="81"/>
      <c r="Q4" s="10" t="s">
        <v>187</v>
      </c>
      <c r="R4" s="10" t="s">
        <v>188</v>
      </c>
      <c r="S4" s="10" t="s">
        <v>189</v>
      </c>
      <c r="T4" s="10" t="s">
        <v>190</v>
      </c>
    </row>
    <row r="5" spans="1:29" s="10" customFormat="1" x14ac:dyDescent="0.35">
      <c r="B5" s="84" t="s">
        <v>10</v>
      </c>
      <c r="C5" s="85"/>
      <c r="D5" s="86" t="s">
        <v>15</v>
      </c>
      <c r="E5" s="86"/>
      <c r="F5" s="79" t="s">
        <v>2</v>
      </c>
      <c r="G5" s="79"/>
      <c r="H5" s="79">
        <v>26</v>
      </c>
      <c r="I5" s="79"/>
      <c r="J5" s="79" t="str">
        <f>VLOOKUP($D$5,$A$22:$D$26,4, FALSE)</f>
        <v>Mode 1</v>
      </c>
      <c r="K5" s="79"/>
      <c r="L5" s="82" t="str">
        <f>VLOOKUP(J5, $A$40:$C$41,2,FALSE)</f>
        <v>OPEN</v>
      </c>
      <c r="M5" s="82"/>
      <c r="N5" s="82" t="str">
        <f>VLOOKUP(J5, $A$40:$C$41,3,FALSE)</f>
        <v>OPEN</v>
      </c>
      <c r="O5" s="83"/>
      <c r="P5" t="str">
        <f t="shared" ref="P5:P9" si="0">_xlfn.SWITCH(J5, "Mode 1", "0", "Mode 2", "1")</f>
        <v>0</v>
      </c>
      <c r="Q5">
        <f>IF(OR(D5="RGMII (TX + RX Internal Delay)", D5="RGMII (TX Internal Delay)"), 1, 0)</f>
        <v>0</v>
      </c>
      <c r="R5">
        <f>IF(OR(D5="RGMII (TX + RX Internal Delay)", D5="RGMII (RX Internal Delay)"), 1, 0)</f>
        <v>0</v>
      </c>
      <c r="S5">
        <f>IF(D5="SGMII (4-wire)", 1, 0)</f>
        <v>0</v>
      </c>
      <c r="T5">
        <f>IF(OR(D5="RGMII (TX + RX Internal Delay)", D5="RGMII (RX Internal Delay)", D5="RGMII (TX Internal Delay)", D5="RGMII (Align)"), 1, 0)</f>
        <v>1</v>
      </c>
      <c r="U5" s="13"/>
      <c r="V5" s="7"/>
      <c r="W5"/>
      <c r="X5"/>
      <c r="Y5"/>
      <c r="Z5"/>
      <c r="AA5"/>
      <c r="AB5"/>
      <c r="AC5"/>
    </row>
    <row r="6" spans="1:29" x14ac:dyDescent="0.35">
      <c r="B6" s="84"/>
      <c r="C6" s="85"/>
      <c r="D6" s="86"/>
      <c r="E6" s="86"/>
      <c r="F6" s="79" t="s">
        <v>1</v>
      </c>
      <c r="G6" s="79"/>
      <c r="H6" s="79">
        <v>25</v>
      </c>
      <c r="I6" s="79"/>
      <c r="J6" s="79" t="str">
        <f>VLOOKUP($D$5,$A$22:$D$26,3, FALSE)</f>
        <v>Mode 1</v>
      </c>
      <c r="K6" s="79"/>
      <c r="L6" s="82" t="str">
        <f>VLOOKUP(J6, $A$40:$C$41,2,FALSE)</f>
        <v>OPEN</v>
      </c>
      <c r="M6" s="82"/>
      <c r="N6" s="82" t="str">
        <f>VLOOKUP(J6, $A$40:$C$41,3,FALSE)</f>
        <v>OPEN</v>
      </c>
      <c r="O6" s="83"/>
      <c r="P6" t="str">
        <f t="shared" si="0"/>
        <v>0</v>
      </c>
      <c r="Q6"/>
      <c r="R6"/>
      <c r="S6"/>
      <c r="T6"/>
      <c r="V6"/>
      <c r="W6"/>
      <c r="X6"/>
      <c r="Y6"/>
      <c r="Z6"/>
      <c r="AA6"/>
      <c r="AB6"/>
      <c r="AC6"/>
    </row>
    <row r="7" spans="1:29" x14ac:dyDescent="0.35">
      <c r="B7" s="84"/>
      <c r="C7" s="85"/>
      <c r="D7" s="86"/>
      <c r="E7" s="86"/>
      <c r="F7" s="79" t="s">
        <v>0</v>
      </c>
      <c r="G7" s="79"/>
      <c r="H7" s="79">
        <v>24</v>
      </c>
      <c r="I7" s="79"/>
      <c r="J7" s="79" t="str">
        <f>VLOOKUP($D$5,$A$22:$D$26,2, FALSE)</f>
        <v>Mode 2</v>
      </c>
      <c r="K7" s="79"/>
      <c r="L7" s="82" t="str">
        <f>VLOOKUP(J7, $A$40:$C$41,2,FALSE)</f>
        <v>2.49kΩ</v>
      </c>
      <c r="M7" s="82"/>
      <c r="N7" s="82" t="str">
        <f>VLOOKUP(J7, $A$40:$C$41,3,FALSE)</f>
        <v>OPEN</v>
      </c>
      <c r="O7" s="83"/>
      <c r="P7" t="str">
        <f t="shared" si="0"/>
        <v>1</v>
      </c>
      <c r="Q7"/>
      <c r="R7"/>
      <c r="S7"/>
      <c r="T7"/>
      <c r="V7"/>
      <c r="W7"/>
      <c r="X7"/>
      <c r="Y7"/>
      <c r="Z7"/>
      <c r="AA7"/>
      <c r="AB7"/>
      <c r="AC7"/>
    </row>
    <row r="8" spans="1:29" x14ac:dyDescent="0.35">
      <c r="B8" s="84" t="s">
        <v>11</v>
      </c>
      <c r="C8" s="85"/>
      <c r="D8" s="86" t="s">
        <v>185</v>
      </c>
      <c r="E8" s="86"/>
      <c r="F8" s="79" t="s">
        <v>3</v>
      </c>
      <c r="G8" s="79"/>
      <c r="H8" s="79">
        <v>35</v>
      </c>
      <c r="I8" s="79"/>
      <c r="J8" s="79" t="str">
        <f>IF(D8="Master","Mode 2","Mode 1")</f>
        <v>Mode 1</v>
      </c>
      <c r="K8" s="79"/>
      <c r="L8" s="82" t="str">
        <f>VLOOKUP(J8, $A$40:$C$41,2,FALSE)</f>
        <v>OPEN</v>
      </c>
      <c r="M8" s="82"/>
      <c r="N8" s="82" t="str">
        <f>VLOOKUP(J8, $A$40:$C$41,3,FALSE)</f>
        <v>OPEN</v>
      </c>
      <c r="O8" s="83"/>
      <c r="P8" t="str">
        <f t="shared" si="0"/>
        <v>0</v>
      </c>
      <c r="Q8"/>
      <c r="R8"/>
      <c r="S8"/>
      <c r="T8"/>
      <c r="V8"/>
      <c r="W8"/>
      <c r="X8"/>
      <c r="Y8"/>
      <c r="Z8"/>
      <c r="AA8"/>
      <c r="AB8"/>
      <c r="AC8"/>
    </row>
    <row r="9" spans="1:29" x14ac:dyDescent="0.35">
      <c r="B9" s="84" t="s">
        <v>12</v>
      </c>
      <c r="C9" s="85"/>
      <c r="D9" s="86" t="s">
        <v>145</v>
      </c>
      <c r="E9" s="86"/>
      <c r="F9" s="79" t="s">
        <v>186</v>
      </c>
      <c r="G9" s="79"/>
      <c r="H9" s="79">
        <v>6</v>
      </c>
      <c r="I9" s="79"/>
      <c r="J9" s="79" t="str">
        <f>IF(D9="Autonomous","Mode 1","Mode 2")</f>
        <v>Mode 1</v>
      </c>
      <c r="K9" s="79"/>
      <c r="L9" s="82" t="str">
        <f>VLOOKUP(J9, $A$40:$C$41,2,FALSE)</f>
        <v>OPEN</v>
      </c>
      <c r="M9" s="82"/>
      <c r="N9" s="82" t="str">
        <f>VLOOKUP(J9, $A$40:$C$41,3,FALSE)</f>
        <v>OPEN</v>
      </c>
      <c r="O9" s="83"/>
      <c r="P9" t="str">
        <f t="shared" si="0"/>
        <v>0</v>
      </c>
      <c r="Q9"/>
      <c r="R9"/>
      <c r="S9"/>
      <c r="T9"/>
      <c r="V9"/>
      <c r="W9"/>
      <c r="X9"/>
      <c r="Y9"/>
      <c r="Z9"/>
      <c r="AA9"/>
      <c r="AB9"/>
      <c r="AC9"/>
    </row>
    <row r="10" spans="1:29" x14ac:dyDescent="0.35">
      <c r="B10" s="84" t="s">
        <v>117</v>
      </c>
      <c r="C10" s="85"/>
      <c r="D10" s="86" t="s">
        <v>21</v>
      </c>
      <c r="E10" s="86"/>
      <c r="F10" s="79" t="s">
        <v>131</v>
      </c>
      <c r="G10" s="79"/>
      <c r="H10" s="79">
        <v>15</v>
      </c>
      <c r="I10" s="79"/>
      <c r="J10" s="79" t="str">
        <f>VLOOKUP($D$10, $A$29:$C$37, 2, FALSE)</f>
        <v>Mode 2</v>
      </c>
      <c r="K10" s="79"/>
      <c r="L10" s="82" t="str">
        <f>_xlfn.SWITCH($D$12, "3.3V", VLOOKUP($J$10, $A$44:$C$46, 2, FALSE), "2.5V", VLOOKUP($J$10, $A$49:$C$51, 2, FALSE), "1.8V", VLOOKUP($J$10, $A$54:$C$56, 2, FALSE), 0)</f>
        <v>13kΩ</v>
      </c>
      <c r="M10" s="82"/>
      <c r="N10" s="82" t="s">
        <v>31</v>
      </c>
      <c r="O10" s="83"/>
      <c r="P10" t="str">
        <f>_xlfn.SWITCH(J10, "Mode 1", "00", "Mode 2", "01", "Mode 3", "11")</f>
        <v>01</v>
      </c>
      <c r="Q10" s="7" t="str">
        <f>VLOOKUP(D10, A29:D37,4,FALSE)</f>
        <v>00100</v>
      </c>
      <c r="R10"/>
      <c r="S10"/>
      <c r="T10"/>
      <c r="V10"/>
      <c r="W10"/>
      <c r="X10"/>
      <c r="Y10"/>
      <c r="Z10"/>
      <c r="AA10"/>
      <c r="AB10"/>
      <c r="AC10"/>
    </row>
    <row r="11" spans="1:29" x14ac:dyDescent="0.35">
      <c r="B11" s="84"/>
      <c r="C11" s="85"/>
      <c r="D11" s="86"/>
      <c r="E11" s="86"/>
      <c r="F11" s="79" t="s">
        <v>132</v>
      </c>
      <c r="G11" s="79"/>
      <c r="H11" s="79">
        <v>14</v>
      </c>
      <c r="I11" s="79"/>
      <c r="J11" s="79" t="str">
        <f>VLOOKUP($D$10, $A$29:$C$37, 3, FALSE)</f>
        <v>Mode 1</v>
      </c>
      <c r="K11" s="79"/>
      <c r="L11" s="82" t="str">
        <f>_xlfn.SWITCH($D$12, "3.3V", VLOOKUP($J$11, $A$44:$C$46, 2, FALSE), "2.5V", VLOOKUP($J$11, $A$49:$C$51, 2, FALSE), "1.8V", VLOOKUP($J$11, $A$54:$C$56, 2, FALSE), 0)</f>
        <v>OPEN</v>
      </c>
      <c r="M11" s="82"/>
      <c r="N11" s="82" t="s">
        <v>31</v>
      </c>
      <c r="O11" s="83"/>
      <c r="P11" t="str">
        <f>_xlfn.SWITCH(J11, "Mode 1", "00", "Mode 2", "01", "Mode 3", "11")</f>
        <v>00</v>
      </c>
      <c r="Q11"/>
      <c r="R11"/>
      <c r="S11"/>
      <c r="T11"/>
      <c r="V11"/>
      <c r="W11"/>
      <c r="X11"/>
      <c r="Y11"/>
      <c r="Z11"/>
      <c r="AA11"/>
      <c r="AB11"/>
      <c r="AC11"/>
    </row>
    <row r="12" spans="1:29" ht="16" thickBot="1" x14ac:dyDescent="0.4">
      <c r="B12" s="88" t="s">
        <v>118</v>
      </c>
      <c r="C12" s="89"/>
      <c r="D12" s="90" t="s">
        <v>119</v>
      </c>
      <c r="E12" s="90"/>
      <c r="F12" s="91"/>
      <c r="G12" s="92"/>
      <c r="H12" s="92"/>
      <c r="I12" s="92"/>
      <c r="J12" s="92"/>
      <c r="K12" s="92"/>
      <c r="L12" s="92"/>
      <c r="M12" s="92"/>
      <c r="N12" s="92"/>
      <c r="O12" s="93"/>
      <c r="P12" s="7" t="str">
        <f>_xlfn.CONCAT(Q5,R5,S5,T5,"000", P7, P6, P5,P8,Q10)</f>
        <v>0001000100000100</v>
      </c>
      <c r="U12"/>
      <c r="V12"/>
      <c r="W12"/>
      <c r="X12"/>
      <c r="Y12"/>
      <c r="Z12"/>
      <c r="AA12"/>
      <c r="AB12"/>
      <c r="AC12"/>
    </row>
    <row r="13" spans="1:29" x14ac:dyDescent="0.35">
      <c r="A13"/>
      <c r="B13"/>
      <c r="C13"/>
      <c r="D13"/>
      <c r="E13"/>
      <c r="F13"/>
      <c r="G13"/>
      <c r="H13"/>
      <c r="I13"/>
      <c r="Q13"/>
      <c r="R13"/>
      <c r="S13"/>
      <c r="T13"/>
      <c r="U13"/>
      <c r="V13"/>
      <c r="W13"/>
      <c r="X13"/>
      <c r="Y13"/>
      <c r="Z13"/>
      <c r="AA13"/>
      <c r="AB13"/>
      <c r="AC13"/>
    </row>
    <row r="14" spans="1:29" x14ac:dyDescent="0.35">
      <c r="A14"/>
      <c r="B14"/>
      <c r="C14"/>
      <c r="D14"/>
      <c r="E14"/>
      <c r="F14"/>
      <c r="G14"/>
      <c r="H14"/>
      <c r="I14"/>
      <c r="P14"/>
      <c r="Q14"/>
      <c r="R14"/>
      <c r="S14"/>
      <c r="T14"/>
      <c r="U14"/>
      <c r="V14"/>
      <c r="W14"/>
      <c r="X14"/>
      <c r="Y14"/>
      <c r="Z14"/>
      <c r="AA14"/>
      <c r="AB14"/>
      <c r="AC14"/>
    </row>
    <row r="15" spans="1:29" x14ac:dyDescent="0.35">
      <c r="J15"/>
      <c r="K15"/>
      <c r="L15"/>
      <c r="M15"/>
      <c r="N15"/>
      <c r="Q15"/>
      <c r="R15"/>
      <c r="S15"/>
      <c r="T15"/>
      <c r="U15"/>
      <c r="V15"/>
      <c r="W15"/>
      <c r="X15"/>
      <c r="Y15"/>
      <c r="Z15"/>
      <c r="AA15"/>
      <c r="AB15"/>
      <c r="AC15"/>
    </row>
    <row r="16" spans="1:29" ht="21" customHeight="1" x14ac:dyDescent="0.35">
      <c r="J16" s="77" t="s">
        <v>157</v>
      </c>
      <c r="K16" s="77"/>
      <c r="L16" s="77"/>
      <c r="M16" s="77"/>
      <c r="N16" s="78" t="str">
        <f>_xlfn.CONCAT("0x",G24,G25)</f>
        <v>0x1104</v>
      </c>
      <c r="O16" s="78"/>
      <c r="Q16"/>
      <c r="R16"/>
      <c r="S16"/>
      <c r="T16"/>
      <c r="U16"/>
      <c r="V16"/>
      <c r="W16"/>
      <c r="X16"/>
      <c r="Y16"/>
      <c r="Z16"/>
      <c r="AA16"/>
      <c r="AB16"/>
      <c r="AC16"/>
    </row>
    <row r="17" spans="1:29" ht="21" customHeight="1" x14ac:dyDescent="0.35">
      <c r="J17" s="77"/>
      <c r="K17" s="77"/>
      <c r="L17" s="77"/>
      <c r="M17" s="77"/>
      <c r="N17" s="78"/>
      <c r="O17" s="78"/>
      <c r="Q17"/>
      <c r="R17"/>
      <c r="S17"/>
      <c r="T17"/>
      <c r="U17"/>
      <c r="V17"/>
      <c r="W17"/>
      <c r="X17"/>
      <c r="Y17"/>
      <c r="Z17"/>
      <c r="AA17"/>
      <c r="AB17"/>
      <c r="AC17"/>
    </row>
    <row r="18" spans="1:29" x14ac:dyDescent="0.35">
      <c r="A18"/>
      <c r="E18"/>
      <c r="F18"/>
      <c r="G18"/>
      <c r="J18" s="77" t="s">
        <v>184</v>
      </c>
      <c r="K18" s="77"/>
      <c r="L18" s="77"/>
      <c r="M18" s="77"/>
      <c r="N18" s="78" t="str">
        <f>_xlfn.CONCAT("0x000",P9)</f>
        <v>0x0000</v>
      </c>
      <c r="O18" s="78"/>
      <c r="P18"/>
      <c r="Q18"/>
      <c r="R18"/>
      <c r="S18"/>
      <c r="T18"/>
      <c r="U18"/>
      <c r="V18"/>
      <c r="W18"/>
      <c r="X18"/>
      <c r="Y18"/>
      <c r="Z18"/>
      <c r="AA18"/>
      <c r="AB18"/>
      <c r="AC18"/>
    </row>
    <row r="19" spans="1:29" x14ac:dyDescent="0.35">
      <c r="A19"/>
      <c r="E19"/>
      <c r="F19"/>
      <c r="G19"/>
      <c r="H19"/>
      <c r="I19"/>
      <c r="J19" s="77"/>
      <c r="K19" s="77"/>
      <c r="L19" s="77"/>
      <c r="M19" s="77"/>
      <c r="N19" s="78"/>
      <c r="O19" s="78"/>
      <c r="P19"/>
      <c r="Q19"/>
      <c r="R19"/>
      <c r="S19"/>
      <c r="T19"/>
      <c r="U19"/>
      <c r="V19"/>
      <c r="W19"/>
      <c r="X19"/>
      <c r="Y19"/>
      <c r="Z19"/>
      <c r="AA19"/>
      <c r="AB19"/>
      <c r="AC19"/>
    </row>
    <row r="20" spans="1:29" x14ac:dyDescent="0.35">
      <c r="A20"/>
      <c r="E20"/>
      <c r="F20"/>
      <c r="G20"/>
      <c r="H20"/>
      <c r="I20"/>
      <c r="J20"/>
      <c r="K20"/>
      <c r="L20"/>
      <c r="P20"/>
      <c r="Q20"/>
      <c r="R20"/>
      <c r="S20"/>
      <c r="T20"/>
      <c r="U20"/>
      <c r="V20"/>
      <c r="W20"/>
      <c r="X20"/>
      <c r="Y20"/>
      <c r="Z20"/>
      <c r="AA20"/>
      <c r="AB20"/>
      <c r="AC20"/>
    </row>
    <row r="21" spans="1:29" ht="15.75" hidden="1" customHeight="1" x14ac:dyDescent="0.35">
      <c r="A21" s="11"/>
      <c r="B21" s="11" t="s">
        <v>0</v>
      </c>
      <c r="C21" s="11" t="s">
        <v>1</v>
      </c>
      <c r="D21" s="11" t="s">
        <v>2</v>
      </c>
      <c r="E21"/>
      <c r="F21"/>
      <c r="G21" s="14"/>
      <c r="H21" s="14"/>
      <c r="I21" s="14"/>
      <c r="J21" s="14"/>
      <c r="K21"/>
      <c r="L21"/>
      <c r="P21"/>
      <c r="Q21"/>
      <c r="R21"/>
      <c r="S21"/>
      <c r="T21"/>
      <c r="U21"/>
      <c r="V21"/>
      <c r="W21"/>
      <c r="X21"/>
      <c r="Y21"/>
      <c r="Z21"/>
      <c r="AA21"/>
      <c r="AB21"/>
      <c r="AC21"/>
    </row>
    <row r="22" spans="1:29" ht="15.75" hidden="1" customHeight="1" x14ac:dyDescent="0.35">
      <c r="A22" s="11" t="s">
        <v>137</v>
      </c>
      <c r="B22" s="11" t="s">
        <v>13</v>
      </c>
      <c r="C22" s="11" t="s">
        <v>13</v>
      </c>
      <c r="D22" s="11" t="s">
        <v>13</v>
      </c>
      <c r="E22"/>
      <c r="F22"/>
      <c r="G22" t="str">
        <f>LEFT(P12,8)</f>
        <v>00010001</v>
      </c>
      <c r="H22"/>
      <c r="I22" t="str">
        <f>LEFT(I21,8)</f>
        <v/>
      </c>
      <c r="J22"/>
      <c r="K22"/>
      <c r="L22"/>
    </row>
    <row r="23" spans="1:29" ht="15.75" hidden="1" customHeight="1" x14ac:dyDescent="0.35">
      <c r="A23" s="11" t="s">
        <v>15</v>
      </c>
      <c r="B23" s="11" t="s">
        <v>14</v>
      </c>
      <c r="C23" s="11" t="s">
        <v>13</v>
      </c>
      <c r="D23" s="11" t="s">
        <v>13</v>
      </c>
      <c r="E23"/>
      <c r="F23"/>
      <c r="G23" t="str">
        <f>RIGHT(P12,8)</f>
        <v>00000100</v>
      </c>
      <c r="H23"/>
      <c r="I23" t="str">
        <f>RIGHT(I21,8)</f>
        <v/>
      </c>
      <c r="J23"/>
      <c r="K23"/>
      <c r="L23"/>
    </row>
    <row r="24" spans="1:29" ht="16.5" hidden="1" customHeight="1" x14ac:dyDescent="0.35">
      <c r="A24" s="11" t="s">
        <v>16</v>
      </c>
      <c r="B24" s="11" t="s">
        <v>14</v>
      </c>
      <c r="C24" s="11" t="s">
        <v>13</v>
      </c>
      <c r="D24" s="11" t="s">
        <v>14</v>
      </c>
      <c r="E24"/>
      <c r="F24"/>
      <c r="G24" t="str">
        <f>BIN2HEX(G22, 2)</f>
        <v>11</v>
      </c>
      <c r="H24"/>
      <c r="I24"/>
      <c r="J24"/>
      <c r="K24"/>
      <c r="L24"/>
    </row>
    <row r="25" spans="1:29" hidden="1" x14ac:dyDescent="0.35">
      <c r="A25" s="11" t="s">
        <v>120</v>
      </c>
      <c r="B25" s="11" t="s">
        <v>14</v>
      </c>
      <c r="C25" s="11" t="s">
        <v>14</v>
      </c>
      <c r="D25" s="11" t="s">
        <v>13</v>
      </c>
      <c r="G25" s="7" t="str">
        <f>BIN2HEX(G23,2)</f>
        <v>04</v>
      </c>
    </row>
    <row r="26" spans="1:29" hidden="1" x14ac:dyDescent="0.35">
      <c r="A26" s="11" t="s">
        <v>17</v>
      </c>
      <c r="B26" s="11" t="s">
        <v>14</v>
      </c>
      <c r="C26" s="11" t="s">
        <v>14</v>
      </c>
      <c r="D26" s="11" t="s">
        <v>14</v>
      </c>
    </row>
    <row r="27" spans="1:29" hidden="1" x14ac:dyDescent="0.35"/>
    <row r="28" spans="1:29" hidden="1" x14ac:dyDescent="0.35">
      <c r="A28" s="11"/>
      <c r="B28" s="11" t="s">
        <v>18</v>
      </c>
      <c r="C28" s="11" t="s">
        <v>19</v>
      </c>
    </row>
    <row r="29" spans="1:29" hidden="1" x14ac:dyDescent="0.35">
      <c r="A29" s="11" t="s">
        <v>20</v>
      </c>
      <c r="B29" s="11" t="s">
        <v>13</v>
      </c>
      <c r="C29" s="11" t="s">
        <v>13</v>
      </c>
      <c r="D29" s="35" t="s">
        <v>191</v>
      </c>
    </row>
    <row r="30" spans="1:29" hidden="1" x14ac:dyDescent="0.35">
      <c r="A30" s="11" t="s">
        <v>21</v>
      </c>
      <c r="B30" s="11" t="s">
        <v>14</v>
      </c>
      <c r="C30" s="11" t="s">
        <v>13</v>
      </c>
      <c r="D30" s="36" t="s">
        <v>192</v>
      </c>
    </row>
    <row r="31" spans="1:29" hidden="1" x14ac:dyDescent="0.35">
      <c r="A31" s="11" t="s">
        <v>22</v>
      </c>
      <c r="B31" s="11" t="s">
        <v>23</v>
      </c>
      <c r="C31" s="11" t="s">
        <v>13</v>
      </c>
      <c r="D31" s="36" t="s">
        <v>193</v>
      </c>
    </row>
    <row r="32" spans="1:29" hidden="1" x14ac:dyDescent="0.35">
      <c r="A32" s="11" t="s">
        <v>24</v>
      </c>
      <c r="B32" s="11" t="s">
        <v>13</v>
      </c>
      <c r="C32" s="11" t="s">
        <v>14</v>
      </c>
      <c r="D32" s="36" t="s">
        <v>194</v>
      </c>
    </row>
    <row r="33" spans="1:28" hidden="1" x14ac:dyDescent="0.35">
      <c r="A33" s="11" t="s">
        <v>25</v>
      </c>
      <c r="B33" s="11" t="s">
        <v>13</v>
      </c>
      <c r="C33" s="11" t="s">
        <v>23</v>
      </c>
      <c r="D33" s="35" t="s">
        <v>195</v>
      </c>
    </row>
    <row r="34" spans="1:28" hidden="1" x14ac:dyDescent="0.35">
      <c r="A34" s="11" t="s">
        <v>26</v>
      </c>
      <c r="B34" s="11" t="s">
        <v>14</v>
      </c>
      <c r="C34" s="11" t="s">
        <v>14</v>
      </c>
      <c r="D34" s="35" t="s">
        <v>196</v>
      </c>
    </row>
    <row r="35" spans="1:28" hidden="1" x14ac:dyDescent="0.35">
      <c r="A35" s="11" t="s">
        <v>27</v>
      </c>
      <c r="B35" s="11" t="s">
        <v>23</v>
      </c>
      <c r="C35" s="11" t="s">
        <v>14</v>
      </c>
      <c r="D35" s="35" t="s">
        <v>197</v>
      </c>
    </row>
    <row r="36" spans="1:28" hidden="1" x14ac:dyDescent="0.35">
      <c r="A36" s="11" t="s">
        <v>28</v>
      </c>
      <c r="B36" s="11" t="s">
        <v>14</v>
      </c>
      <c r="C36" s="11" t="s">
        <v>23</v>
      </c>
      <c r="D36" s="35" t="s">
        <v>198</v>
      </c>
    </row>
    <row r="37" spans="1:28" hidden="1" x14ac:dyDescent="0.35">
      <c r="A37" s="11" t="s">
        <v>29</v>
      </c>
      <c r="B37" s="11" t="s">
        <v>23</v>
      </c>
      <c r="C37" s="11" t="s">
        <v>23</v>
      </c>
      <c r="D37" s="35" t="s">
        <v>199</v>
      </c>
    </row>
    <row r="38" spans="1:28" hidden="1" x14ac:dyDescent="0.35"/>
    <row r="39" spans="1:28" hidden="1" x14ac:dyDescent="0.35">
      <c r="A39" s="11"/>
      <c r="B39" s="11" t="s">
        <v>30</v>
      </c>
      <c r="C39" s="11" t="s">
        <v>6</v>
      </c>
    </row>
    <row r="40" spans="1:28" hidden="1" x14ac:dyDescent="0.35">
      <c r="A40" s="11" t="s">
        <v>13</v>
      </c>
      <c r="B40" s="11" t="s">
        <v>31</v>
      </c>
      <c r="C40" s="11" t="s">
        <v>31</v>
      </c>
    </row>
    <row r="41" spans="1:28" hidden="1" x14ac:dyDescent="0.35">
      <c r="A41" s="11" t="s">
        <v>14</v>
      </c>
      <c r="B41" s="11" t="s">
        <v>32</v>
      </c>
      <c r="C41" s="11" t="s">
        <v>31</v>
      </c>
    </row>
    <row r="42" spans="1:28" hidden="1" x14ac:dyDescent="0.35"/>
    <row r="43" spans="1:28" hidden="1" x14ac:dyDescent="0.35">
      <c r="A43" s="7" t="s">
        <v>123</v>
      </c>
      <c r="B43" s="7" t="s">
        <v>30</v>
      </c>
      <c r="C43" s="7" t="s">
        <v>6</v>
      </c>
    </row>
    <row r="44" spans="1:28" ht="16.5" hidden="1" customHeight="1" x14ac:dyDescent="0.35">
      <c r="A44" s="7" t="s">
        <v>13</v>
      </c>
      <c r="B44" s="7" t="s">
        <v>31</v>
      </c>
      <c r="C44" s="11" t="s">
        <v>31</v>
      </c>
    </row>
    <row r="45" spans="1:28" hidden="1" x14ac:dyDescent="0.35">
      <c r="A45" s="7" t="s">
        <v>14</v>
      </c>
      <c r="B45" s="11" t="s">
        <v>121</v>
      </c>
      <c r="C45" s="11" t="s">
        <v>31</v>
      </c>
    </row>
    <row r="46" spans="1:28" hidden="1" x14ac:dyDescent="0.35">
      <c r="A46" s="7" t="s">
        <v>23</v>
      </c>
      <c r="B46" s="11" t="s">
        <v>122</v>
      </c>
      <c r="C46" s="11" t="s">
        <v>31</v>
      </c>
    </row>
    <row r="47" spans="1:28" hidden="1" x14ac:dyDescent="0.35">
      <c r="Z47"/>
      <c r="AA47"/>
      <c r="AB47"/>
    </row>
    <row r="48" spans="1:28" hidden="1" x14ac:dyDescent="0.35">
      <c r="A48" s="7" t="s">
        <v>124</v>
      </c>
      <c r="B48" s="7" t="s">
        <v>30</v>
      </c>
      <c r="C48" s="7" t="s">
        <v>6</v>
      </c>
      <c r="Z48"/>
      <c r="AA48"/>
      <c r="AB48"/>
    </row>
    <row r="49" spans="1:28" hidden="1" x14ac:dyDescent="0.35">
      <c r="A49" s="7" t="s">
        <v>13</v>
      </c>
      <c r="B49" s="7" t="s">
        <v>31</v>
      </c>
      <c r="C49" s="11" t="s">
        <v>31</v>
      </c>
      <c r="Z49"/>
      <c r="AA49"/>
      <c r="AB49"/>
    </row>
    <row r="50" spans="1:28" hidden="1" x14ac:dyDescent="0.35">
      <c r="A50" s="7" t="s">
        <v>14</v>
      </c>
      <c r="B50" s="11" t="s">
        <v>125</v>
      </c>
      <c r="C50" s="11" t="s">
        <v>31</v>
      </c>
      <c r="Z50"/>
      <c r="AA50"/>
      <c r="AB50"/>
    </row>
    <row r="51" spans="1:28" hidden="1" x14ac:dyDescent="0.35">
      <c r="A51" s="7" t="s">
        <v>23</v>
      </c>
      <c r="B51" s="11" t="s">
        <v>126</v>
      </c>
      <c r="C51" s="11" t="s">
        <v>31</v>
      </c>
      <c r="Z51"/>
      <c r="AA51"/>
      <c r="AB51"/>
    </row>
    <row r="52" spans="1:28" hidden="1" x14ac:dyDescent="0.35">
      <c r="Z52"/>
      <c r="AA52"/>
      <c r="AB52"/>
    </row>
    <row r="53" spans="1:28" hidden="1" x14ac:dyDescent="0.35">
      <c r="A53" s="7" t="s">
        <v>127</v>
      </c>
      <c r="B53" s="7" t="s">
        <v>30</v>
      </c>
      <c r="C53" s="7" t="s">
        <v>6</v>
      </c>
      <c r="Z53"/>
      <c r="AA53"/>
      <c r="AB53"/>
    </row>
    <row r="54" spans="1:28" hidden="1" x14ac:dyDescent="0.35">
      <c r="A54" s="7" t="s">
        <v>13</v>
      </c>
      <c r="B54" s="7" t="s">
        <v>31</v>
      </c>
      <c r="C54" s="11" t="s">
        <v>31</v>
      </c>
    </row>
    <row r="55" spans="1:28" hidden="1" x14ac:dyDescent="0.35">
      <c r="A55" s="7" t="s">
        <v>14</v>
      </c>
      <c r="B55" s="11" t="s">
        <v>128</v>
      </c>
      <c r="C55" s="11" t="s">
        <v>31</v>
      </c>
    </row>
    <row r="56" spans="1:28" hidden="1" x14ac:dyDescent="0.35">
      <c r="A56" s="7" t="s">
        <v>23</v>
      </c>
      <c r="B56" s="11" t="s">
        <v>129</v>
      </c>
      <c r="C56" s="11" t="s">
        <v>31</v>
      </c>
    </row>
    <row r="58" spans="1:28" x14ac:dyDescent="0.35">
      <c r="O58" s="7"/>
    </row>
    <row r="59" spans="1:28" x14ac:dyDescent="0.35">
      <c r="O59" s="7"/>
    </row>
    <row r="60" spans="1:28" x14ac:dyDescent="0.35">
      <c r="O60" s="7"/>
    </row>
    <row r="61" spans="1:28" x14ac:dyDescent="0.35">
      <c r="O61" s="7"/>
    </row>
    <row r="62" spans="1:28" x14ac:dyDescent="0.35">
      <c r="O62" s="7"/>
    </row>
    <row r="63" spans="1:28" x14ac:dyDescent="0.35">
      <c r="O63" s="7"/>
    </row>
    <row r="64" spans="1:28" x14ac:dyDescent="0.35">
      <c r="O64" s="7"/>
    </row>
    <row r="65" spans="15:15" x14ac:dyDescent="0.35">
      <c r="O65" s="7"/>
    </row>
    <row r="66" spans="15:15" x14ac:dyDescent="0.35">
      <c r="O66" s="7"/>
    </row>
    <row r="67" spans="15:15" x14ac:dyDescent="0.35">
      <c r="O67" s="7"/>
    </row>
  </sheetData>
  <mergeCells count="56">
    <mergeCell ref="N16:O17"/>
    <mergeCell ref="J10:K10"/>
    <mergeCell ref="H10:I10"/>
    <mergeCell ref="H11:I11"/>
    <mergeCell ref="B10:C11"/>
    <mergeCell ref="D10:E11"/>
    <mergeCell ref="F11:G11"/>
    <mergeCell ref="B12:C12"/>
    <mergeCell ref="D12:E12"/>
    <mergeCell ref="J11:K11"/>
    <mergeCell ref="F12:O12"/>
    <mergeCell ref="B9:C9"/>
    <mergeCell ref="D8:E8"/>
    <mergeCell ref="B8:C8"/>
    <mergeCell ref="B4:E4"/>
    <mergeCell ref="F9:G9"/>
    <mergeCell ref="F8:G8"/>
    <mergeCell ref="F7:G7"/>
    <mergeCell ref="D5:E7"/>
    <mergeCell ref="B5:C7"/>
    <mergeCell ref="F6:G6"/>
    <mergeCell ref="F5:G5"/>
    <mergeCell ref="D9:E9"/>
    <mergeCell ref="F4:G4"/>
    <mergeCell ref="N5:O5"/>
    <mergeCell ref="L9:M9"/>
    <mergeCell ref="L8:M8"/>
    <mergeCell ref="L7:M7"/>
    <mergeCell ref="J8:K8"/>
    <mergeCell ref="J6:K6"/>
    <mergeCell ref="L4:M4"/>
    <mergeCell ref="L11:M11"/>
    <mergeCell ref="H8:I8"/>
    <mergeCell ref="J9:K9"/>
    <mergeCell ref="H9:I9"/>
    <mergeCell ref="H4:I4"/>
    <mergeCell ref="H5:I5"/>
    <mergeCell ref="H6:I6"/>
    <mergeCell ref="H7:I7"/>
    <mergeCell ref="L10:M10"/>
    <mergeCell ref="J18:M19"/>
    <mergeCell ref="N18:O19"/>
    <mergeCell ref="F10:G10"/>
    <mergeCell ref="J16:M17"/>
    <mergeCell ref="N4:O4"/>
    <mergeCell ref="J4:K4"/>
    <mergeCell ref="J7:K7"/>
    <mergeCell ref="L6:M6"/>
    <mergeCell ref="L5:M5"/>
    <mergeCell ref="N9:O9"/>
    <mergeCell ref="N10:O10"/>
    <mergeCell ref="N11:O11"/>
    <mergeCell ref="N8:O8"/>
    <mergeCell ref="N7:O7"/>
    <mergeCell ref="J5:K5"/>
    <mergeCell ref="N6:O6"/>
  </mergeCells>
  <dataValidations count="5">
    <dataValidation type="list" allowBlank="1" showInputMessage="1" showErrorMessage="1" sqref="D8:E8" xr:uid="{00000000-0002-0000-0200-000002000000}">
      <formula1>"Master, Slave"</formula1>
    </dataValidation>
    <dataValidation type="list" allowBlank="1" showInputMessage="1" showErrorMessage="1" sqref="D9:E9" xr:uid="{00000000-0002-0000-0200-000003000000}">
      <formula1>"Autonomous, Managed"</formula1>
    </dataValidation>
    <dataValidation type="list" allowBlank="1" showInputMessage="1" showErrorMessage="1" sqref="D12:E12" xr:uid="{638CD274-6D7D-468D-B9F5-E5C037EDA9F7}">
      <formula1>"1.8V, 2.5V, 3.3V"</formula1>
    </dataValidation>
    <dataValidation type="list" allowBlank="1" showInputMessage="1" showErrorMessage="1" sqref="D10" xr:uid="{4044465D-F476-480C-B5EA-89FA4EF151F4}">
      <formula1>"0x0,0x4, 0x5, 0x8, 0xA, 0xC, 0xD, 0xE, 0xF"</formula1>
    </dataValidation>
    <dataValidation type="list" allowBlank="1" showInputMessage="1" showErrorMessage="1" sqref="D5:E7" xr:uid="{00000000-0002-0000-0200-000000000000}">
      <formula1>$A$22:$A$26</formula1>
    </dataValidation>
  </dataValidations>
  <pageMargins left="0.7" right="0.7" top="0.75" bottom="0.75" header="0.3" footer="0.3"/>
  <pageSetup paperSize="1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6" r:id="rId4" name="List Box 2">
              <controlPr defaultSize="0" autoLine="0" autoPict="0">
                <anchor moveWithCells="1">
                  <from>
                    <xdr:col>0</xdr:col>
                    <xdr:colOff>114300</xdr:colOff>
                    <xdr:row>108</xdr:row>
                    <xdr:rowOff>133350</xdr:rowOff>
                  </from>
                  <to>
                    <xdr:col>0</xdr:col>
                    <xdr:colOff>698500</xdr:colOff>
                    <xdr:row>110</xdr:row>
                    <xdr:rowOff>184150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B3F2C-B093-4D41-955E-5A21E671A3C5}">
  <dimension ref="A1:H52"/>
  <sheetViews>
    <sheetView zoomScale="79" zoomScaleNormal="85" workbookViewId="0">
      <selection sqref="A1:C1"/>
    </sheetView>
  </sheetViews>
  <sheetFormatPr defaultRowHeight="15.5" x14ac:dyDescent="0.35"/>
  <cols>
    <col min="1" max="1" width="10.83203125" bestFit="1" customWidth="1"/>
    <col min="2" max="2" width="9" customWidth="1"/>
    <col min="3" max="3" width="82.5" customWidth="1"/>
    <col min="4" max="4" width="43.83203125" customWidth="1"/>
    <col min="6" max="6" width="11.25" customWidth="1"/>
  </cols>
  <sheetData>
    <row r="1" spans="1:8" ht="31.15" customHeight="1" x14ac:dyDescent="0.35">
      <c r="A1" s="39" t="s">
        <v>183</v>
      </c>
      <c r="B1" s="39"/>
      <c r="C1" s="39"/>
      <c r="D1" s="22"/>
      <c r="E1" s="22"/>
      <c r="F1" s="22"/>
      <c r="G1" s="6"/>
      <c r="H1" s="3"/>
    </row>
    <row r="3" spans="1:8" x14ac:dyDescent="0.35">
      <c r="A3" s="23" t="s">
        <v>33</v>
      </c>
      <c r="B3" s="23"/>
      <c r="C3" s="23" t="s">
        <v>65</v>
      </c>
      <c r="D3" s="23" t="s">
        <v>66</v>
      </c>
      <c r="E3" s="27" t="s">
        <v>67</v>
      </c>
      <c r="F3" s="27" t="s">
        <v>158</v>
      </c>
    </row>
    <row r="4" spans="1:8" ht="78.650000000000006" customHeight="1" x14ac:dyDescent="0.35">
      <c r="A4" s="64" t="s">
        <v>68</v>
      </c>
      <c r="B4" s="26">
        <v>1</v>
      </c>
      <c r="C4" s="24" t="s">
        <v>69</v>
      </c>
      <c r="D4" s="94"/>
      <c r="E4" s="94"/>
      <c r="F4" s="94"/>
    </row>
    <row r="5" spans="1:8" ht="95.15" customHeight="1" x14ac:dyDescent="0.35">
      <c r="A5" s="64"/>
      <c r="B5" s="26">
        <f>B4+1</f>
        <v>2</v>
      </c>
      <c r="C5" s="24" t="s">
        <v>70</v>
      </c>
      <c r="D5" s="94"/>
      <c r="E5" s="94"/>
      <c r="F5" s="94"/>
    </row>
    <row r="6" spans="1:8" x14ac:dyDescent="0.35">
      <c r="A6" s="64"/>
      <c r="B6" s="26">
        <f t="shared" ref="B6:B52" si="0">B5+1</f>
        <v>3</v>
      </c>
      <c r="C6" s="1" t="s">
        <v>71</v>
      </c>
      <c r="D6" s="1"/>
      <c r="E6" s="1"/>
      <c r="F6" s="1"/>
    </row>
    <row r="7" spans="1:8" ht="31" x14ac:dyDescent="0.35">
      <c r="A7" s="64"/>
      <c r="B7" s="26">
        <f t="shared" si="0"/>
        <v>4</v>
      </c>
      <c r="C7" s="24" t="s">
        <v>72</v>
      </c>
      <c r="D7" s="1"/>
      <c r="E7" s="1"/>
      <c r="F7" s="1"/>
    </row>
    <row r="8" spans="1:8" x14ac:dyDescent="0.35">
      <c r="A8" s="64"/>
      <c r="B8" s="26">
        <f t="shared" si="0"/>
        <v>5</v>
      </c>
      <c r="C8" s="24" t="s">
        <v>73</v>
      </c>
      <c r="D8" s="1"/>
      <c r="E8" s="1"/>
      <c r="F8" s="1"/>
    </row>
    <row r="9" spans="1:8" x14ac:dyDescent="0.35">
      <c r="A9" s="64"/>
      <c r="B9" s="26">
        <f t="shared" si="0"/>
        <v>6</v>
      </c>
      <c r="C9" s="24" t="s">
        <v>74</v>
      </c>
      <c r="D9" s="1"/>
      <c r="E9" s="1"/>
      <c r="F9" s="1"/>
    </row>
    <row r="10" spans="1:8" x14ac:dyDescent="0.35">
      <c r="A10" s="64"/>
      <c r="B10" s="26">
        <f t="shared" si="0"/>
        <v>7</v>
      </c>
      <c r="C10" s="24" t="s">
        <v>75</v>
      </c>
      <c r="D10" s="1"/>
      <c r="E10" s="1"/>
      <c r="F10" s="1"/>
    </row>
    <row r="11" spans="1:8" ht="31" x14ac:dyDescent="0.35">
      <c r="A11" s="64"/>
      <c r="B11" s="26">
        <f t="shared" si="0"/>
        <v>8</v>
      </c>
      <c r="C11" s="24" t="s">
        <v>76</v>
      </c>
      <c r="D11" s="1"/>
      <c r="E11" s="1"/>
      <c r="F11" s="1"/>
    </row>
    <row r="12" spans="1:8" x14ac:dyDescent="0.35">
      <c r="A12" s="64"/>
      <c r="B12" s="26">
        <f t="shared" si="0"/>
        <v>9</v>
      </c>
      <c r="C12" s="24" t="s">
        <v>77</v>
      </c>
      <c r="D12" s="1"/>
      <c r="E12" s="1"/>
      <c r="F12" s="1"/>
    </row>
    <row r="13" spans="1:8" x14ac:dyDescent="0.35">
      <c r="A13" s="97"/>
      <c r="B13" s="98"/>
      <c r="C13" s="98"/>
      <c r="D13" s="98"/>
      <c r="E13" s="98"/>
      <c r="F13" s="98"/>
    </row>
    <row r="14" spans="1:8" x14ac:dyDescent="0.35">
      <c r="A14" s="74" t="s">
        <v>36</v>
      </c>
      <c r="B14" s="26">
        <f>B12+1</f>
        <v>10</v>
      </c>
      <c r="C14" s="24" t="s">
        <v>78</v>
      </c>
      <c r="D14" s="1"/>
      <c r="E14" s="1"/>
      <c r="F14" s="1"/>
    </row>
    <row r="15" spans="1:8" x14ac:dyDescent="0.35">
      <c r="A15" s="74"/>
      <c r="B15" s="26">
        <f t="shared" si="0"/>
        <v>11</v>
      </c>
      <c r="C15" s="24" t="s">
        <v>147</v>
      </c>
      <c r="D15" s="1"/>
      <c r="E15" s="1"/>
      <c r="F15" s="1"/>
    </row>
    <row r="16" spans="1:8" ht="31" x14ac:dyDescent="0.35">
      <c r="A16" s="74"/>
      <c r="B16" s="26">
        <f t="shared" si="0"/>
        <v>12</v>
      </c>
      <c r="C16" s="24" t="s">
        <v>79</v>
      </c>
      <c r="D16" s="1"/>
      <c r="E16" s="1"/>
      <c r="F16" s="1"/>
    </row>
    <row r="17" spans="1:6" ht="31" x14ac:dyDescent="0.35">
      <c r="A17" s="74"/>
      <c r="B17" s="26">
        <f t="shared" si="0"/>
        <v>13</v>
      </c>
      <c r="C17" s="24" t="s">
        <v>80</v>
      </c>
      <c r="D17" s="1"/>
      <c r="E17" s="1"/>
      <c r="F17" s="1"/>
    </row>
    <row r="18" spans="1:6" x14ac:dyDescent="0.35">
      <c r="A18" s="74"/>
      <c r="B18" s="26">
        <f t="shared" si="0"/>
        <v>14</v>
      </c>
      <c r="C18" s="24" t="s">
        <v>81</v>
      </c>
      <c r="D18" s="1"/>
      <c r="E18" s="1"/>
      <c r="F18" s="1"/>
    </row>
    <row r="19" spans="1:6" x14ac:dyDescent="0.35">
      <c r="A19" s="74"/>
      <c r="B19" s="26">
        <f t="shared" si="0"/>
        <v>15</v>
      </c>
      <c r="C19" s="24" t="s">
        <v>82</v>
      </c>
      <c r="D19" s="1"/>
      <c r="E19" s="1"/>
      <c r="F19" s="1"/>
    </row>
    <row r="20" spans="1:6" x14ac:dyDescent="0.35">
      <c r="A20" s="95"/>
      <c r="B20" s="96"/>
      <c r="C20" s="96"/>
      <c r="D20" s="96"/>
      <c r="E20" s="96"/>
      <c r="F20" s="96"/>
    </row>
    <row r="21" spans="1:6" ht="31" x14ac:dyDescent="0.35">
      <c r="A21" s="74" t="s">
        <v>83</v>
      </c>
      <c r="B21" s="26">
        <f>B19+1</f>
        <v>16</v>
      </c>
      <c r="C21" s="24" t="s">
        <v>84</v>
      </c>
      <c r="D21" s="94"/>
      <c r="E21" s="1"/>
      <c r="F21" s="1"/>
    </row>
    <row r="22" spans="1:6" x14ac:dyDescent="0.35">
      <c r="A22" s="74"/>
      <c r="B22" s="26">
        <f t="shared" si="0"/>
        <v>17</v>
      </c>
      <c r="C22" s="24" t="s">
        <v>85</v>
      </c>
      <c r="D22" s="94"/>
      <c r="E22" s="1"/>
      <c r="F22" s="1"/>
    </row>
    <row r="23" spans="1:6" ht="31" x14ac:dyDescent="0.35">
      <c r="A23" s="74"/>
      <c r="B23" s="26">
        <f t="shared" si="0"/>
        <v>18</v>
      </c>
      <c r="C23" s="24" t="s">
        <v>86</v>
      </c>
      <c r="D23" s="94"/>
      <c r="E23" s="1"/>
      <c r="F23" s="1"/>
    </row>
    <row r="24" spans="1:6" ht="52.5" customHeight="1" x14ac:dyDescent="0.35">
      <c r="A24" s="74"/>
      <c r="B24" s="26">
        <f t="shared" si="0"/>
        <v>19</v>
      </c>
      <c r="C24" s="24" t="s">
        <v>87</v>
      </c>
      <c r="D24" s="94"/>
      <c r="E24" s="1"/>
      <c r="F24" s="1"/>
    </row>
    <row r="25" spans="1:6" ht="15" customHeight="1" x14ac:dyDescent="0.35">
      <c r="A25" s="95"/>
      <c r="B25" s="96"/>
      <c r="C25" s="96"/>
      <c r="D25" s="96"/>
      <c r="E25" s="96"/>
      <c r="F25" s="96"/>
    </row>
    <row r="26" spans="1:6" x14ac:dyDescent="0.35">
      <c r="A26" s="74" t="s">
        <v>88</v>
      </c>
      <c r="B26" s="26">
        <f>B24+1</f>
        <v>20</v>
      </c>
      <c r="C26" s="24" t="s">
        <v>89</v>
      </c>
      <c r="D26" s="1"/>
      <c r="E26" s="1"/>
      <c r="F26" s="1"/>
    </row>
    <row r="27" spans="1:6" x14ac:dyDescent="0.35">
      <c r="A27" s="74"/>
      <c r="B27" s="26">
        <f t="shared" si="0"/>
        <v>21</v>
      </c>
      <c r="C27" s="24" t="s">
        <v>90</v>
      </c>
      <c r="D27" s="1"/>
      <c r="E27" s="1"/>
      <c r="F27" s="1"/>
    </row>
    <row r="28" spans="1:6" x14ac:dyDescent="0.35">
      <c r="A28" s="74"/>
      <c r="B28" s="26">
        <f t="shared" si="0"/>
        <v>22</v>
      </c>
      <c r="C28" s="24" t="s">
        <v>91</v>
      </c>
      <c r="D28" s="1"/>
      <c r="E28" s="1"/>
      <c r="F28" s="1"/>
    </row>
    <row r="29" spans="1:6" x14ac:dyDescent="0.35">
      <c r="A29" s="74"/>
      <c r="B29" s="26">
        <f t="shared" si="0"/>
        <v>23</v>
      </c>
      <c r="C29" s="24" t="s">
        <v>92</v>
      </c>
      <c r="D29" s="1"/>
      <c r="E29" s="1"/>
      <c r="F29" s="1"/>
    </row>
    <row r="30" spans="1:6" x14ac:dyDescent="0.35">
      <c r="A30" s="74"/>
      <c r="B30" s="26">
        <f t="shared" si="0"/>
        <v>24</v>
      </c>
      <c r="C30" s="24" t="s">
        <v>93</v>
      </c>
      <c r="D30" s="1"/>
      <c r="E30" s="1"/>
      <c r="F30" s="1"/>
    </row>
    <row r="31" spans="1:6" x14ac:dyDescent="0.35">
      <c r="A31" s="74"/>
      <c r="B31" s="26">
        <f t="shared" si="0"/>
        <v>25</v>
      </c>
      <c r="C31" s="24" t="s">
        <v>94</v>
      </c>
      <c r="D31" s="1"/>
      <c r="E31" s="1"/>
      <c r="F31" s="1"/>
    </row>
    <row r="32" spans="1:6" x14ac:dyDescent="0.35">
      <c r="A32" s="95"/>
      <c r="B32" s="96"/>
      <c r="C32" s="96"/>
      <c r="D32" s="96"/>
      <c r="E32" s="96"/>
      <c r="F32" s="96"/>
    </row>
    <row r="33" spans="1:6" ht="31" x14ac:dyDescent="0.35">
      <c r="A33" s="74" t="s">
        <v>5</v>
      </c>
      <c r="B33" s="26">
        <f>B31+1</f>
        <v>26</v>
      </c>
      <c r="C33" s="24" t="s">
        <v>95</v>
      </c>
      <c r="D33" s="1"/>
      <c r="E33" s="1"/>
      <c r="F33" s="1"/>
    </row>
    <row r="34" spans="1:6" x14ac:dyDescent="0.35">
      <c r="A34" s="74"/>
      <c r="B34" s="26">
        <f t="shared" si="0"/>
        <v>27</v>
      </c>
      <c r="C34" s="24" t="s">
        <v>96</v>
      </c>
      <c r="D34" s="1"/>
      <c r="E34" s="1"/>
      <c r="F34" s="1"/>
    </row>
    <row r="35" spans="1:6" x14ac:dyDescent="0.35">
      <c r="A35" s="74"/>
      <c r="B35" s="26">
        <f t="shared" si="0"/>
        <v>28</v>
      </c>
      <c r="C35" s="24" t="s">
        <v>97</v>
      </c>
      <c r="D35" s="1"/>
      <c r="E35" s="1"/>
      <c r="F35" s="1"/>
    </row>
    <row r="36" spans="1:6" x14ac:dyDescent="0.35">
      <c r="A36" s="95"/>
      <c r="B36" s="96"/>
      <c r="C36" s="96"/>
      <c r="D36" s="96"/>
      <c r="E36" s="96"/>
      <c r="F36" s="96"/>
    </row>
    <row r="37" spans="1:6" x14ac:dyDescent="0.35">
      <c r="A37" s="74" t="s">
        <v>98</v>
      </c>
      <c r="B37" s="26">
        <f>B35+1</f>
        <v>29</v>
      </c>
      <c r="C37" s="1" t="s">
        <v>99</v>
      </c>
      <c r="D37" s="1"/>
      <c r="E37" s="1"/>
      <c r="F37" s="1"/>
    </row>
    <row r="38" spans="1:6" x14ac:dyDescent="0.35">
      <c r="A38" s="74"/>
      <c r="B38" s="26">
        <f t="shared" si="0"/>
        <v>30</v>
      </c>
      <c r="C38" s="25" t="s">
        <v>100</v>
      </c>
      <c r="D38" s="1"/>
      <c r="E38" s="1"/>
      <c r="F38" s="1"/>
    </row>
    <row r="39" spans="1:6" x14ac:dyDescent="0.35">
      <c r="A39" s="74"/>
      <c r="B39" s="26">
        <f t="shared" si="0"/>
        <v>31</v>
      </c>
      <c r="C39" s="25" t="s">
        <v>101</v>
      </c>
      <c r="D39" s="1"/>
      <c r="E39" s="1"/>
      <c r="F39" s="1"/>
    </row>
    <row r="40" spans="1:6" x14ac:dyDescent="0.35">
      <c r="A40" s="74"/>
      <c r="B40" s="26">
        <f t="shared" si="0"/>
        <v>32</v>
      </c>
      <c r="C40" s="25" t="s">
        <v>102</v>
      </c>
      <c r="D40" s="1"/>
      <c r="E40" s="1"/>
      <c r="F40" s="1"/>
    </row>
    <row r="41" spans="1:6" x14ac:dyDescent="0.35">
      <c r="A41" s="74"/>
      <c r="B41" s="26">
        <f t="shared" si="0"/>
        <v>33</v>
      </c>
      <c r="C41" s="25" t="s">
        <v>103</v>
      </c>
      <c r="D41" s="1"/>
      <c r="E41" s="1"/>
      <c r="F41" s="1"/>
    </row>
    <row r="42" spans="1:6" x14ac:dyDescent="0.35">
      <c r="A42" s="74"/>
      <c r="B42" s="26">
        <f t="shared" si="0"/>
        <v>34</v>
      </c>
      <c r="C42" s="25" t="s">
        <v>104</v>
      </c>
      <c r="D42" s="1"/>
      <c r="E42" s="1"/>
      <c r="F42" s="1"/>
    </row>
    <row r="43" spans="1:6" x14ac:dyDescent="0.35">
      <c r="A43" s="74"/>
      <c r="B43" s="26">
        <f t="shared" si="0"/>
        <v>35</v>
      </c>
      <c r="C43" s="25" t="s">
        <v>105</v>
      </c>
      <c r="D43" s="1"/>
      <c r="E43" s="1"/>
      <c r="F43" s="1"/>
    </row>
    <row r="44" spans="1:6" x14ac:dyDescent="0.35">
      <c r="A44" s="74"/>
      <c r="B44" s="26">
        <f t="shared" si="0"/>
        <v>36</v>
      </c>
      <c r="C44" s="25" t="s">
        <v>106</v>
      </c>
      <c r="D44" s="1"/>
      <c r="E44" s="1"/>
      <c r="F44" s="1"/>
    </row>
    <row r="45" spans="1:6" x14ac:dyDescent="0.35">
      <c r="A45" s="74"/>
      <c r="B45" s="26">
        <f t="shared" si="0"/>
        <v>37</v>
      </c>
      <c r="C45" s="25" t="s">
        <v>107</v>
      </c>
      <c r="D45" s="1"/>
      <c r="E45" s="1"/>
      <c r="F45" s="1"/>
    </row>
    <row r="46" spans="1:6" x14ac:dyDescent="0.35">
      <c r="A46" s="74"/>
      <c r="B46" s="26">
        <f t="shared" si="0"/>
        <v>38</v>
      </c>
      <c r="C46" s="25" t="s">
        <v>108</v>
      </c>
      <c r="D46" s="1"/>
      <c r="E46" s="1"/>
      <c r="F46" s="1"/>
    </row>
    <row r="47" spans="1:6" x14ac:dyDescent="0.35">
      <c r="A47" s="74"/>
      <c r="B47" s="26">
        <f t="shared" si="0"/>
        <v>39</v>
      </c>
      <c r="C47" s="25" t="s">
        <v>109</v>
      </c>
      <c r="D47" s="1"/>
      <c r="E47" s="1"/>
      <c r="F47" s="1"/>
    </row>
    <row r="48" spans="1:6" x14ac:dyDescent="0.35">
      <c r="A48" s="74"/>
      <c r="B48" s="26">
        <f t="shared" si="0"/>
        <v>40</v>
      </c>
      <c r="C48" s="25" t="s">
        <v>110</v>
      </c>
      <c r="D48" s="1"/>
      <c r="E48" s="1"/>
      <c r="F48" s="1"/>
    </row>
    <row r="49" spans="1:6" x14ac:dyDescent="0.35">
      <c r="A49" s="74"/>
      <c r="B49" s="26">
        <f t="shared" si="0"/>
        <v>41</v>
      </c>
      <c r="C49" s="25" t="s">
        <v>111</v>
      </c>
      <c r="D49" s="1"/>
      <c r="E49" s="1"/>
      <c r="F49" s="1"/>
    </row>
    <row r="50" spans="1:6" x14ac:dyDescent="0.35">
      <c r="A50" s="74"/>
      <c r="B50" s="26">
        <f t="shared" si="0"/>
        <v>42</v>
      </c>
      <c r="C50" s="25" t="s">
        <v>112</v>
      </c>
      <c r="D50" s="1"/>
      <c r="E50" s="1"/>
      <c r="F50" s="1"/>
    </row>
    <row r="51" spans="1:6" x14ac:dyDescent="0.35">
      <c r="A51" s="74"/>
      <c r="B51" s="26">
        <f t="shared" si="0"/>
        <v>43</v>
      </c>
      <c r="C51" s="25" t="s">
        <v>113</v>
      </c>
      <c r="D51" s="1"/>
      <c r="E51" s="1"/>
      <c r="F51" s="1"/>
    </row>
    <row r="52" spans="1:6" ht="149.5" customHeight="1" x14ac:dyDescent="0.35">
      <c r="A52" s="74"/>
      <c r="B52" s="26">
        <f t="shared" si="0"/>
        <v>44</v>
      </c>
      <c r="C52" s="25" t="s">
        <v>114</v>
      </c>
      <c r="D52" s="1"/>
      <c r="E52" s="1"/>
      <c r="F52" s="1"/>
    </row>
  </sheetData>
  <mergeCells count="16">
    <mergeCell ref="A1:C1"/>
    <mergeCell ref="A33:A35"/>
    <mergeCell ref="A37:A52"/>
    <mergeCell ref="D21:D24"/>
    <mergeCell ref="D4:D5"/>
    <mergeCell ref="A4:A12"/>
    <mergeCell ref="A14:A19"/>
    <mergeCell ref="A21:A24"/>
    <mergeCell ref="A26:A31"/>
    <mergeCell ref="A32:F32"/>
    <mergeCell ref="A36:F36"/>
    <mergeCell ref="E4:E5"/>
    <mergeCell ref="F4:F5"/>
    <mergeCell ref="A13:F13"/>
    <mergeCell ref="A20:F20"/>
    <mergeCell ref="A25:F2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EFC2D-0537-4C85-989C-01046AAA512E}">
  <dimension ref="A1:B15"/>
  <sheetViews>
    <sheetView zoomScale="130" zoomScaleNormal="130" workbookViewId="0">
      <selection activeCell="A4" sqref="A4"/>
    </sheetView>
  </sheetViews>
  <sheetFormatPr defaultRowHeight="15.5" x14ac:dyDescent="0.35"/>
  <cols>
    <col min="1" max="1" width="21.33203125" bestFit="1" customWidth="1"/>
    <col min="2" max="2" width="54.83203125" customWidth="1"/>
  </cols>
  <sheetData>
    <row r="1" spans="1:2" ht="46.5" customHeight="1" x14ac:dyDescent="0.35">
      <c r="A1" s="2" t="s">
        <v>134</v>
      </c>
      <c r="B1" s="1"/>
    </row>
    <row r="2" spans="1:2" ht="75" customHeight="1" x14ac:dyDescent="0.35">
      <c r="A2" s="2" t="s">
        <v>135</v>
      </c>
      <c r="B2" s="1"/>
    </row>
    <row r="5" spans="1:2" ht="139" customHeight="1" x14ac:dyDescent="0.35">
      <c r="A5" s="2" t="s">
        <v>134</v>
      </c>
    </row>
    <row r="6" spans="1:2" ht="46" customHeight="1" x14ac:dyDescent="0.35">
      <c r="A6" s="2" t="s">
        <v>135</v>
      </c>
    </row>
    <row r="7" spans="1:2" x14ac:dyDescent="0.35">
      <c r="A7" t="s">
        <v>136</v>
      </c>
    </row>
    <row r="9" spans="1:2" ht="385.9" customHeight="1" x14ac:dyDescent="0.35">
      <c r="A9" t="s">
        <v>138</v>
      </c>
    </row>
    <row r="10" spans="1:2" ht="408.65" customHeight="1" x14ac:dyDescent="0.35">
      <c r="A10" t="s">
        <v>143</v>
      </c>
    </row>
    <row r="11" spans="1:2" ht="409.15" customHeight="1" x14ac:dyDescent="0.35">
      <c r="A11" t="s">
        <v>144</v>
      </c>
    </row>
    <row r="12" spans="1:2" ht="343.9" customHeight="1" x14ac:dyDescent="0.35">
      <c r="A12" t="s">
        <v>139</v>
      </c>
    </row>
    <row r="13" spans="1:2" ht="307.89999999999998" customHeight="1" x14ac:dyDescent="0.35">
      <c r="A13" t="s">
        <v>140</v>
      </c>
    </row>
    <row r="14" spans="1:2" ht="111.65" customHeight="1" x14ac:dyDescent="0.35">
      <c r="A14" t="s">
        <v>149</v>
      </c>
    </row>
    <row r="15" spans="1:2" ht="112.15" customHeight="1" x14ac:dyDescent="0.35">
      <c r="A15" t="s">
        <v>150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DF3416E0D6A84E82CDCCD8408249F2" ma:contentTypeVersion="3" ma:contentTypeDescription="Create a new document." ma:contentTypeScope="" ma:versionID="f2f7d1bcfd6e4293907de6756504deea">
  <xsd:schema xmlns:xsd="http://www.w3.org/2001/XMLSchema" xmlns:xs="http://www.w3.org/2001/XMLSchema" xmlns:p="http://schemas.microsoft.com/office/2006/metadata/properties" xmlns:ns2="bb91c991-12d0-4478-8207-ba123b6299cc" targetNamespace="http://schemas.microsoft.com/office/2006/metadata/properties" ma:root="true" ma:fieldsID="b8c15fa157e86e831130f68d548f39e6" ns2:_="">
    <xsd:import namespace="bb91c991-12d0-4478-8207-ba123b6299c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91c991-12d0-4478-8207-ba123b6299c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EF1ABF-58D5-4324-B0A3-1724252780C5}">
  <ds:schemaRefs>
    <ds:schemaRef ds:uri="http://schemas.openxmlformats.org/package/2006/metadata/core-properties"/>
    <ds:schemaRef ds:uri="http://purl.org/dc/dcmitype/"/>
    <ds:schemaRef ds:uri="http://schemas.microsoft.com/office/2006/documentManagement/types"/>
    <ds:schemaRef ds:uri="http://www.w3.org/XML/1998/namespace"/>
    <ds:schemaRef ds:uri="http://schemas.microsoft.com/office/2006/metadata/properties"/>
    <ds:schemaRef ds:uri="http://purl.org/dc/terms/"/>
    <ds:schemaRef ds:uri="http://purl.org/dc/elements/1.1/"/>
    <ds:schemaRef ds:uri="http://schemas.microsoft.com/office/infopath/2007/PartnerControls"/>
    <ds:schemaRef ds:uri="bb91c991-12d0-4478-8207-ba123b6299cc"/>
  </ds:schemaRefs>
</ds:datastoreItem>
</file>

<file path=customXml/itemProps2.xml><?xml version="1.0" encoding="utf-8"?>
<ds:datastoreItem xmlns:ds="http://schemas.openxmlformats.org/officeDocument/2006/customXml" ds:itemID="{3C823B5E-EB62-4ACC-81FE-3DC0F0C0C4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91c991-12d0-4478-8207-ba123b6299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4F5F69-2289-4977-A295-857E69E9C0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DP83TG720 Pin Wise Checklist</vt:lpstr>
      <vt:lpstr>Strap Tool</vt:lpstr>
      <vt:lpstr>Layout Checklist</vt:lpstr>
      <vt:lpstr>Pictures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DP83TC812_Schematic_Layout_Review_Checklist</dc:title>
  <dc:subject/>
  <dc:creator>Microsoft Office User</dc:creator>
  <cp:keywords/>
  <dc:description/>
  <cp:lastModifiedBy>Vishal Mistry</cp:lastModifiedBy>
  <cp:revision/>
  <dcterms:created xsi:type="dcterms:W3CDTF">2017-11-24T07:37:11Z</dcterms:created>
  <dcterms:modified xsi:type="dcterms:W3CDTF">2025-06-01T19:05:52Z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0x01010040DF3416E0D6A84E82CDCCD8408249F2</vt:lpwstr>
  </property>
  <property fmtid="{D5CDD505-2E9C-101B-9397-08002B2CF9AE}" pid="3" name="MSIP_Label_879e395e-e3b5-421f-8616-70a10f9451af_Enabled">
    <vt:lpwstr>true</vt:lpwstr>
  </property>
  <property fmtid="{D5CDD505-2E9C-101B-9397-08002B2CF9AE}" pid="4" name="MSIP_Label_879e395e-e3b5-421f-8616-70a10f9451af_SetDate">
    <vt:lpwstr>2025-06-01T19:03:38Z</vt:lpwstr>
  </property>
  <property fmtid="{D5CDD505-2E9C-101B-9397-08002B2CF9AE}" pid="5" name="MSIP_Label_879e395e-e3b5-421f-8616-70a10f9451af_Method">
    <vt:lpwstr>Standard</vt:lpwstr>
  </property>
  <property fmtid="{D5CDD505-2E9C-101B-9397-08002B2CF9AE}" pid="6" name="MSIP_Label_879e395e-e3b5-421f-8616-70a10f9451af_Name">
    <vt:lpwstr>879e395e-e3b5-421f-8616-70a10f9451af</vt:lpwstr>
  </property>
  <property fmtid="{D5CDD505-2E9C-101B-9397-08002B2CF9AE}" pid="7" name="MSIP_Label_879e395e-e3b5-421f-8616-70a10f9451af_SiteId">
    <vt:lpwstr>0beb0c35-9cbb-4feb-99e5-589e415c7944</vt:lpwstr>
  </property>
  <property fmtid="{D5CDD505-2E9C-101B-9397-08002B2CF9AE}" pid="8" name="MSIP_Label_879e395e-e3b5-421f-8616-70a10f9451af_ActionId">
    <vt:lpwstr>a68bfc28-451c-44d1-a40a-1354ee6bf1c6</vt:lpwstr>
  </property>
  <property fmtid="{D5CDD505-2E9C-101B-9397-08002B2CF9AE}" pid="9" name="MSIP_Label_879e395e-e3b5-421f-8616-70a10f9451af_ContentBits">
    <vt:lpwstr>0</vt:lpwstr>
  </property>
  <property fmtid="{D5CDD505-2E9C-101B-9397-08002B2CF9AE}" pid="10" name="MSIP_Label_879e395e-e3b5-421f-8616-70a10f9451af_Tag">
    <vt:lpwstr>10, 3, 0, 1</vt:lpwstr>
  </property>
</Properties>
</file>