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gofilesub\0ﾌｧｲﾙ転送\川上さん←仙波20181231\i.MX8\"/>
    </mc:Choice>
  </mc:AlternateContent>
  <bookViews>
    <workbookView xWindow="0" yWindow="0" windowWidth="9105" windowHeight="10860"/>
  </bookViews>
  <sheets>
    <sheet name="SN65DSI85_REG_MAP" sheetId="2" r:id="rId1"/>
    <sheet name="PARAMATER_CODE_OUT" sheetId="3" r:id="rId2"/>
    <sheet name="Sheet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1" i="3"/>
  <c r="A2" i="3"/>
  <c r="B27" i="3" l="1"/>
  <c r="D17" i="3"/>
  <c r="P22" i="2"/>
  <c r="G22" i="2" s="1"/>
  <c r="C12" i="3"/>
  <c r="T7" i="2"/>
  <c r="C3" i="3" s="1"/>
  <c r="N9" i="2" l="1"/>
  <c r="M44" i="2"/>
  <c r="M42" i="2"/>
  <c r="M40" i="2"/>
  <c r="C16" i="2" l="1"/>
  <c r="B57" i="2" l="1"/>
  <c r="B45" i="2"/>
  <c r="C45" i="2" s="1"/>
  <c r="B43" i="2"/>
  <c r="C43" i="2" s="1"/>
  <c r="B41" i="2"/>
  <c r="C41" i="2" s="1"/>
  <c r="C37" i="2"/>
  <c r="B37" i="2"/>
  <c r="B35" i="2"/>
  <c r="C35" i="2" s="1"/>
  <c r="B33" i="2"/>
  <c r="C33" i="2" s="1"/>
  <c r="B29" i="2"/>
  <c r="C29" i="2" s="1"/>
  <c r="B23" i="2"/>
  <c r="B25" i="2"/>
  <c r="K54" i="2"/>
  <c r="G54" i="2"/>
  <c r="C54" i="2" s="1"/>
  <c r="B54" i="2" s="1"/>
  <c r="C43" i="3" s="1" a="1"/>
  <c r="B56" i="2"/>
  <c r="C56" i="2" s="1"/>
  <c r="C55" i="2"/>
  <c r="B55" i="2"/>
  <c r="B53" i="2"/>
  <c r="C53" i="2" s="1"/>
  <c r="B51" i="2"/>
  <c r="C51" i="2" s="1"/>
  <c r="C49" i="2"/>
  <c r="B49" i="2"/>
  <c r="C47" i="2"/>
  <c r="B47" i="2"/>
  <c r="B44" i="2"/>
  <c r="C44" i="2" s="1"/>
  <c r="B42" i="2"/>
  <c r="B40" i="2"/>
  <c r="C40" i="2" s="1"/>
  <c r="C36" i="2"/>
  <c r="B36" i="2"/>
  <c r="B34" i="2"/>
  <c r="B32" i="2"/>
  <c r="C32" i="2" s="1"/>
  <c r="B28" i="2"/>
  <c r="C28" i="2" s="1"/>
  <c r="C21" i="2"/>
  <c r="B21" i="2"/>
  <c r="B18" i="2"/>
  <c r="B19" i="2"/>
  <c r="B14" i="2"/>
  <c r="B17" i="2"/>
  <c r="J22" i="2"/>
  <c r="K22" i="2"/>
  <c r="K17" i="2"/>
  <c r="C17" i="2" s="1"/>
  <c r="J24" i="2"/>
  <c r="E24" i="2"/>
  <c r="F24" i="2"/>
  <c r="G24" i="2"/>
  <c r="K24" i="2"/>
  <c r="I22" i="2"/>
  <c r="H22" i="2"/>
  <c r="C15" i="2"/>
  <c r="B15" i="2" s="1"/>
  <c r="A15" i="3"/>
  <c r="A30" i="3"/>
  <c r="G10" i="3"/>
  <c r="G11" i="3" s="1"/>
  <c r="E9" i="3"/>
  <c r="E10" i="3" s="1"/>
  <c r="C8" i="3"/>
  <c r="C10" i="3" s="1"/>
  <c r="G6" i="3"/>
  <c r="G7" i="3" s="1"/>
  <c r="E5" i="3"/>
  <c r="E6" i="3" s="1"/>
  <c r="C4" i="3"/>
  <c r="C7" i="3" s="1"/>
  <c r="C57" i="2"/>
  <c r="K57" i="2"/>
  <c r="T5" i="2"/>
  <c r="M21" i="2" s="1"/>
  <c r="C18" i="2"/>
  <c r="J18" i="2" s="1"/>
  <c r="T9" i="2"/>
  <c r="T3" i="2"/>
  <c r="M20" i="2" s="1"/>
  <c r="B20" i="2" s="1"/>
  <c r="C20" i="2" s="1"/>
  <c r="C42" i="2" l="1"/>
  <c r="E42" i="2" s="1"/>
  <c r="C34" i="2"/>
  <c r="J34" i="2" s="1"/>
  <c r="E43" i="3"/>
  <c r="C43" i="3"/>
  <c r="D43" i="3"/>
  <c r="F43" i="3"/>
  <c r="C24" i="2"/>
  <c r="B24" i="2" s="1"/>
  <c r="I18" i="2"/>
  <c r="T10" i="2"/>
  <c r="E11" i="3"/>
  <c r="C11" i="3"/>
  <c r="E7" i="3"/>
  <c r="C9" i="3"/>
  <c r="C5" i="3"/>
  <c r="C6" i="3"/>
  <c r="E22" i="2"/>
  <c r="F22" i="2"/>
  <c r="D22" i="2"/>
  <c r="C14" i="2"/>
  <c r="J45" i="2"/>
  <c r="J41" i="2"/>
  <c r="H37" i="2"/>
  <c r="D32" i="2"/>
  <c r="M53" i="2"/>
  <c r="M52" i="2"/>
  <c r="B52" i="2" s="1"/>
  <c r="C52" i="2" s="1"/>
  <c r="D52" i="2" s="1"/>
  <c r="M51" i="2"/>
  <c r="M50" i="2"/>
  <c r="B50" i="2" s="1"/>
  <c r="C50" i="2" s="1"/>
  <c r="K50" i="2" s="1"/>
  <c r="M49" i="2"/>
  <c r="M47" i="2"/>
  <c r="F44" i="2"/>
  <c r="F40" i="2"/>
  <c r="M38" i="2"/>
  <c r="M32" i="2"/>
  <c r="M26" i="2"/>
  <c r="M28" i="2"/>
  <c r="J29" i="2" s="1"/>
  <c r="Q1" i="2"/>
  <c r="M30" i="2"/>
  <c r="N10" i="2"/>
  <c r="I11" i="3" s="1"/>
  <c r="I7" i="3"/>
  <c r="Q35" i="2"/>
  <c r="Q33" i="2"/>
  <c r="Q31" i="2"/>
  <c r="Q29" i="2"/>
  <c r="Q37" i="2"/>
  <c r="S45" i="2"/>
  <c r="S43" i="2"/>
  <c r="F56" i="2"/>
  <c r="I53" i="2"/>
  <c r="I49" i="2"/>
  <c r="D36" i="2"/>
  <c r="F21" i="2"/>
  <c r="G20" i="2"/>
  <c r="D18" i="2"/>
  <c r="B31" i="2" l="1"/>
  <c r="C31" i="2" s="1"/>
  <c r="B30" i="2"/>
  <c r="B27" i="2"/>
  <c r="C27" i="2" s="1"/>
  <c r="J27" i="2" s="1"/>
  <c r="B26" i="2"/>
  <c r="C26" i="2" s="1"/>
  <c r="K26" i="2" s="1"/>
  <c r="Q27" i="2"/>
  <c r="B39" i="2"/>
  <c r="C39" i="2" s="1"/>
  <c r="J39" i="2" s="1"/>
  <c r="B38" i="2"/>
  <c r="C41" i="3" s="1" a="1"/>
  <c r="D41" i="3" s="1"/>
  <c r="S39" i="2"/>
  <c r="M46" i="2"/>
  <c r="B46" i="2" s="1"/>
  <c r="M48" i="2"/>
  <c r="B48" i="2" s="1"/>
  <c r="E16" i="2"/>
  <c r="B16" i="2"/>
  <c r="C38" i="3" s="1" a="1"/>
  <c r="S41" i="2"/>
  <c r="D28" i="2"/>
  <c r="G56" i="2"/>
  <c r="E40" i="2"/>
  <c r="K37" i="2"/>
  <c r="H16" i="2"/>
  <c r="H44" i="2"/>
  <c r="J50" i="2"/>
  <c r="K34" i="2"/>
  <c r="F50" i="2"/>
  <c r="J42" i="2"/>
  <c r="F34" i="2"/>
  <c r="E50" i="2"/>
  <c r="I42" i="2"/>
  <c r="G32" i="2"/>
  <c r="G52" i="2"/>
  <c r="K40" i="2"/>
  <c r="I36" i="2"/>
  <c r="H20" i="2"/>
  <c r="D15" i="2"/>
  <c r="H15" i="2"/>
  <c r="E19" i="2"/>
  <c r="H19" i="2"/>
  <c r="G23" i="2"/>
  <c r="H23" i="2"/>
  <c r="K31" i="2"/>
  <c r="J31" i="2"/>
  <c r="H35" i="2"/>
  <c r="J35" i="2"/>
  <c r="K35" i="2"/>
  <c r="J43" i="2"/>
  <c r="K43" i="2"/>
  <c r="I47" i="2"/>
  <c r="K47" i="2"/>
  <c r="F47" i="2"/>
  <c r="G47" i="2"/>
  <c r="K51" i="2"/>
  <c r="F51" i="2"/>
  <c r="G51" i="2"/>
  <c r="I51" i="2"/>
  <c r="I55" i="2"/>
  <c r="D55" i="2"/>
  <c r="G55" i="2"/>
  <c r="H55" i="2"/>
  <c r="K56" i="2"/>
  <c r="E56" i="2"/>
  <c r="K52" i="2"/>
  <c r="F52" i="2"/>
  <c r="G44" i="2"/>
  <c r="I40" i="2"/>
  <c r="D40" i="2"/>
  <c r="G36" i="2"/>
  <c r="K32" i="2"/>
  <c r="F32" i="2"/>
  <c r="F20" i="2"/>
  <c r="G16" i="2"/>
  <c r="I56" i="2"/>
  <c r="D56" i="2"/>
  <c r="J52" i="2"/>
  <c r="E52" i="2"/>
  <c r="K44" i="2"/>
  <c r="E44" i="2"/>
  <c r="H40" i="2"/>
  <c r="K36" i="2"/>
  <c r="F36" i="2"/>
  <c r="J32" i="2"/>
  <c r="E32" i="2"/>
  <c r="J20" i="2"/>
  <c r="E20" i="2"/>
  <c r="F16" i="2"/>
  <c r="H56" i="2"/>
  <c r="I52" i="2"/>
  <c r="I44" i="2"/>
  <c r="D44" i="2"/>
  <c r="G40" i="2"/>
  <c r="J36" i="2"/>
  <c r="E36" i="2"/>
  <c r="I32" i="2"/>
  <c r="I20" i="2"/>
  <c r="D20" i="2"/>
  <c r="K16" i="2"/>
  <c r="D16" i="2"/>
  <c r="G21" i="2"/>
  <c r="K21" i="2"/>
  <c r="D21" i="2"/>
  <c r="H21" i="2"/>
  <c r="F25" i="2"/>
  <c r="G25" i="2"/>
  <c r="H29" i="2"/>
  <c r="I29" i="2"/>
  <c r="H33" i="2"/>
  <c r="I33" i="2"/>
  <c r="D49" i="2"/>
  <c r="H49" i="2"/>
  <c r="D53" i="2"/>
  <c r="H53" i="2"/>
  <c r="G53" i="2"/>
  <c r="G49" i="2"/>
  <c r="K41" i="2"/>
  <c r="J37" i="2"/>
  <c r="K33" i="2"/>
  <c r="K25" i="2"/>
  <c r="E21" i="2"/>
  <c r="E18" i="2"/>
  <c r="K18" i="2"/>
  <c r="F18" i="2"/>
  <c r="D34" i="2"/>
  <c r="H34" i="2"/>
  <c r="E34" i="2"/>
  <c r="D42" i="2"/>
  <c r="H42" i="2"/>
  <c r="D50" i="2"/>
  <c r="H50" i="2"/>
  <c r="K53" i="2"/>
  <c r="F53" i="2"/>
  <c r="I50" i="2"/>
  <c r="K49" i="2"/>
  <c r="F49" i="2"/>
  <c r="K45" i="2"/>
  <c r="G42" i="2"/>
  <c r="I37" i="2"/>
  <c r="I34" i="2"/>
  <c r="J33" i="2"/>
  <c r="J25" i="2"/>
  <c r="J21" i="2"/>
  <c r="H18" i="2"/>
  <c r="I15" i="2"/>
  <c r="J15" i="2"/>
  <c r="I19" i="2"/>
  <c r="D19" i="2"/>
  <c r="I23" i="2"/>
  <c r="E23" i="2"/>
  <c r="J23" i="2"/>
  <c r="H31" i="2"/>
  <c r="I31" i="2"/>
  <c r="D47" i="2"/>
  <c r="H47" i="2"/>
  <c r="D51" i="2"/>
  <c r="H51" i="2"/>
  <c r="F55" i="2"/>
  <c r="J55" i="2"/>
  <c r="K55" i="2"/>
  <c r="E55" i="2"/>
  <c r="J53" i="2"/>
  <c r="E53" i="2"/>
  <c r="J51" i="2"/>
  <c r="E51" i="2"/>
  <c r="G50" i="2"/>
  <c r="J49" i="2"/>
  <c r="E49" i="2"/>
  <c r="J47" i="2"/>
  <c r="E47" i="2"/>
  <c r="K42" i="2"/>
  <c r="F42" i="2"/>
  <c r="I35" i="2"/>
  <c r="G34" i="2"/>
  <c r="K29" i="2"/>
  <c r="K23" i="2"/>
  <c r="I21" i="2"/>
  <c r="G18" i="2"/>
  <c r="K15" i="2"/>
  <c r="J56" i="2"/>
  <c r="H52" i="2"/>
  <c r="J44" i="2"/>
  <c r="J40" i="2"/>
  <c r="H36" i="2"/>
  <c r="H32" i="2"/>
  <c r="K20" i="2"/>
  <c r="J16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2" i="1"/>
  <c r="I41" i="3" l="1"/>
  <c r="G41" i="3"/>
  <c r="C41" i="3"/>
  <c r="E41" i="3"/>
  <c r="J41" i="3"/>
  <c r="H41" i="3"/>
  <c r="F41" i="3"/>
  <c r="D26" i="2"/>
  <c r="F26" i="2"/>
  <c r="K27" i="2"/>
  <c r="I27" i="2"/>
  <c r="I26" i="2"/>
  <c r="C46" i="2"/>
  <c r="J46" i="2" s="1"/>
  <c r="C42" i="3" a="1"/>
  <c r="C30" i="2"/>
  <c r="C40" i="3" a="1"/>
  <c r="J26" i="2"/>
  <c r="E26" i="2"/>
  <c r="G26" i="2"/>
  <c r="H27" i="2"/>
  <c r="H26" i="2"/>
  <c r="E38" i="3"/>
  <c r="D38" i="3"/>
  <c r="J38" i="3"/>
  <c r="F38" i="3"/>
  <c r="G38" i="3"/>
  <c r="C38" i="3"/>
  <c r="H38" i="3"/>
  <c r="I38" i="3"/>
  <c r="K39" i="2"/>
  <c r="C38" i="2"/>
  <c r="C48" i="2"/>
  <c r="G28" i="2"/>
  <c r="J28" i="2"/>
  <c r="K28" i="2"/>
  <c r="H28" i="2"/>
  <c r="I28" i="2"/>
  <c r="E28" i="2"/>
  <c r="F28" i="2"/>
  <c r="K14" i="2"/>
  <c r="K46" i="2" l="1"/>
  <c r="H46" i="2"/>
  <c r="F46" i="2"/>
  <c r="I46" i="2"/>
  <c r="E46" i="2"/>
  <c r="D46" i="2"/>
  <c r="G46" i="2"/>
  <c r="E42" i="3"/>
  <c r="C42" i="3"/>
  <c r="H42" i="3"/>
  <c r="D42" i="3"/>
  <c r="J42" i="3"/>
  <c r="F42" i="3"/>
  <c r="G42" i="3"/>
  <c r="I42" i="3"/>
  <c r="G40" i="3"/>
  <c r="I40" i="3"/>
  <c r="F40" i="3"/>
  <c r="D40" i="3"/>
  <c r="J40" i="3"/>
  <c r="H40" i="3"/>
  <c r="C40" i="3"/>
  <c r="E40" i="3"/>
  <c r="J30" i="2"/>
  <c r="E30" i="2"/>
  <c r="G30" i="2"/>
  <c r="I30" i="2"/>
  <c r="D30" i="2"/>
  <c r="K30" i="2"/>
  <c r="H30" i="2"/>
  <c r="F30" i="2"/>
  <c r="I38" i="2"/>
  <c r="H38" i="2"/>
  <c r="F38" i="2"/>
  <c r="J38" i="2"/>
  <c r="E38" i="2"/>
  <c r="G38" i="2"/>
  <c r="D38" i="2"/>
  <c r="K38" i="2"/>
  <c r="D48" i="2"/>
  <c r="I48" i="2"/>
  <c r="K48" i="2"/>
  <c r="G48" i="2"/>
  <c r="F48" i="2"/>
  <c r="J48" i="2"/>
  <c r="H48" i="2"/>
  <c r="E48" i="2"/>
  <c r="C22" i="2"/>
  <c r="B22" i="2" s="1"/>
  <c r="C39" i="3" s="1" a="1"/>
  <c r="G39" i="3" l="1"/>
  <c r="I39" i="3"/>
  <c r="F39" i="3"/>
  <c r="D39" i="3"/>
  <c r="J39" i="3"/>
  <c r="H39" i="3"/>
  <c r="C39" i="3"/>
  <c r="E39" i="3"/>
</calcChain>
</file>

<file path=xl/sharedStrings.xml><?xml version="1.0" encoding="utf-8"?>
<sst xmlns="http://schemas.openxmlformats.org/spreadsheetml/2006/main" count="543" uniqueCount="197">
  <si>
    <t>0A</t>
    <phoneticPr fontId="1"/>
  </si>
  <si>
    <t>0B</t>
    <phoneticPr fontId="1"/>
  </si>
  <si>
    <t>0D</t>
    <phoneticPr fontId="1"/>
  </si>
  <si>
    <t>1A</t>
    <phoneticPr fontId="1"/>
  </si>
  <si>
    <t>1B</t>
    <phoneticPr fontId="1"/>
  </si>
  <si>
    <t>2A</t>
    <phoneticPr fontId="1"/>
  </si>
  <si>
    <t>2B</t>
    <phoneticPr fontId="1"/>
  </si>
  <si>
    <t>2C</t>
    <phoneticPr fontId="1"/>
  </si>
  <si>
    <t>2D</t>
    <phoneticPr fontId="1"/>
  </si>
  <si>
    <t>2E</t>
    <phoneticPr fontId="1"/>
  </si>
  <si>
    <t>2F</t>
    <phoneticPr fontId="1"/>
  </si>
  <si>
    <t>3A</t>
    <phoneticPr fontId="1"/>
  </si>
  <si>
    <t>3B</t>
    <phoneticPr fontId="1"/>
  </si>
  <si>
    <t>3C</t>
    <phoneticPr fontId="1"/>
  </si>
  <si>
    <t>3D</t>
    <phoneticPr fontId="1"/>
  </si>
  <si>
    <t>3E</t>
    <phoneticPr fontId="1"/>
  </si>
  <si>
    <t>6C</t>
    <phoneticPr fontId="1"/>
  </si>
  <si>
    <t>A0</t>
    <phoneticPr fontId="1"/>
  </si>
  <si>
    <t>00</t>
    <phoneticPr fontId="1"/>
  </si>
  <si>
    <t>03</t>
    <phoneticPr fontId="1"/>
  </si>
  <si>
    <t>02</t>
    <phoneticPr fontId="1"/>
  </si>
  <si>
    <t>04</t>
    <phoneticPr fontId="1"/>
  </si>
  <si>
    <t>05</t>
    <phoneticPr fontId="1"/>
  </si>
  <si>
    <t>09</t>
    <phoneticPr fontId="1"/>
  </si>
  <si>
    <t>ADDR</t>
    <phoneticPr fontId="1"/>
  </si>
  <si>
    <t>DHEX</t>
    <phoneticPr fontId="1"/>
  </si>
  <si>
    <t>DBIN</t>
    <phoneticPr fontId="1"/>
  </si>
  <si>
    <t>Reset=no</t>
    <phoneticPr fontId="1"/>
  </si>
  <si>
    <t>PLL=no,LVDSCK=37.5-62.5,CKSRC=DSI</t>
    <phoneticPr fontId="1"/>
  </si>
  <si>
    <t>DIV=3,MLT=1</t>
    <phoneticPr fontId="1"/>
  </si>
  <si>
    <t>PLL=no</t>
    <phoneticPr fontId="1"/>
  </si>
  <si>
    <t>DSIALANE=4,ERRTOL=yes</t>
    <phoneticPr fontId="1"/>
  </si>
  <si>
    <t>DDATEQ=no,DCLKEQ=no</t>
    <phoneticPr fontId="1"/>
  </si>
  <si>
    <t>BDSICK=off</t>
    <phoneticPr fontId="1"/>
  </si>
  <si>
    <t>ADSICK=85-90</t>
    <phoneticPr fontId="1"/>
  </si>
  <si>
    <t>DE=+,HS=-,VS=-,LVDS=dual,A=24bpp,B=24bpp,AFMT=2,BFMT=2</t>
    <phoneticPr fontId="1"/>
  </si>
  <si>
    <t>ACM=1.2,BCM=1.2,ASW=,BSW=</t>
    <phoneticPr fontId="1"/>
  </si>
  <si>
    <t>ABSWAP=yes,AREV=no,BREV=no,ATERM=200,BTERM=200</t>
    <phoneticPr fontId="1"/>
  </si>
  <si>
    <t>ACMADJ=no,BCMADJ=no</t>
    <phoneticPr fontId="1"/>
  </si>
  <si>
    <t>ADSIHACT=1280</t>
    <phoneticPr fontId="1"/>
  </si>
  <si>
    <t>BDSIHACT=0</t>
    <phoneticPr fontId="1"/>
  </si>
  <si>
    <t>ADSIVACT=1024</t>
    <phoneticPr fontId="1"/>
  </si>
  <si>
    <t>BDSIVACT=0</t>
    <phoneticPr fontId="1"/>
  </si>
  <si>
    <t>ADSIDLY=33</t>
    <phoneticPr fontId="1"/>
  </si>
  <si>
    <t>BDSIDLY=0</t>
    <phoneticPr fontId="1"/>
  </si>
  <si>
    <t>ADSIHPW=672</t>
    <phoneticPr fontId="1"/>
  </si>
  <si>
    <t>BDSIHPW=0</t>
    <phoneticPr fontId="1"/>
  </si>
  <si>
    <t>ADSIVPW=3</t>
    <phoneticPr fontId="1"/>
  </si>
  <si>
    <t>BDSIVPW=0</t>
    <phoneticPr fontId="1"/>
  </si>
  <si>
    <t>ADSIHBP=40</t>
    <phoneticPr fontId="1"/>
  </si>
  <si>
    <t>BDSIHBP=0</t>
    <phoneticPr fontId="1"/>
  </si>
  <si>
    <t>ADSIVBP=0</t>
    <phoneticPr fontId="1"/>
  </si>
  <si>
    <t>BDSIVBP=0</t>
    <phoneticPr fontId="1"/>
  </si>
  <si>
    <t>ADSIHFP=0</t>
    <phoneticPr fontId="1"/>
  </si>
  <si>
    <t>BDSIHFP=0</t>
    <phoneticPr fontId="1"/>
  </si>
  <si>
    <t>ADSIVFP=0</t>
    <phoneticPr fontId="1"/>
  </si>
  <si>
    <t>BDSIVFP=0</t>
    <phoneticPr fontId="1"/>
  </si>
  <si>
    <t>TEST=no</t>
    <phoneticPr fontId="1"/>
  </si>
  <si>
    <t>PLL=go</t>
    <phoneticPr fontId="1"/>
  </si>
  <si>
    <t>TYPE</t>
    <phoneticPr fontId="1"/>
  </si>
  <si>
    <t>CTRL</t>
    <phoneticPr fontId="1"/>
  </si>
  <si>
    <t>TEST</t>
    <phoneticPr fontId="1"/>
  </si>
  <si>
    <t>ACM=1.2</t>
    <phoneticPr fontId="1"/>
  </si>
  <si>
    <t>BCM=1.2</t>
    <phoneticPr fontId="1"/>
  </si>
  <si>
    <t>ASW=</t>
    <phoneticPr fontId="1"/>
  </si>
  <si>
    <t>BSW=</t>
    <phoneticPr fontId="1"/>
  </si>
  <si>
    <t>DDATEQ=no</t>
    <phoneticPr fontId="1"/>
  </si>
  <si>
    <t>DCLKEQ=no</t>
    <phoneticPr fontId="1"/>
  </si>
  <si>
    <t>ACMADJ=no</t>
    <phoneticPr fontId="1"/>
  </si>
  <si>
    <t>BCMADJ=no</t>
    <phoneticPr fontId="1"/>
  </si>
  <si>
    <t>H Active:</t>
    <phoneticPr fontId="1"/>
  </si>
  <si>
    <t>V Active:</t>
    <phoneticPr fontId="1"/>
  </si>
  <si>
    <t>HsyncPW:</t>
    <phoneticPr fontId="1"/>
  </si>
  <si>
    <t>Pixclk:</t>
    <phoneticPr fontId="1"/>
  </si>
  <si>
    <t>Vblank:</t>
    <phoneticPr fontId="1"/>
  </si>
  <si>
    <t>Hblank:</t>
    <phoneticPr fontId="1"/>
  </si>
  <si>
    <t>VsyncPW:</t>
    <phoneticPr fontId="1"/>
  </si>
  <si>
    <t>HsyncBP:</t>
    <phoneticPr fontId="1"/>
  </si>
  <si>
    <t>VsyncBP:</t>
    <phoneticPr fontId="1"/>
  </si>
  <si>
    <t>HsyncFP:</t>
    <phoneticPr fontId="1"/>
  </si>
  <si>
    <t>VsyncFP:</t>
    <phoneticPr fontId="1"/>
  </si>
  <si>
    <t>no</t>
  </si>
  <si>
    <t>+</t>
  </si>
  <si>
    <t>-</t>
  </si>
  <si>
    <t>LVDS rate</t>
    <phoneticPr fontId="1"/>
  </si>
  <si>
    <t>LVDS bus</t>
    <phoneticPr fontId="1"/>
  </si>
  <si>
    <t>LVDS clock</t>
    <phoneticPr fontId="1"/>
  </si>
  <si>
    <t>single</t>
  </si>
  <si>
    <t>D/L ratio</t>
    <phoneticPr fontId="1"/>
  </si>
  <si>
    <t>INT</t>
  </si>
  <si>
    <t>yes</t>
  </si>
  <si>
    <t>&gt;;</t>
  </si>
  <si>
    <t>sn65dsi84,values =</t>
    <phoneticPr fontId="1"/>
  </si>
  <si>
    <t>&lt;</t>
    <phoneticPr fontId="1"/>
  </si>
  <si>
    <t>sn65dsi84,addresses =</t>
    <phoneticPr fontId="1"/>
  </si>
  <si>
    <t>go</t>
  </si>
  <si>
    <t xml:space="preserve">0x09 </t>
  </si>
  <si>
    <t xml:space="preserve">0x0A </t>
  </si>
  <si>
    <t xml:space="preserve">0x0B </t>
  </si>
  <si>
    <t xml:space="preserve">0x0D </t>
  </si>
  <si>
    <t xml:space="preserve">0x10 </t>
  </si>
  <si>
    <t xml:space="preserve">0x11 </t>
  </si>
  <si>
    <t xml:space="preserve">0x12 </t>
  </si>
  <si>
    <t xml:space="preserve">0x13 </t>
  </si>
  <si>
    <t xml:space="preserve">0x18 </t>
  </si>
  <si>
    <t xml:space="preserve">0x19 </t>
  </si>
  <si>
    <t xml:space="preserve">0x1A </t>
  </si>
  <si>
    <t xml:space="preserve">0x1B </t>
  </si>
  <si>
    <t xml:space="preserve">0x20 </t>
  </si>
  <si>
    <t xml:space="preserve">0x21 </t>
  </si>
  <si>
    <t xml:space="preserve">0x22 </t>
  </si>
  <si>
    <t xml:space="preserve">0x23 </t>
  </si>
  <si>
    <t xml:space="preserve">0x24 </t>
  </si>
  <si>
    <t xml:space="preserve">0x25 </t>
  </si>
  <si>
    <t xml:space="preserve">0x26 </t>
  </si>
  <si>
    <t xml:space="preserve">0x27 </t>
  </si>
  <si>
    <t xml:space="preserve">0x28 </t>
  </si>
  <si>
    <t xml:space="preserve">0x29 </t>
  </si>
  <si>
    <t xml:space="preserve">0x2A </t>
  </si>
  <si>
    <t xml:space="preserve">0x2B </t>
  </si>
  <si>
    <t xml:space="preserve">0x2C </t>
  </si>
  <si>
    <t xml:space="preserve">0x2D </t>
  </si>
  <si>
    <t xml:space="preserve">0x2E </t>
  </si>
  <si>
    <t xml:space="preserve">0x2F </t>
  </si>
  <si>
    <t xml:space="preserve">0x30 </t>
  </si>
  <si>
    <t xml:space="preserve">0x31 </t>
  </si>
  <si>
    <t xml:space="preserve">0x32 </t>
  </si>
  <si>
    <t xml:space="preserve">0x33 </t>
  </si>
  <si>
    <t xml:space="preserve">0x34 </t>
  </si>
  <si>
    <t xml:space="preserve">0x35 </t>
  </si>
  <si>
    <t xml:space="preserve">0x36 </t>
  </si>
  <si>
    <t xml:space="preserve">0x37 </t>
  </si>
  <si>
    <t xml:space="preserve">0x38 </t>
  </si>
  <si>
    <t xml:space="preserve">0x39 </t>
  </si>
  <si>
    <t xml:space="preserve">0x3A </t>
  </si>
  <si>
    <t xml:space="preserve">0x3B </t>
  </si>
  <si>
    <t xml:space="preserve">0x3C </t>
  </si>
  <si>
    <t xml:space="preserve">0x3D </t>
  </si>
  <si>
    <t xml:space="preserve">0x3E </t>
  </si>
  <si>
    <t>.clock =</t>
    <phoneticPr fontId="1"/>
  </si>
  <si>
    <t xml:space="preserve">.hdisplay = </t>
    <phoneticPr fontId="1"/>
  </si>
  <si>
    <t xml:space="preserve">.hsync_start = </t>
    <phoneticPr fontId="1"/>
  </si>
  <si>
    <t xml:space="preserve">.hsync_end = </t>
    <phoneticPr fontId="1"/>
  </si>
  <si>
    <t xml:space="preserve">.htotal = </t>
    <phoneticPr fontId="1"/>
  </si>
  <si>
    <t xml:space="preserve">.vdisplay = </t>
    <phoneticPr fontId="1"/>
  </si>
  <si>
    <t xml:space="preserve">.vsync_start = </t>
    <phoneticPr fontId="1"/>
  </si>
  <si>
    <t xml:space="preserve">.vsync_end = </t>
    <phoneticPr fontId="1"/>
  </si>
  <si>
    <t xml:space="preserve">.vtotal = </t>
    <phoneticPr fontId="1"/>
  </si>
  <si>
    <t>+</t>
    <phoneticPr fontId="1"/>
  </si>
  <si>
    <t>,</t>
    <phoneticPr fontId="1"/>
  </si>
  <si>
    <t>};</t>
  </si>
  <si>
    <t>};</t>
    <phoneticPr fontId="1"/>
  </si>
  <si>
    <t>.desc = {</t>
  </si>
  <si>
    <t>.size = {</t>
  </si>
  <si>
    <t>},</t>
  </si>
  <si>
    <t>.modes =</t>
    <phoneticPr fontId="1"/>
  </si>
  <si>
    <t>.num_modes =</t>
    <phoneticPr fontId="1"/>
  </si>
  <si>
    <t>.bpc =</t>
    <phoneticPr fontId="1"/>
  </si>
  <si>
    <t>.width =</t>
    <phoneticPr fontId="1"/>
  </si>
  <si>
    <t>.height =</t>
    <phoneticPr fontId="1"/>
  </si>
  <si>
    <t>.vrefresh =</t>
    <phoneticPr fontId="1"/>
  </si>
  <si>
    <t>dsi</t>
  </si>
  <si>
    <t>B DSI rate</t>
    <phoneticPr fontId="1"/>
  </si>
  <si>
    <t>B DSI clock</t>
    <phoneticPr fontId="1"/>
  </si>
  <si>
    <t>A DSI rate</t>
    <phoneticPr fontId="1"/>
  </si>
  <si>
    <t>A DSI clock</t>
    <phoneticPr fontId="1"/>
  </si>
  <si>
    <t>Clock paramater</t>
    <phoneticPr fontId="1"/>
  </si>
  <si>
    <t>00000000</t>
    <phoneticPr fontId="1"/>
  </si>
  <si>
    <t>^ ^ ^     END HERE     ^ ^ ^</t>
    <phoneticPr fontId="1"/>
  </si>
  <si>
    <t>LCM name:</t>
    <phoneticPr fontId="1"/>
  </si>
  <si>
    <t>DSI name:</t>
    <phoneticPr fontId="1"/>
  </si>
  <si>
    <t>Frame rate</t>
    <phoneticPr fontId="1"/>
  </si>
  <si>
    <t>,</t>
    <phoneticPr fontId="1"/>
  </si>
  <si>
    <t>.flags = MIPI_DSI_MODE_VIDEO,</t>
    <phoneticPr fontId="1"/>
  </si>
  <si>
    <t>.format = MIPI_DSI_FMT_RGB888,</t>
    <phoneticPr fontId="1"/>
  </si>
  <si>
    <t>EDID:</t>
    <phoneticPr fontId="1"/>
  </si>
  <si>
    <t>H Active</t>
    <phoneticPr fontId="1"/>
  </si>
  <si>
    <t>V Active</t>
    <phoneticPr fontId="1"/>
  </si>
  <si>
    <t>H Blank</t>
    <phoneticPr fontId="1"/>
  </si>
  <si>
    <t>V Blank</t>
    <phoneticPr fontId="1"/>
  </si>
  <si>
    <t>Pix Clk</t>
    <phoneticPr fontId="1"/>
  </si>
  <si>
    <t>HS Pulse</t>
    <phoneticPr fontId="1"/>
  </si>
  <si>
    <t>VS Pulse</t>
    <phoneticPr fontId="1"/>
  </si>
  <si>
    <t>HS Offset</t>
    <phoneticPr fontId="1"/>
  </si>
  <si>
    <t>VS Offset</t>
    <phoneticPr fontId="1"/>
  </si>
  <si>
    <t>USE FOR SN65DSI84 ONLY</t>
    <phoneticPr fontId="1"/>
  </si>
  <si>
    <t>DO NOT EDIT BLACK CELL</t>
    <phoneticPr fontId="1"/>
  </si>
  <si>
    <t>GRAY CELLS ARE AUTO INPUT, NOT EDIT</t>
    <phoneticPr fontId="1"/>
  </si>
  <si>
    <t>&gt;;</t>
    <phoneticPr fontId="1"/>
  </si>
  <si>
    <t>*</t>
    <phoneticPr fontId="1"/>
  </si>
  <si>
    <t>V V V     COPY BELOW CELLS TO TEXT EDITOR (NO EDIT THIS AREA)    V V V</t>
    <phoneticPr fontId="1"/>
  </si>
  <si>
    <t>V-AA Height</t>
    <phoneticPr fontId="1"/>
  </si>
  <si>
    <t>H-AA Width</t>
    <phoneticPr fontId="1"/>
  </si>
  <si>
    <t>*</t>
    <phoneticPr fontId="1"/>
  </si>
  <si>
    <t>mel_xga</t>
    <phoneticPr fontId="1"/>
  </si>
  <si>
    <t>62.5-87.5</t>
  </si>
  <si>
    <t>24bpp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</si>
</sst>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176" formatCode="&quot;ADSIHACT=&quot;0000"/>
    <numFmt numFmtId="177" formatCode="&quot;BDSIHACT=&quot;0000"/>
    <numFmt numFmtId="178" formatCode="&quot;ADSIVACT=&quot;0000"/>
    <numFmt numFmtId="179" formatCode="&quot;BDSIVACT=&quot;0000"/>
    <numFmt numFmtId="180" formatCode="&quot;ADSIDLY=&quot;0000"/>
    <numFmt numFmtId="181" formatCode="&quot;BDSIDLY=&quot;0000"/>
    <numFmt numFmtId="182" formatCode="&quot;ADSIHPW=&quot;0000"/>
    <numFmt numFmtId="183" formatCode="&quot;BDSIHPW=&quot;0000"/>
    <numFmt numFmtId="184" formatCode="&quot;ADSIVPW=&quot;0000"/>
    <numFmt numFmtId="185" formatCode="&quot;BDSIVPW=&quot;0000"/>
    <numFmt numFmtId="186" formatCode="&quot;ADSIHBP=&quot;0000"/>
    <numFmt numFmtId="187" formatCode="&quot;BDSIHBP=&quot;0000"/>
    <numFmt numFmtId="188" formatCode="&quot;ADSIVBP=&quot;0000"/>
    <numFmt numFmtId="189" formatCode="&quot;BDSIVBP=&quot;0000"/>
    <numFmt numFmtId="190" formatCode="&quot;ADSIHFP=&quot;0000"/>
    <numFmt numFmtId="191" formatCode="&quot;BDSIHFP=&quot;0000"/>
    <numFmt numFmtId="192" formatCode="&quot;ADSIVFP=&quot;0000"/>
    <numFmt numFmtId="193" formatCode="&quot;BDSIVFP=&quot;0000"/>
    <numFmt numFmtId="194" formatCode="&quot;LVDSCK=&quot;@"/>
    <numFmt numFmtId="195" formatCode="&quot;PLL=&quot;@"/>
    <numFmt numFmtId="196" formatCode="&quot;DIV=&quot;00"/>
    <numFmt numFmtId="197" formatCode="&quot;MLT=&quot;0"/>
    <numFmt numFmtId="198" formatCode="&quot;RESET=&quot;@"/>
    <numFmt numFmtId="199" formatCode="&quot;DE=&quot;@"/>
    <numFmt numFmtId="200" formatCode="&quot;HS=&quot;@"/>
    <numFmt numFmtId="201" formatCode="&quot;VS=&quot;@"/>
    <numFmt numFmtId="202" formatCode="000.00&quot;Mbps&quot;"/>
    <numFmt numFmtId="203" formatCode="000.00&quot;MHz&quot;"/>
    <numFmt numFmtId="204" formatCode="&quot;DSIMODE=&quot;@"/>
    <numFmt numFmtId="205" formatCode="&quot;LR=&quot;@"/>
    <numFmt numFmtId="206" formatCode="&quot;ERRTOL=&quot;@"/>
    <numFmt numFmtId="207" formatCode="&quot;ADSILANE=&quot;0"/>
    <numFmt numFmtId="208" formatCode="&quot;BDSILANE=&quot;0"/>
    <numFmt numFmtId="209" formatCode="&quot;ADSICLK=&quot;0"/>
    <numFmt numFmtId="210" formatCode="&quot;RCROP=&quot;000&quot;px&quot;"/>
    <numFmt numFmtId="211" formatCode="&quot;LCROP=&quot;000&quot;px&quot;"/>
    <numFmt numFmtId="212" formatCode="&quot;CK=&quot;@"/>
    <numFmt numFmtId="213" formatCode="&quot;ACOL=&quot;@"/>
    <numFmt numFmtId="214" formatCode="&quot;BCOL=&quot;@"/>
    <numFmt numFmtId="215" formatCode="&quot;ACFMT=&quot;0"/>
    <numFmt numFmtId="216" formatCode="&quot;BCFMT=&quot;0"/>
    <numFmt numFmtId="217" formatCode="&quot;BTERM=&quot;000"/>
    <numFmt numFmtId="218" formatCode="&quot;ATERM=&quot;000"/>
    <numFmt numFmtId="219" formatCode="&quot;AREV=&quot;@"/>
    <numFmt numFmtId="220" formatCode="&quot;BREV=&quot;@"/>
    <numFmt numFmtId="221" formatCode="&quot;ABSWAP=&quot;@"/>
    <numFmt numFmtId="222" formatCode="&quot;BTEST=&quot;@"/>
    <numFmt numFmtId="223" formatCode="&quot;ATEST=&quot;@"/>
    <numFmt numFmtId="224" formatCode="00&quot;fps&quot;"/>
    <numFmt numFmtId="225" formatCode="0.00&quot;MHz&quot;"/>
    <numFmt numFmtId="226" formatCode="0.00&quot;Mbps&quot;"/>
    <numFmt numFmtId="227" formatCode="0&quot;mm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02" fontId="0" fillId="0" borderId="0" xfId="0" applyNumberFormat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>
      <alignment vertical="center"/>
    </xf>
    <xf numFmtId="198" fontId="0" fillId="0" borderId="0" xfId="0" applyNumberFormat="1" applyAlignment="1">
      <alignment horizontal="center" vertical="center"/>
    </xf>
    <xf numFmtId="195" fontId="0" fillId="0" borderId="0" xfId="0" applyNumberFormat="1" applyAlignment="1">
      <alignment horizontal="center" vertical="center"/>
    </xf>
    <xf numFmtId="212" fontId="0" fillId="0" borderId="0" xfId="0" applyNumberFormat="1" applyAlignment="1">
      <alignment horizontal="center" vertical="center"/>
    </xf>
    <xf numFmtId="206" fontId="0" fillId="0" borderId="0" xfId="0" applyNumberFormat="1" applyAlignment="1">
      <alignment horizontal="center" vertical="center"/>
    </xf>
    <xf numFmtId="199" fontId="0" fillId="0" borderId="0" xfId="0" applyNumberFormat="1" applyAlignment="1">
      <alignment horizontal="center" vertical="center"/>
    </xf>
    <xf numFmtId="200" fontId="0" fillId="0" borderId="0" xfId="0" applyNumberFormat="1" applyAlignment="1">
      <alignment horizontal="center" vertical="center"/>
    </xf>
    <xf numFmtId="201" fontId="0" fillId="0" borderId="0" xfId="0" applyNumberFormat="1" applyAlignment="1">
      <alignment horizontal="center" vertical="center"/>
    </xf>
    <xf numFmtId="213" fontId="0" fillId="0" borderId="0" xfId="0" applyNumberFormat="1" applyAlignment="1">
      <alignment horizontal="center" vertical="center"/>
    </xf>
    <xf numFmtId="214" fontId="0" fillId="0" borderId="0" xfId="0" applyNumberFormat="1" applyAlignment="1">
      <alignment horizontal="center" vertical="center"/>
    </xf>
    <xf numFmtId="215" fontId="0" fillId="0" borderId="0" xfId="0" applyNumberFormat="1" applyAlignment="1">
      <alignment horizontal="center" vertical="center"/>
    </xf>
    <xf numFmtId="216" fontId="0" fillId="0" borderId="0" xfId="0" applyNumberForma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17" fontId="0" fillId="0" borderId="0" xfId="0" applyNumberFormat="1" applyAlignment="1">
      <alignment horizontal="center" vertical="center"/>
    </xf>
    <xf numFmtId="218" fontId="0" fillId="0" borderId="0" xfId="0" applyNumberFormat="1" applyAlignment="1">
      <alignment horizontal="center" vertical="center"/>
    </xf>
    <xf numFmtId="219" fontId="0" fillId="0" borderId="0" xfId="0" applyNumberFormat="1" applyAlignment="1">
      <alignment horizontal="center" vertical="center"/>
    </xf>
    <xf numFmtId="220" fontId="0" fillId="0" borderId="0" xfId="0" applyNumberFormat="1" applyAlignment="1">
      <alignment horizontal="center" vertical="center"/>
    </xf>
    <xf numFmtId="221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223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224" fontId="0" fillId="0" borderId="0" xfId="0" applyNumberFormat="1">
      <alignment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>
      <alignment vertical="center"/>
    </xf>
    <xf numFmtId="205" fontId="2" fillId="3" borderId="0" xfId="0" applyNumberFormat="1" applyFont="1" applyFill="1" applyAlignment="1">
      <alignment horizontal="center" vertical="center"/>
    </xf>
    <xf numFmtId="222" fontId="2" fillId="3" borderId="0" xfId="0" applyNumberFormat="1" applyFont="1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22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225" fontId="0" fillId="2" borderId="0" xfId="0" applyNumberFormat="1" applyFill="1">
      <alignment vertical="center"/>
    </xf>
    <xf numFmtId="2" fontId="0" fillId="2" borderId="0" xfId="0" applyNumberFormat="1" applyFill="1">
      <alignment vertical="center"/>
    </xf>
    <xf numFmtId="203" fontId="0" fillId="2" borderId="0" xfId="0" applyNumberFormat="1" applyFill="1">
      <alignment vertical="center"/>
    </xf>
    <xf numFmtId="226" fontId="0" fillId="2" borderId="0" xfId="0" applyNumberFormat="1" applyFill="1">
      <alignment vertical="center"/>
    </xf>
    <xf numFmtId="0" fontId="0" fillId="0" borderId="0" xfId="0" applyAlignment="1">
      <alignment horizontal="center" vertical="center"/>
    </xf>
    <xf numFmtId="208" fontId="2" fillId="3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209" fontId="0" fillId="2" borderId="0" xfId="0" applyNumberFormat="1" applyFill="1" applyAlignment="1">
      <alignment horizontal="center" vertical="center"/>
    </xf>
    <xf numFmtId="209" fontId="2" fillId="3" borderId="0" xfId="0" applyNumberFormat="1" applyFont="1" applyFill="1" applyAlignment="1">
      <alignment horizontal="center" vertical="center"/>
    </xf>
    <xf numFmtId="204" fontId="3" fillId="3" borderId="0" xfId="0" applyNumberFormat="1" applyFont="1" applyFill="1" applyAlignment="1">
      <alignment horizontal="center" vertical="center"/>
    </xf>
    <xf numFmtId="207" fontId="0" fillId="0" borderId="0" xfId="0" applyNumberFormat="1" applyAlignment="1">
      <alignment horizontal="center" vertical="center"/>
    </xf>
    <xf numFmtId="194" fontId="0" fillId="0" borderId="0" xfId="0" applyNumberFormat="1" applyAlignment="1">
      <alignment horizontal="center" vertical="center"/>
    </xf>
    <xf numFmtId="197" fontId="0" fillId="0" borderId="0" xfId="0" applyNumberFormat="1" applyAlignment="1">
      <alignment horizontal="center" vertical="center"/>
    </xf>
    <xf numFmtId="196" fontId="0" fillId="0" borderId="0" xfId="0" applyNumberFormat="1" applyAlignment="1">
      <alignment horizontal="center" vertical="center"/>
    </xf>
    <xf numFmtId="185" fontId="2" fillId="3" borderId="0" xfId="0" applyNumberFormat="1" applyFont="1" applyFill="1" applyAlignment="1">
      <alignment horizontal="center" vertical="center"/>
    </xf>
    <xf numFmtId="184" fontId="0" fillId="2" borderId="0" xfId="0" applyNumberFormat="1" applyFill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182" fontId="0" fillId="2" borderId="0" xfId="0" applyNumberFormat="1" applyFill="1" applyAlignment="1">
      <alignment horizontal="center" vertical="center"/>
    </xf>
    <xf numFmtId="181" fontId="2" fillId="3" borderId="0" xfId="0" applyNumberFormat="1" applyFont="1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79" fontId="2" fillId="3" borderId="0" xfId="0" applyNumberFormat="1" applyFont="1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186" fontId="0" fillId="2" borderId="0" xfId="0" applyNumberFormat="1" applyFill="1" applyAlignment="1">
      <alignment horizontal="center" vertical="center"/>
    </xf>
    <xf numFmtId="193" fontId="2" fillId="3" borderId="0" xfId="0" applyNumberFormat="1" applyFont="1" applyFill="1" applyAlignment="1">
      <alignment horizontal="center" vertical="center"/>
    </xf>
    <xf numFmtId="210" fontId="2" fillId="3" borderId="0" xfId="0" applyNumberFormat="1" applyFont="1" applyFill="1" applyAlignment="1">
      <alignment horizontal="center" vertical="center"/>
    </xf>
    <xf numFmtId="211" fontId="2" fillId="3" borderId="0" xfId="0" applyNumberFormat="1" applyFont="1" applyFill="1" applyAlignment="1">
      <alignment horizontal="center" vertical="center"/>
    </xf>
    <xf numFmtId="187" fontId="2" fillId="3" borderId="0" xfId="0" applyNumberFormat="1" applyFont="1" applyFill="1" applyAlignment="1">
      <alignment horizontal="center" vertical="center"/>
    </xf>
    <xf numFmtId="188" fontId="0" fillId="2" borderId="0" xfId="0" applyNumberFormat="1" applyFill="1" applyAlignment="1">
      <alignment horizontal="center" vertical="center"/>
    </xf>
    <xf numFmtId="189" fontId="2" fillId="3" borderId="0" xfId="0" applyNumberFormat="1" applyFont="1" applyFill="1" applyAlignment="1">
      <alignment horizontal="center" vertical="center"/>
    </xf>
    <xf numFmtId="190" fontId="0" fillId="2" borderId="0" xfId="0" applyNumberFormat="1" applyFill="1" applyAlignment="1">
      <alignment horizontal="center" vertical="center"/>
    </xf>
    <xf numFmtId="191" fontId="2" fillId="3" borderId="0" xfId="0" applyNumberFormat="1" applyFont="1" applyFill="1" applyAlignment="1">
      <alignment horizontal="center" vertical="center"/>
    </xf>
    <xf numFmtId="192" fontId="0" fillId="2" borderId="0" xfId="0" applyNumberForma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85" zoomScaleNormal="85" workbookViewId="0">
      <selection activeCell="P54" sqref="P54"/>
    </sheetView>
  </sheetViews>
  <sheetFormatPr defaultRowHeight="13.5" x14ac:dyDescent="0.15"/>
  <cols>
    <col min="4" max="11" width="4.5" customWidth="1"/>
    <col min="13" max="20" width="11.25" customWidth="1"/>
  </cols>
  <sheetData>
    <row r="1" spans="1:20" x14ac:dyDescent="0.15">
      <c r="A1" t="s">
        <v>185</v>
      </c>
      <c r="L1" t="s">
        <v>175</v>
      </c>
      <c r="M1" t="s">
        <v>169</v>
      </c>
      <c r="N1" t="s">
        <v>194</v>
      </c>
      <c r="P1" t="s">
        <v>170</v>
      </c>
      <c r="Q1" t="str">
        <f>N1</f>
        <v>mel_xga</v>
      </c>
      <c r="S1" t="s">
        <v>166</v>
      </c>
    </row>
    <row r="2" spans="1:20" x14ac:dyDescent="0.15">
      <c r="A2" t="s">
        <v>186</v>
      </c>
      <c r="L2" t="s">
        <v>176</v>
      </c>
      <c r="M2" t="s">
        <v>70</v>
      </c>
      <c r="N2">
        <v>1024</v>
      </c>
      <c r="O2">
        <v>0</v>
      </c>
      <c r="P2" t="s">
        <v>70</v>
      </c>
      <c r="Q2">
        <v>0</v>
      </c>
      <c r="S2" t="s">
        <v>164</v>
      </c>
      <c r="T2" s="4">
        <v>381</v>
      </c>
    </row>
    <row r="3" spans="1:20" x14ac:dyDescent="0.15">
      <c r="A3" t="s">
        <v>187</v>
      </c>
      <c r="L3" t="s">
        <v>177</v>
      </c>
      <c r="M3" t="s">
        <v>71</v>
      </c>
      <c r="N3">
        <v>768</v>
      </c>
      <c r="O3">
        <v>0</v>
      </c>
      <c r="P3" t="s">
        <v>71</v>
      </c>
      <c r="Q3">
        <v>0</v>
      </c>
      <c r="S3" t="s">
        <v>165</v>
      </c>
      <c r="T3" s="54">
        <f>T2/2</f>
        <v>190.5</v>
      </c>
    </row>
    <row r="4" spans="1:20" x14ac:dyDescent="0.15">
      <c r="L4" t="s">
        <v>178</v>
      </c>
      <c r="M4" t="s">
        <v>75</v>
      </c>
      <c r="N4">
        <v>304</v>
      </c>
      <c r="O4">
        <v>0</v>
      </c>
      <c r="P4" t="s">
        <v>75</v>
      </c>
      <c r="Q4">
        <v>0</v>
      </c>
      <c r="S4" t="s">
        <v>162</v>
      </c>
      <c r="T4" s="4">
        <v>0</v>
      </c>
    </row>
    <row r="5" spans="1:20" x14ac:dyDescent="0.15">
      <c r="L5" t="s">
        <v>179</v>
      </c>
      <c r="M5" t="s">
        <v>74</v>
      </c>
      <c r="N5">
        <v>30</v>
      </c>
      <c r="O5">
        <v>0</v>
      </c>
      <c r="P5" t="s">
        <v>74</v>
      </c>
      <c r="Q5">
        <v>0</v>
      </c>
      <c r="S5" t="s">
        <v>163</v>
      </c>
      <c r="T5" s="54">
        <f>T4/2</f>
        <v>0</v>
      </c>
    </row>
    <row r="6" spans="1:20" x14ac:dyDescent="0.15">
      <c r="L6" t="s">
        <v>180</v>
      </c>
      <c r="M6" t="s">
        <v>73</v>
      </c>
      <c r="N6">
        <v>63.5</v>
      </c>
      <c r="O6">
        <v>0</v>
      </c>
      <c r="P6" t="s">
        <v>73</v>
      </c>
      <c r="Q6">
        <v>0</v>
      </c>
      <c r="S6" t="s">
        <v>171</v>
      </c>
      <c r="T6" s="37">
        <v>60</v>
      </c>
    </row>
    <row r="7" spans="1:20" x14ac:dyDescent="0.15">
      <c r="L7" t="s">
        <v>181</v>
      </c>
      <c r="M7" t="s">
        <v>72</v>
      </c>
      <c r="N7">
        <v>104</v>
      </c>
      <c r="O7">
        <v>0</v>
      </c>
      <c r="P7" t="s">
        <v>72</v>
      </c>
      <c r="Q7">
        <v>0</v>
      </c>
      <c r="S7" t="s">
        <v>84</v>
      </c>
      <c r="T7" s="55">
        <f>(N2+N4)*(N3+N5)*T6/1000000</f>
        <v>63.58464</v>
      </c>
    </row>
    <row r="8" spans="1:20" x14ac:dyDescent="0.15">
      <c r="L8" t="s">
        <v>182</v>
      </c>
      <c r="M8" t="s">
        <v>76</v>
      </c>
      <c r="N8">
        <v>4</v>
      </c>
      <c r="O8">
        <v>0</v>
      </c>
      <c r="P8" t="s">
        <v>76</v>
      </c>
      <c r="Q8">
        <v>0</v>
      </c>
      <c r="S8" t="s">
        <v>85</v>
      </c>
      <c r="T8" s="51" t="s">
        <v>87</v>
      </c>
    </row>
    <row r="9" spans="1:20" x14ac:dyDescent="0.15">
      <c r="L9" s="41"/>
      <c r="M9" t="s">
        <v>77</v>
      </c>
      <c r="N9" s="36">
        <f>N4-N7-N11</f>
        <v>152</v>
      </c>
      <c r="O9">
        <v>0</v>
      </c>
      <c r="P9" t="s">
        <v>77</v>
      </c>
      <c r="Q9">
        <v>0</v>
      </c>
      <c r="S9" t="s">
        <v>86</v>
      </c>
      <c r="T9" s="52">
        <f>IF(T8="dual",T7/2,T7)</f>
        <v>63.58464</v>
      </c>
    </row>
    <row r="10" spans="1:20" x14ac:dyDescent="0.15">
      <c r="M10" t="s">
        <v>78</v>
      </c>
      <c r="N10" s="36">
        <f>N5-N8-N12</f>
        <v>23</v>
      </c>
      <c r="O10">
        <v>0</v>
      </c>
      <c r="P10" t="s">
        <v>78</v>
      </c>
      <c r="Q10">
        <v>0</v>
      </c>
      <c r="S10" t="s">
        <v>88</v>
      </c>
      <c r="T10" s="53">
        <f>T3/T9</f>
        <v>2.9960065827218649</v>
      </c>
    </row>
    <row r="11" spans="1:20" x14ac:dyDescent="0.15">
      <c r="L11" t="s">
        <v>183</v>
      </c>
      <c r="M11" t="s">
        <v>79</v>
      </c>
      <c r="N11">
        <v>48</v>
      </c>
      <c r="O11">
        <v>0</v>
      </c>
      <c r="P11" t="s">
        <v>79</v>
      </c>
      <c r="Q11">
        <v>0</v>
      </c>
      <c r="S11" t="s">
        <v>192</v>
      </c>
      <c r="T11" s="50">
        <v>256</v>
      </c>
    </row>
    <row r="12" spans="1:20" x14ac:dyDescent="0.15">
      <c r="L12" t="s">
        <v>184</v>
      </c>
      <c r="M12" t="s">
        <v>80</v>
      </c>
      <c r="N12">
        <v>3</v>
      </c>
      <c r="O12">
        <v>0</v>
      </c>
      <c r="P12" t="s">
        <v>80</v>
      </c>
      <c r="Q12">
        <v>0</v>
      </c>
      <c r="S12" t="s">
        <v>191</v>
      </c>
      <c r="T12" s="50">
        <v>144</v>
      </c>
    </row>
    <row r="13" spans="1:20" x14ac:dyDescent="0.15">
      <c r="A13" s="2" t="s">
        <v>24</v>
      </c>
      <c r="B13" s="2" t="s">
        <v>25</v>
      </c>
      <c r="C13" s="2" t="s">
        <v>26</v>
      </c>
      <c r="D13" s="2">
        <v>7</v>
      </c>
      <c r="E13" s="2">
        <v>6</v>
      </c>
      <c r="F13" s="2">
        <v>5</v>
      </c>
      <c r="G13" s="2">
        <v>4</v>
      </c>
      <c r="H13" s="2">
        <v>3</v>
      </c>
      <c r="I13" s="2">
        <v>2</v>
      </c>
      <c r="J13" s="2">
        <v>1</v>
      </c>
      <c r="K13" s="2">
        <v>0</v>
      </c>
      <c r="L13" s="2" t="s">
        <v>59</v>
      </c>
      <c r="M13" s="2">
        <v>7</v>
      </c>
      <c r="N13" s="2">
        <v>6</v>
      </c>
      <c r="O13" s="2">
        <v>5</v>
      </c>
      <c r="P13" s="2">
        <v>4</v>
      </c>
      <c r="Q13" s="2">
        <v>3</v>
      </c>
      <c r="R13" s="2">
        <v>2</v>
      </c>
      <c r="S13" s="2">
        <v>1</v>
      </c>
      <c r="T13" s="2">
        <v>0</v>
      </c>
    </row>
    <row r="14" spans="1:20" x14ac:dyDescent="0.15">
      <c r="A14" s="1" t="s">
        <v>23</v>
      </c>
      <c r="B14" s="3" t="str">
        <f t="shared" ref="B14:B17" si="0">CONCATENATE("0x",BIN2HEX(C14,2))</f>
        <v>0x00</v>
      </c>
      <c r="C14" s="2" t="str">
        <f>CONCATENATE("0000000",IF(T14="no",0,1))</f>
        <v>00000000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" t="str">
        <f>LEFT(RIGHT($C14,K$13+1),1)</f>
        <v>0</v>
      </c>
      <c r="L14" s="2" t="s">
        <v>60</v>
      </c>
      <c r="M14" s="5"/>
      <c r="N14" s="5"/>
      <c r="O14" s="5"/>
      <c r="P14" s="5"/>
      <c r="Q14" s="5"/>
      <c r="R14" s="5"/>
      <c r="S14" s="5"/>
      <c r="T14" s="14" t="s">
        <v>81</v>
      </c>
    </row>
    <row r="15" spans="1:20" x14ac:dyDescent="0.15">
      <c r="A15" s="1" t="s">
        <v>0</v>
      </c>
      <c r="B15" s="3" t="str">
        <f t="shared" si="0"/>
        <v>0x05</v>
      </c>
      <c r="C15" s="2" t="str">
        <f>CONCATENATE(IF(M15="no",0,1),"000",IF(LEFT(Q15,2)="13","101",IF(LEFT(Q15,2)="11","100",IF(LEFT(Q15,2)="87","011",IF(LEFT(Q15,2)="62","010",IF(LEFT(Q15,2)="37","001","000"))))),IF(T15="DSI",1,0))</f>
        <v>00000101</v>
      </c>
      <c r="D15" s="2" t="str">
        <f>LEFT(RIGHT($C15,D$13+1),1)</f>
        <v>0</v>
      </c>
      <c r="E15" s="25">
        <v>0</v>
      </c>
      <c r="F15" s="25">
        <v>0</v>
      </c>
      <c r="G15" s="25">
        <v>0</v>
      </c>
      <c r="H15" s="26" t="str">
        <f>LEFT(RIGHT($C15,H$13+1),1)</f>
        <v>0</v>
      </c>
      <c r="I15" s="26" t="str">
        <f>LEFT(RIGHT($C15,I$13+1),1)</f>
        <v>1</v>
      </c>
      <c r="J15" s="26" t="str">
        <f>LEFT(RIGHT($C15,J$13+1),1)</f>
        <v>0</v>
      </c>
      <c r="K15" s="2" t="str">
        <f>LEFT(RIGHT($C15,K$13+1),1)</f>
        <v>1</v>
      </c>
      <c r="L15" s="2" t="s">
        <v>60</v>
      </c>
      <c r="M15" s="15" t="s">
        <v>81</v>
      </c>
      <c r="N15" s="5"/>
      <c r="O15" s="5"/>
      <c r="P15" s="5"/>
      <c r="Q15" s="63" t="s">
        <v>195</v>
      </c>
      <c r="R15" s="63"/>
      <c r="S15" s="63"/>
      <c r="T15" s="16" t="s">
        <v>161</v>
      </c>
    </row>
    <row r="16" spans="1:20" x14ac:dyDescent="0.15">
      <c r="A16" s="1" t="s">
        <v>1</v>
      </c>
      <c r="B16" s="3" t="str">
        <f t="shared" si="0"/>
        <v>0x10</v>
      </c>
      <c r="C16" s="2" t="str">
        <f>CONCATENATE(DEC2BIN(M16-1,5),"0",DEC2BIN(S16-1,2))</f>
        <v>00010000</v>
      </c>
      <c r="D16" s="2" t="str">
        <f>LEFT(RIGHT($C16,D$13+1),1)</f>
        <v>0</v>
      </c>
      <c r="E16" s="2" t="str">
        <f>LEFT(RIGHT($C16,E$13+1),1)</f>
        <v>0</v>
      </c>
      <c r="F16" s="2" t="str">
        <f>LEFT(RIGHT($C16,F$13+1),1)</f>
        <v>0</v>
      </c>
      <c r="G16" s="2" t="str">
        <f>LEFT(RIGHT($C16,G$13+1),1)</f>
        <v>1</v>
      </c>
      <c r="H16" s="2" t="str">
        <f>LEFT(RIGHT($C16,H$13+1),1)</f>
        <v>0</v>
      </c>
      <c r="I16" s="25">
        <v>0</v>
      </c>
      <c r="J16" s="26" t="str">
        <f>LEFT(RIGHT($C16,J$13+1),1)</f>
        <v>0</v>
      </c>
      <c r="K16" s="26" t="str">
        <f>LEFT(RIGHT($C16,K$13+1),1)</f>
        <v>0</v>
      </c>
      <c r="L16" s="2" t="s">
        <v>60</v>
      </c>
      <c r="M16" s="65">
        <v>3</v>
      </c>
      <c r="N16" s="65"/>
      <c r="O16" s="65"/>
      <c r="P16" s="65"/>
      <c r="Q16" s="65"/>
      <c r="R16" s="5"/>
      <c r="S16" s="64">
        <v>1</v>
      </c>
      <c r="T16" s="64"/>
    </row>
    <row r="17" spans="1:20" x14ac:dyDescent="0.15">
      <c r="A17" s="1" t="s">
        <v>2</v>
      </c>
      <c r="B17" s="3" t="str">
        <f t="shared" si="0"/>
        <v>0x00</v>
      </c>
      <c r="C17" s="2" t="str">
        <f>CONCATENATE(D17,E17,F17,G17,H17,I17,J17,K17)</f>
        <v>00000000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">
        <f>IF(T17="no",0,1)</f>
        <v>0</v>
      </c>
      <c r="L17" s="2" t="s">
        <v>60</v>
      </c>
      <c r="M17" s="5"/>
      <c r="N17" s="5"/>
      <c r="O17" s="5"/>
      <c r="P17" s="5"/>
      <c r="Q17" s="5"/>
      <c r="R17" s="5"/>
      <c r="S17" s="5"/>
      <c r="T17" s="15" t="s">
        <v>81</v>
      </c>
    </row>
    <row r="18" spans="1:20" x14ac:dyDescent="0.15">
      <c r="A18" s="1">
        <v>10</v>
      </c>
      <c r="B18" s="3" t="str">
        <f t="shared" ref="B18:B19" si="1">CONCATENATE("0x",BIN2HEX(C18,2))</f>
        <v>0x26</v>
      </c>
      <c r="C18" s="2" t="str">
        <f>CONCATENATE(IF(M18="INT",0,1),IF(N18="single","01",IF(M18="dual","00","10")),IF(OR(P18=4,P18=3),CONCATENATE("0",_xlfn.BITXOR(DEC2BIN(P18-1,2),11)),_xlfn.BITXOR(DEC2BIN(P18-1,2),11)),IF(OR(R18=4,R18=3),CONCATENATE("0",_xlfn.BITXOR(DEC2BIN(R18-1,2),11)),_xlfn.BITXOR(DEC2BIN(R18-1,2),11)),IF(T18="yes","0","1"))</f>
        <v>00100110</v>
      </c>
      <c r="D18" s="2" t="str">
        <f>LEFT(RIGHT($C18,D$13+1),1)</f>
        <v>0</v>
      </c>
      <c r="E18" s="26" t="str">
        <f>LEFT(RIGHT($C18,E$13+1),1)</f>
        <v>0</v>
      </c>
      <c r="F18" s="26" t="str">
        <f>LEFT(RIGHT($C18,F$13+1),1)</f>
        <v>1</v>
      </c>
      <c r="G18" s="2" t="str">
        <f>LEFT(RIGHT($C18,G$13+1),1)</f>
        <v>0</v>
      </c>
      <c r="H18" s="2" t="str">
        <f>LEFT(RIGHT($C18,H$13+1),1)</f>
        <v>0</v>
      </c>
      <c r="I18" s="26" t="str">
        <f t="shared" ref="I18:J18" si="2">LEFT(RIGHT($C18,I$13+1),1)</f>
        <v>1</v>
      </c>
      <c r="J18" s="26" t="str">
        <f t="shared" si="2"/>
        <v>1</v>
      </c>
      <c r="K18" s="27" t="str">
        <f>LEFT(RIGHT($C18,K$13+1),1)</f>
        <v>0</v>
      </c>
      <c r="L18" s="2" t="s">
        <v>60</v>
      </c>
      <c r="M18" s="42" t="s">
        <v>89</v>
      </c>
      <c r="N18" s="61" t="s">
        <v>87</v>
      </c>
      <c r="O18" s="61"/>
      <c r="P18" s="62">
        <v>4</v>
      </c>
      <c r="Q18" s="62"/>
      <c r="R18" s="57">
        <v>1</v>
      </c>
      <c r="S18" s="57"/>
      <c r="T18" s="17" t="s">
        <v>90</v>
      </c>
    </row>
    <row r="19" spans="1:20" x14ac:dyDescent="0.15">
      <c r="A19" s="1">
        <v>11</v>
      </c>
      <c r="B19" s="3" t="str">
        <f t="shared" si="1"/>
        <v>0x00</v>
      </c>
      <c r="C19" s="34" t="s">
        <v>167</v>
      </c>
      <c r="D19" s="2" t="str">
        <f t="shared" ref="D19:E21" si="3">LEFT(RIGHT($C19,D$13+1),1)</f>
        <v>0</v>
      </c>
      <c r="E19" s="2" t="str">
        <f t="shared" si="3"/>
        <v>0</v>
      </c>
      <c r="F19" s="28">
        <v>0</v>
      </c>
      <c r="G19" s="28">
        <v>0</v>
      </c>
      <c r="H19" s="2" t="str">
        <f t="shared" ref="H19:I23" si="4">LEFT(RIGHT($C19,H$13+1),1)</f>
        <v>0</v>
      </c>
      <c r="I19" s="2" t="str">
        <f t="shared" si="4"/>
        <v>0</v>
      </c>
      <c r="J19" s="28">
        <v>0</v>
      </c>
      <c r="K19" s="28">
        <v>0</v>
      </c>
      <c r="L19" s="2" t="s">
        <v>60</v>
      </c>
      <c r="M19" s="56" t="s">
        <v>66</v>
      </c>
      <c r="N19" s="56"/>
      <c r="O19" s="5"/>
      <c r="P19" s="5"/>
      <c r="Q19" s="56" t="s">
        <v>67</v>
      </c>
      <c r="R19" s="56"/>
      <c r="S19" s="5"/>
      <c r="T19" s="5"/>
    </row>
    <row r="20" spans="1:20" x14ac:dyDescent="0.15">
      <c r="A20" s="1">
        <v>12</v>
      </c>
      <c r="B20" s="3" t="str">
        <f>CONCATENATE("0x",IF(RIGHT(LEFT(M20,11),1)="-",DEC2HEX(RIGHT(LEFT(M20,10),2)/5,2),DEC2HEX(RIGHT(LEFT(M20,11),3)/5,2)))</f>
        <v>0x26</v>
      </c>
      <c r="C20" s="2" t="str">
        <f t="shared" ref="C20:C21" si="5">HEX2BIN(RIGHT(B20,2),8)</f>
        <v>00100110</v>
      </c>
      <c r="D20" s="2" t="str">
        <f t="shared" si="3"/>
        <v>0</v>
      </c>
      <c r="E20" s="2" t="str">
        <f t="shared" si="3"/>
        <v>0</v>
      </c>
      <c r="F20" s="2" t="str">
        <f>LEFT(RIGHT($C20,F$13+1),1)</f>
        <v>1</v>
      </c>
      <c r="G20" s="2" t="str">
        <f>LEFT(RIGHT($C20,G$13+1),1)</f>
        <v>0</v>
      </c>
      <c r="H20" s="2" t="str">
        <f t="shared" si="4"/>
        <v>0</v>
      </c>
      <c r="I20" s="2" t="str">
        <f t="shared" si="4"/>
        <v>1</v>
      </c>
      <c r="J20" s="2" t="str">
        <f t="shared" ref="J20:K39" si="6">LEFT(RIGHT($C20,J$13+1),1)</f>
        <v>1</v>
      </c>
      <c r="K20" s="2" t="str">
        <f t="shared" si="6"/>
        <v>0</v>
      </c>
      <c r="L20" s="2" t="s">
        <v>60</v>
      </c>
      <c r="M20" s="59" t="str">
        <f>CONCATENATE("ADSICLK=",ROUNDDOWN(T3/5,0)*5,"-",ROUNDDOWN(T3/5,0)*5+5,"MHz")</f>
        <v>ADSICLK=190-195MHz</v>
      </c>
      <c r="N20" s="59"/>
      <c r="O20" s="59"/>
      <c r="P20" s="59"/>
      <c r="Q20" s="59"/>
      <c r="R20" s="59"/>
      <c r="S20" s="59"/>
      <c r="T20" s="59"/>
    </row>
    <row r="21" spans="1:20" x14ac:dyDescent="0.15">
      <c r="A21" s="1">
        <v>13</v>
      </c>
      <c r="B21" s="3" t="str">
        <f>CONCATENATE("0x",IF(RIGHT(LEFT(M21,9),1)="0","00",IF(RIGHT(LEFT(M21,11),1)="-",DEC2HEX(RIGHT(LEFT(M21,10),2)/5,2),DEC2HEX(RIGHT(LEFT(M21,11),3)/5,2))))</f>
        <v>0x00</v>
      </c>
      <c r="C21" s="2" t="str">
        <f t="shared" si="5"/>
        <v>00000000</v>
      </c>
      <c r="D21" s="2" t="str">
        <f t="shared" si="3"/>
        <v>0</v>
      </c>
      <c r="E21" s="2" t="str">
        <f t="shared" si="3"/>
        <v>0</v>
      </c>
      <c r="F21" s="2" t="str">
        <f>LEFT(RIGHT($C21,F$13+1),1)</f>
        <v>0</v>
      </c>
      <c r="G21" s="2" t="str">
        <f>LEFT(RIGHT($C21,G$13+1),1)</f>
        <v>0</v>
      </c>
      <c r="H21" s="2" t="str">
        <f t="shared" si="4"/>
        <v>0</v>
      </c>
      <c r="I21" s="2" t="str">
        <f t="shared" si="4"/>
        <v>0</v>
      </c>
      <c r="J21" s="2" t="str">
        <f t="shared" si="6"/>
        <v>0</v>
      </c>
      <c r="K21" s="2" t="str">
        <f t="shared" si="6"/>
        <v>0</v>
      </c>
      <c r="L21" s="2" t="s">
        <v>60</v>
      </c>
      <c r="M21" s="60" t="str">
        <f>CONCATENATE("BDSICLK=",ROUNDDOWN(T5/5,0)*5,"-",ROUNDDOWN(T5/5,0)*5+5,"MHz")</f>
        <v>BDSICLK=0-5MHz</v>
      </c>
      <c r="N21" s="60"/>
      <c r="O21" s="60"/>
      <c r="P21" s="60"/>
      <c r="Q21" s="60"/>
      <c r="R21" s="60"/>
      <c r="S21" s="60"/>
      <c r="T21" s="60"/>
    </row>
    <row r="22" spans="1:20" x14ac:dyDescent="0.15">
      <c r="A22" s="1">
        <v>18</v>
      </c>
      <c r="B22" s="3" t="str">
        <f>CONCATENATE("0x",BIN2HEX(C22,2))</f>
        <v>0x7F</v>
      </c>
      <c r="C22" s="2" t="str">
        <f>CONCATENATE(D22,E22,F22,G22,H22,I22,J22,K22)</f>
        <v>01111111</v>
      </c>
      <c r="D22" s="2">
        <f>IF(M22="+",0,1)</f>
        <v>0</v>
      </c>
      <c r="E22" s="26">
        <f t="shared" ref="E22:F22" si="7">IF(N22="+",0,1)</f>
        <v>1</v>
      </c>
      <c r="F22" s="2">
        <f t="shared" si="7"/>
        <v>1</v>
      </c>
      <c r="G22" s="26">
        <f>IF(RIGHT(P22,4)="dual",0,1)</f>
        <v>1</v>
      </c>
      <c r="H22" s="26">
        <f>IF(Q22="18bpp",0,1)</f>
        <v>1</v>
      </c>
      <c r="I22" s="26">
        <f>IF(R22="18bpp",0,1)</f>
        <v>1</v>
      </c>
      <c r="J22" s="2">
        <f t="shared" ref="J22:K22" si="8">IF(S22=2,0,1)</f>
        <v>1</v>
      </c>
      <c r="K22" s="26">
        <f t="shared" si="8"/>
        <v>1</v>
      </c>
      <c r="L22" s="2" t="s">
        <v>60</v>
      </c>
      <c r="M22" s="18" t="s">
        <v>82</v>
      </c>
      <c r="N22" s="19" t="s">
        <v>83</v>
      </c>
      <c r="O22" s="20" t="s">
        <v>83</v>
      </c>
      <c r="P22" s="38" t="str">
        <f>CONCATENATE("LVDS=",T8)</f>
        <v>LVDS=single</v>
      </c>
      <c r="Q22" s="21" t="s">
        <v>196</v>
      </c>
      <c r="R22" s="22" t="s">
        <v>196</v>
      </c>
      <c r="S22" s="23">
        <v>1</v>
      </c>
      <c r="T22" s="24">
        <v>1</v>
      </c>
    </row>
    <row r="23" spans="1:20" x14ac:dyDescent="0.15">
      <c r="A23" s="1">
        <v>19</v>
      </c>
      <c r="B23" s="3" t="str">
        <f>CONCATENATE("0x",BIN2HEX(C23,2))</f>
        <v>0x00</v>
      </c>
      <c r="C23" s="34" t="s">
        <v>167</v>
      </c>
      <c r="D23" s="28">
        <v>0</v>
      </c>
      <c r="E23" s="2" t="str">
        <f>LEFT(RIGHT($C23,E$13+1),1)</f>
        <v>0</v>
      </c>
      <c r="F23" s="28">
        <v>0</v>
      </c>
      <c r="G23" s="2" t="str">
        <f>LEFT(RIGHT($C23,G$13+1),1)</f>
        <v>0</v>
      </c>
      <c r="H23" s="26" t="str">
        <f t="shared" si="4"/>
        <v>0</v>
      </c>
      <c r="I23" s="26" t="str">
        <f t="shared" si="4"/>
        <v>0</v>
      </c>
      <c r="J23" s="2" t="str">
        <f t="shared" si="6"/>
        <v>0</v>
      </c>
      <c r="K23" s="2" t="str">
        <f t="shared" si="6"/>
        <v>0</v>
      </c>
      <c r="L23" s="2" t="s">
        <v>60</v>
      </c>
      <c r="M23" s="5"/>
      <c r="N23" s="2" t="s">
        <v>62</v>
      </c>
      <c r="O23" s="5"/>
      <c r="P23" s="2" t="s">
        <v>63</v>
      </c>
      <c r="Q23" s="56" t="s">
        <v>64</v>
      </c>
      <c r="R23" s="56"/>
      <c r="S23" s="56" t="s">
        <v>65</v>
      </c>
      <c r="T23" s="56"/>
    </row>
    <row r="24" spans="1:20" x14ac:dyDescent="0.15">
      <c r="A24" s="1" t="s">
        <v>3</v>
      </c>
      <c r="B24" s="3" t="str">
        <f>CONCATENATE("0x",BIN2HEX(C24,2))</f>
        <v>0x00</v>
      </c>
      <c r="C24" s="2" t="str">
        <f>CONCATENATE(D24,E24,F24,G24,H24,I24,J24,K24)</f>
        <v>00000000</v>
      </c>
      <c r="D24" s="28">
        <v>0</v>
      </c>
      <c r="E24" s="2">
        <f t="shared" ref="E24:G24" si="9">IF(N24="no",0,1)</f>
        <v>0</v>
      </c>
      <c r="F24" s="26">
        <f t="shared" si="9"/>
        <v>0</v>
      </c>
      <c r="G24" s="2">
        <f t="shared" si="9"/>
        <v>0</v>
      </c>
      <c r="H24" s="28">
        <v>0</v>
      </c>
      <c r="I24" s="28">
        <v>0</v>
      </c>
      <c r="J24" s="2">
        <f>IF(S24=200,1,0)</f>
        <v>0</v>
      </c>
      <c r="K24" s="26">
        <f>IF(T24=200,1,0)</f>
        <v>0</v>
      </c>
      <c r="L24" s="2" t="s">
        <v>60</v>
      </c>
      <c r="M24" s="5"/>
      <c r="N24" s="33" t="s">
        <v>81</v>
      </c>
      <c r="O24" s="31" t="s">
        <v>81</v>
      </c>
      <c r="P24" s="32" t="s">
        <v>81</v>
      </c>
      <c r="Q24" s="5"/>
      <c r="R24" s="5"/>
      <c r="S24" s="30">
        <v>100</v>
      </c>
      <c r="T24" s="29">
        <v>100</v>
      </c>
    </row>
    <row r="25" spans="1:20" x14ac:dyDescent="0.15">
      <c r="A25" s="1" t="s">
        <v>4</v>
      </c>
      <c r="B25" s="3" t="str">
        <f>CONCATENATE("0x",BIN2HEX(C25,2))</f>
        <v>0x00</v>
      </c>
      <c r="C25" s="34" t="s">
        <v>167</v>
      </c>
      <c r="D25" s="28">
        <v>0</v>
      </c>
      <c r="E25" s="28">
        <v>0</v>
      </c>
      <c r="F25" s="2" t="str">
        <f>LEFT(RIGHT($C25,F$13+1),1)</f>
        <v>0</v>
      </c>
      <c r="G25" s="2" t="str">
        <f>LEFT(RIGHT($C25,G$13+1),1)</f>
        <v>0</v>
      </c>
      <c r="H25" s="28">
        <v>0</v>
      </c>
      <c r="I25" s="28">
        <v>0</v>
      </c>
      <c r="J25" s="2" t="str">
        <f t="shared" si="6"/>
        <v>0</v>
      </c>
      <c r="K25" s="2" t="str">
        <f t="shared" si="6"/>
        <v>0</v>
      </c>
      <c r="L25" s="2" t="s">
        <v>60</v>
      </c>
      <c r="M25" s="5"/>
      <c r="N25" s="5"/>
      <c r="O25" s="56" t="s">
        <v>68</v>
      </c>
      <c r="P25" s="56"/>
      <c r="Q25" s="5"/>
      <c r="R25" s="5"/>
      <c r="S25" s="56" t="s">
        <v>69</v>
      </c>
      <c r="T25" s="56"/>
    </row>
    <row r="26" spans="1:20" x14ac:dyDescent="0.15">
      <c r="A26" s="1">
        <v>20</v>
      </c>
      <c r="B26" s="3" t="str">
        <f>CONCATENATE("0x",RIGHT(DEC2HEX(M26,3),2))</f>
        <v>0x00</v>
      </c>
      <c r="C26" s="2" t="str">
        <f t="shared" ref="C26:C56" si="10">HEX2BIN(RIGHT(B26,2),8)</f>
        <v>00000000</v>
      </c>
      <c r="D26" s="2" t="str">
        <f>LEFT(RIGHT($C26,D$13+1),1)</f>
        <v>0</v>
      </c>
      <c r="E26" s="2" t="str">
        <f>LEFT(RIGHT($C26,E$13+1),1)</f>
        <v>0</v>
      </c>
      <c r="F26" s="2" t="str">
        <f>LEFT(RIGHT($C26,F$13+1),1)</f>
        <v>0</v>
      </c>
      <c r="G26" s="2" t="str">
        <f>LEFT(RIGHT($C26,G$13+1),1)</f>
        <v>0</v>
      </c>
      <c r="H26" s="2" t="str">
        <f t="shared" ref="H26:I38" si="11">LEFT(RIGHT($C26,H$13+1),1)</f>
        <v>0</v>
      </c>
      <c r="I26" s="2" t="str">
        <f t="shared" si="11"/>
        <v>0</v>
      </c>
      <c r="J26" s="2" t="str">
        <f t="shared" si="6"/>
        <v>0</v>
      </c>
      <c r="K26" s="2" t="str">
        <f t="shared" si="6"/>
        <v>0</v>
      </c>
      <c r="L26" s="2" t="s">
        <v>60</v>
      </c>
      <c r="M26" s="58">
        <f>N2</f>
        <v>1024</v>
      </c>
      <c r="N26" s="58"/>
      <c r="O26" s="58"/>
      <c r="P26" s="58"/>
      <c r="Q26" s="58"/>
      <c r="R26" s="58"/>
      <c r="S26" s="58"/>
      <c r="T26" s="58"/>
    </row>
    <row r="27" spans="1:20" x14ac:dyDescent="0.15">
      <c r="A27" s="1">
        <v>21</v>
      </c>
      <c r="B27" s="3" t="str">
        <f>CONCATENATE("0x0",LEFT(DEC2HEX(M26,3),1))</f>
        <v>0x04</v>
      </c>
      <c r="C27" s="2" t="str">
        <f t="shared" si="10"/>
        <v>00000100</v>
      </c>
      <c r="D27" s="28">
        <v>0</v>
      </c>
      <c r="E27" s="28">
        <v>0</v>
      </c>
      <c r="F27" s="28">
        <v>0</v>
      </c>
      <c r="G27" s="28">
        <v>0</v>
      </c>
      <c r="H27" s="2" t="str">
        <f t="shared" si="11"/>
        <v>0</v>
      </c>
      <c r="I27" s="2" t="str">
        <f t="shared" si="11"/>
        <v>1</v>
      </c>
      <c r="J27" s="2" t="str">
        <f t="shared" si="6"/>
        <v>0</v>
      </c>
      <c r="K27" s="2" t="str">
        <f t="shared" si="6"/>
        <v>0</v>
      </c>
      <c r="L27" s="2" t="s">
        <v>60</v>
      </c>
      <c r="M27" s="5"/>
      <c r="N27" s="5"/>
      <c r="O27" s="5"/>
      <c r="P27" s="5"/>
      <c r="Q27" s="58">
        <f>M26</f>
        <v>1024</v>
      </c>
      <c r="R27" s="58"/>
      <c r="S27" s="58"/>
      <c r="T27" s="58"/>
    </row>
    <row r="28" spans="1:20" x14ac:dyDescent="0.15">
      <c r="A28" s="1">
        <v>22</v>
      </c>
      <c r="B28" s="3" t="str">
        <f>CONCATENATE("0x",RIGHT(DEC2HEX(M28,3),2))</f>
        <v>0x00</v>
      </c>
      <c r="C28" s="2" t="str">
        <f t="shared" si="10"/>
        <v>00000000</v>
      </c>
      <c r="D28" s="2" t="str">
        <f>LEFT(RIGHT($C28,D$13+1),1)</f>
        <v>0</v>
      </c>
      <c r="E28" s="2" t="str">
        <f>LEFT(RIGHT($C28,E$13+1),1)</f>
        <v>0</v>
      </c>
      <c r="F28" s="2" t="str">
        <f>LEFT(RIGHT($C28,F$13+1),1)</f>
        <v>0</v>
      </c>
      <c r="G28" s="2" t="str">
        <f>LEFT(RIGHT($C28,G$13+1),1)</f>
        <v>0</v>
      </c>
      <c r="H28" s="2" t="str">
        <f t="shared" si="11"/>
        <v>0</v>
      </c>
      <c r="I28" s="2" t="str">
        <f t="shared" si="11"/>
        <v>0</v>
      </c>
      <c r="J28" s="2" t="str">
        <f t="shared" si="6"/>
        <v>0</v>
      </c>
      <c r="K28" s="2" t="str">
        <f t="shared" si="6"/>
        <v>0</v>
      </c>
      <c r="L28" s="2" t="s">
        <v>60</v>
      </c>
      <c r="M28" s="74">
        <f>Q2</f>
        <v>0</v>
      </c>
      <c r="N28" s="74"/>
      <c r="O28" s="74"/>
      <c r="P28" s="74"/>
      <c r="Q28" s="74"/>
      <c r="R28" s="74"/>
      <c r="S28" s="74"/>
      <c r="T28" s="74"/>
    </row>
    <row r="29" spans="1:20" x14ac:dyDescent="0.15">
      <c r="A29" s="1">
        <v>23</v>
      </c>
      <c r="B29" s="3" t="str">
        <f>CONCATENATE("0x0",LEFT(DEC2HEX(M28,3),1))</f>
        <v>0x00</v>
      </c>
      <c r="C29" s="2" t="str">
        <f t="shared" si="10"/>
        <v>00000000</v>
      </c>
      <c r="D29" s="28">
        <v>0</v>
      </c>
      <c r="E29" s="28">
        <v>0</v>
      </c>
      <c r="F29" s="28">
        <v>0</v>
      </c>
      <c r="G29" s="28">
        <v>0</v>
      </c>
      <c r="H29" s="2" t="str">
        <f t="shared" si="11"/>
        <v>0</v>
      </c>
      <c r="I29" s="2" t="str">
        <f t="shared" si="11"/>
        <v>0</v>
      </c>
      <c r="J29" s="2" t="str">
        <f t="shared" si="6"/>
        <v>0</v>
      </c>
      <c r="K29" s="2" t="str">
        <f t="shared" si="6"/>
        <v>0</v>
      </c>
      <c r="L29" s="2" t="s">
        <v>60</v>
      </c>
      <c r="M29" s="5"/>
      <c r="N29" s="5"/>
      <c r="O29" s="5"/>
      <c r="P29" s="44"/>
      <c r="Q29" s="74">
        <f>M28</f>
        <v>0</v>
      </c>
      <c r="R29" s="74"/>
      <c r="S29" s="74"/>
      <c r="T29" s="74"/>
    </row>
    <row r="30" spans="1:20" x14ac:dyDescent="0.15">
      <c r="A30" s="1">
        <v>24</v>
      </c>
      <c r="B30" s="3" t="str">
        <f>CONCATENATE("0x",RIGHT(DEC2HEX(M30,3),2))</f>
        <v>0x00</v>
      </c>
      <c r="C30" s="2" t="str">
        <f t="shared" si="10"/>
        <v>00000000</v>
      </c>
      <c r="D30" s="2" t="str">
        <f>LEFT(RIGHT($C30,D$13+1),1)</f>
        <v>0</v>
      </c>
      <c r="E30" s="2" t="str">
        <f>LEFT(RIGHT($C30,E$13+1),1)</f>
        <v>0</v>
      </c>
      <c r="F30" s="2" t="str">
        <f>LEFT(RIGHT($C30,F$13+1),1)</f>
        <v>0</v>
      </c>
      <c r="G30" s="2" t="str">
        <f>LEFT(RIGHT($C30,G$13+1),1)</f>
        <v>0</v>
      </c>
      <c r="H30" s="2" t="str">
        <f t="shared" si="11"/>
        <v>0</v>
      </c>
      <c r="I30" s="2" t="str">
        <f t="shared" si="11"/>
        <v>0</v>
      </c>
      <c r="J30" s="2" t="str">
        <f t="shared" si="6"/>
        <v>0</v>
      </c>
      <c r="K30" s="2" t="str">
        <f t="shared" si="6"/>
        <v>0</v>
      </c>
      <c r="L30" s="2" t="s">
        <v>61</v>
      </c>
      <c r="M30" s="73">
        <f>N3</f>
        <v>768</v>
      </c>
      <c r="N30" s="73"/>
      <c r="O30" s="73"/>
      <c r="P30" s="73"/>
      <c r="Q30" s="73"/>
      <c r="R30" s="73"/>
      <c r="S30" s="73"/>
      <c r="T30" s="73"/>
    </row>
    <row r="31" spans="1:20" x14ac:dyDescent="0.15">
      <c r="A31" s="1">
        <v>25</v>
      </c>
      <c r="B31" s="3" t="str">
        <f>CONCATENATE("0x0",LEFT(DEC2HEX(M30,3),1))</f>
        <v>0x03</v>
      </c>
      <c r="C31" s="2" t="str">
        <f t="shared" si="10"/>
        <v>00000011</v>
      </c>
      <c r="D31" s="28">
        <v>0</v>
      </c>
      <c r="E31" s="28">
        <v>0</v>
      </c>
      <c r="F31" s="28">
        <v>0</v>
      </c>
      <c r="G31" s="28">
        <v>0</v>
      </c>
      <c r="H31" s="2" t="str">
        <f t="shared" si="11"/>
        <v>0</v>
      </c>
      <c r="I31" s="2" t="str">
        <f t="shared" si="11"/>
        <v>0</v>
      </c>
      <c r="J31" s="2" t="str">
        <f t="shared" si="6"/>
        <v>1</v>
      </c>
      <c r="K31" s="2" t="str">
        <f t="shared" si="6"/>
        <v>1</v>
      </c>
      <c r="L31" s="2" t="s">
        <v>61</v>
      </c>
      <c r="M31" s="5"/>
      <c r="N31" s="5"/>
      <c r="O31" s="5"/>
      <c r="P31" s="5"/>
      <c r="Q31" s="73">
        <f>M30</f>
        <v>768</v>
      </c>
      <c r="R31" s="73"/>
      <c r="S31" s="73"/>
      <c r="T31" s="73"/>
    </row>
    <row r="32" spans="1:20" x14ac:dyDescent="0.15">
      <c r="A32" s="1">
        <v>26</v>
      </c>
      <c r="B32" s="3" t="str">
        <f>CONCATENATE("0x",RIGHT(DEC2HEX(M32,3),2))</f>
        <v>0x00</v>
      </c>
      <c r="C32" s="2" t="str">
        <f t="shared" si="10"/>
        <v>00000000</v>
      </c>
      <c r="D32" s="2" t="str">
        <f>LEFT(RIGHT($C32,D$13+1),1)</f>
        <v>0</v>
      </c>
      <c r="E32" s="2" t="str">
        <f>LEFT(RIGHT($C32,E$13+1),1)</f>
        <v>0</v>
      </c>
      <c r="F32" s="2" t="str">
        <f>LEFT(RIGHT($C32,F$13+1),1)</f>
        <v>0</v>
      </c>
      <c r="G32" s="2" t="str">
        <f>LEFT(RIGHT($C32,G$13+1),1)</f>
        <v>0</v>
      </c>
      <c r="H32" s="2" t="str">
        <f t="shared" si="11"/>
        <v>0</v>
      </c>
      <c r="I32" s="2" t="str">
        <f t="shared" si="11"/>
        <v>0</v>
      </c>
      <c r="J32" s="2" t="str">
        <f t="shared" si="6"/>
        <v>0</v>
      </c>
      <c r="K32" s="2" t="str">
        <f t="shared" si="6"/>
        <v>0</v>
      </c>
      <c r="L32" s="2" t="s">
        <v>61</v>
      </c>
      <c r="M32" s="72">
        <f>Q3</f>
        <v>0</v>
      </c>
      <c r="N32" s="72"/>
      <c r="O32" s="72"/>
      <c r="P32" s="72"/>
      <c r="Q32" s="72"/>
      <c r="R32" s="72"/>
      <c r="S32" s="72"/>
      <c r="T32" s="72"/>
    </row>
    <row r="33" spans="1:20" x14ac:dyDescent="0.15">
      <c r="A33" s="1">
        <v>27</v>
      </c>
      <c r="B33" s="3" t="str">
        <f>CONCATENATE("0x0",LEFT(DEC2HEX(M32,3),1))</f>
        <v>0x00</v>
      </c>
      <c r="C33" s="2" t="str">
        <f t="shared" si="10"/>
        <v>00000000</v>
      </c>
      <c r="D33" s="28">
        <v>0</v>
      </c>
      <c r="E33" s="28">
        <v>0</v>
      </c>
      <c r="F33" s="28">
        <v>0</v>
      </c>
      <c r="G33" s="28">
        <v>0</v>
      </c>
      <c r="H33" s="2" t="str">
        <f t="shared" si="11"/>
        <v>0</v>
      </c>
      <c r="I33" s="2" t="str">
        <f t="shared" si="11"/>
        <v>0</v>
      </c>
      <c r="J33" s="2" t="str">
        <f t="shared" si="6"/>
        <v>0</v>
      </c>
      <c r="K33" s="2" t="str">
        <f t="shared" si="6"/>
        <v>0</v>
      </c>
      <c r="L33" s="2" t="s">
        <v>61</v>
      </c>
      <c r="M33" s="5"/>
      <c r="N33" s="5"/>
      <c r="O33" s="5"/>
      <c r="P33" s="44"/>
      <c r="Q33" s="72">
        <f>M32</f>
        <v>0</v>
      </c>
      <c r="R33" s="72"/>
      <c r="S33" s="72"/>
      <c r="T33" s="72"/>
    </row>
    <row r="34" spans="1:20" x14ac:dyDescent="0.15">
      <c r="A34" s="1">
        <v>28</v>
      </c>
      <c r="B34" s="3" t="str">
        <f>CONCATENATE("0x",RIGHT(DEC2HEX(M34,3),2))</f>
        <v>0x30</v>
      </c>
      <c r="C34" s="2" t="str">
        <f t="shared" si="10"/>
        <v>00110000</v>
      </c>
      <c r="D34" s="2" t="str">
        <f>LEFT(RIGHT($C34,D$13+1),1)</f>
        <v>0</v>
      </c>
      <c r="E34" s="2" t="str">
        <f>LEFT(RIGHT($C34,E$13+1),1)</f>
        <v>0</v>
      </c>
      <c r="F34" s="2" t="str">
        <f>LEFT(RIGHT($C34,F$13+1),1)</f>
        <v>1</v>
      </c>
      <c r="G34" s="2" t="str">
        <f>LEFT(RIGHT($C34,G$13+1),1)</f>
        <v>1</v>
      </c>
      <c r="H34" s="2" t="str">
        <f t="shared" si="11"/>
        <v>0</v>
      </c>
      <c r="I34" s="2" t="str">
        <f t="shared" si="11"/>
        <v>0</v>
      </c>
      <c r="J34" s="2" t="str">
        <f t="shared" si="6"/>
        <v>0</v>
      </c>
      <c r="K34" s="2" t="str">
        <f t="shared" si="6"/>
        <v>0</v>
      </c>
      <c r="L34" s="2" t="s">
        <v>60</v>
      </c>
      <c r="M34" s="71">
        <v>48</v>
      </c>
      <c r="N34" s="71"/>
      <c r="O34" s="71"/>
      <c r="P34" s="71"/>
      <c r="Q34" s="71"/>
      <c r="R34" s="71"/>
      <c r="S34" s="71"/>
      <c r="T34" s="71"/>
    </row>
    <row r="35" spans="1:20" x14ac:dyDescent="0.15">
      <c r="A35" s="1">
        <v>29</v>
      </c>
      <c r="B35" s="3" t="str">
        <f>CONCATENATE("0x0",LEFT(DEC2HEX(M34,3),1))</f>
        <v>0x00</v>
      </c>
      <c r="C35" s="2" t="str">
        <f t="shared" si="10"/>
        <v>00000000</v>
      </c>
      <c r="D35" s="28">
        <v>0</v>
      </c>
      <c r="E35" s="28">
        <v>0</v>
      </c>
      <c r="F35" s="28">
        <v>0</v>
      </c>
      <c r="G35" s="28">
        <v>0</v>
      </c>
      <c r="H35" s="2" t="str">
        <f t="shared" si="11"/>
        <v>0</v>
      </c>
      <c r="I35" s="2" t="str">
        <f t="shared" si="11"/>
        <v>0</v>
      </c>
      <c r="J35" s="2" t="str">
        <f t="shared" si="6"/>
        <v>0</v>
      </c>
      <c r="K35" s="2" t="str">
        <f t="shared" si="6"/>
        <v>0</v>
      </c>
      <c r="L35" s="2" t="s">
        <v>60</v>
      </c>
      <c r="M35" s="5"/>
      <c r="N35" s="5"/>
      <c r="O35" s="5"/>
      <c r="P35" s="5"/>
      <c r="Q35" s="75">
        <f>M34</f>
        <v>48</v>
      </c>
      <c r="R35" s="75"/>
      <c r="S35" s="75"/>
      <c r="T35" s="75"/>
    </row>
    <row r="36" spans="1:20" x14ac:dyDescent="0.15">
      <c r="A36" s="1" t="s">
        <v>5</v>
      </c>
      <c r="B36" s="3" t="str">
        <f>CONCATENATE("0x",RIGHT(DEC2HEX(M36,3),2))</f>
        <v>0x00</v>
      </c>
      <c r="C36" s="2" t="str">
        <f t="shared" si="10"/>
        <v>00000000</v>
      </c>
      <c r="D36" s="2" t="str">
        <f>LEFT(RIGHT($C36,D$13+1),1)</f>
        <v>0</v>
      </c>
      <c r="E36" s="2" t="str">
        <f>LEFT(RIGHT($C36,E$13+1),1)</f>
        <v>0</v>
      </c>
      <c r="F36" s="2" t="str">
        <f>LEFT(RIGHT($C36,F$13+1),1)</f>
        <v>0</v>
      </c>
      <c r="G36" s="2" t="str">
        <f>LEFT(RIGHT($C36,G$13+1),1)</f>
        <v>0</v>
      </c>
      <c r="H36" s="2" t="str">
        <f t="shared" si="11"/>
        <v>0</v>
      </c>
      <c r="I36" s="2" t="str">
        <f t="shared" si="11"/>
        <v>0</v>
      </c>
      <c r="J36" s="2" t="str">
        <f t="shared" si="6"/>
        <v>0</v>
      </c>
      <c r="K36" s="2" t="str">
        <f t="shared" si="6"/>
        <v>0</v>
      </c>
      <c r="L36" s="2" t="s">
        <v>60</v>
      </c>
      <c r="M36" s="70">
        <v>0</v>
      </c>
      <c r="N36" s="70"/>
      <c r="O36" s="70"/>
      <c r="P36" s="70"/>
      <c r="Q36" s="70"/>
      <c r="R36" s="70"/>
      <c r="S36" s="70"/>
      <c r="T36" s="70"/>
    </row>
    <row r="37" spans="1:20" x14ac:dyDescent="0.15">
      <c r="A37" s="1" t="s">
        <v>6</v>
      </c>
      <c r="B37" s="3" t="str">
        <f>CONCATENATE("0x0",LEFT(DEC2HEX(M36,3),1))</f>
        <v>0x00</v>
      </c>
      <c r="C37" s="2" t="str">
        <f t="shared" si="10"/>
        <v>00000000</v>
      </c>
      <c r="D37" s="28">
        <v>0</v>
      </c>
      <c r="E37" s="28">
        <v>0</v>
      </c>
      <c r="F37" s="28">
        <v>0</v>
      </c>
      <c r="G37" s="28">
        <v>0</v>
      </c>
      <c r="H37" s="2" t="str">
        <f t="shared" si="11"/>
        <v>0</v>
      </c>
      <c r="I37" s="2" t="str">
        <f t="shared" si="11"/>
        <v>0</v>
      </c>
      <c r="J37" s="2" t="str">
        <f t="shared" si="6"/>
        <v>0</v>
      </c>
      <c r="K37" s="2" t="str">
        <f t="shared" si="6"/>
        <v>0</v>
      </c>
      <c r="L37" s="2" t="s">
        <v>60</v>
      </c>
      <c r="M37" s="5"/>
      <c r="N37" s="5"/>
      <c r="O37" s="5"/>
      <c r="P37" s="44"/>
      <c r="Q37" s="70">
        <f>M36</f>
        <v>0</v>
      </c>
      <c r="R37" s="70"/>
      <c r="S37" s="70"/>
      <c r="T37" s="70"/>
    </row>
    <row r="38" spans="1:20" x14ac:dyDescent="0.15">
      <c r="A38" s="1" t="s">
        <v>7</v>
      </c>
      <c r="B38" s="3" t="str">
        <f>CONCATENATE("0x",RIGHT(DEC2HEX(M38,3),2))</f>
        <v>0x68</v>
      </c>
      <c r="C38" s="2" t="str">
        <f t="shared" si="10"/>
        <v>01101000</v>
      </c>
      <c r="D38" s="2" t="str">
        <f>LEFT(RIGHT($C38,D$13+1),1)</f>
        <v>0</v>
      </c>
      <c r="E38" s="2" t="str">
        <f>LEFT(RIGHT($C38,E$13+1),1)</f>
        <v>1</v>
      </c>
      <c r="F38" s="2" t="str">
        <f>LEFT(RIGHT($C38,F$13+1),1)</f>
        <v>1</v>
      </c>
      <c r="G38" s="2" t="str">
        <f>LEFT(RIGHT($C38,G$13+1),1)</f>
        <v>0</v>
      </c>
      <c r="H38" s="2" t="str">
        <f t="shared" si="11"/>
        <v>1</v>
      </c>
      <c r="I38" s="2" t="str">
        <f t="shared" si="11"/>
        <v>0</v>
      </c>
      <c r="J38" s="2" t="str">
        <f t="shared" si="6"/>
        <v>0</v>
      </c>
      <c r="K38" s="2" t="str">
        <f t="shared" si="6"/>
        <v>0</v>
      </c>
      <c r="L38" s="2" t="s">
        <v>60</v>
      </c>
      <c r="M38" s="69">
        <f>N7</f>
        <v>104</v>
      </c>
      <c r="N38" s="69"/>
      <c r="O38" s="69"/>
      <c r="P38" s="69"/>
      <c r="Q38" s="69"/>
      <c r="R38" s="69"/>
      <c r="S38" s="69"/>
      <c r="T38" s="69"/>
    </row>
    <row r="39" spans="1:20" x14ac:dyDescent="0.15">
      <c r="A39" s="1" t="s">
        <v>8</v>
      </c>
      <c r="B39" s="3" t="str">
        <f>CONCATENATE("0x0",LEFT(DEC2HEX(M38,3),1))</f>
        <v>0x00</v>
      </c>
      <c r="C39" s="2" t="str">
        <f t="shared" si="10"/>
        <v>00000000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" t="str">
        <f t="shared" si="6"/>
        <v>0</v>
      </c>
      <c r="K39" s="2" t="str">
        <f t="shared" si="6"/>
        <v>0</v>
      </c>
      <c r="L39" s="2" t="s">
        <v>60</v>
      </c>
      <c r="M39" s="5"/>
      <c r="N39" s="5"/>
      <c r="O39" s="5"/>
      <c r="P39" s="5"/>
      <c r="Q39" s="5"/>
      <c r="R39" s="5"/>
      <c r="S39" s="69">
        <f>M38</f>
        <v>104</v>
      </c>
      <c r="T39" s="69"/>
    </row>
    <row r="40" spans="1:20" x14ac:dyDescent="0.15">
      <c r="A40" s="1" t="s">
        <v>9</v>
      </c>
      <c r="B40" s="3" t="str">
        <f>CONCATENATE("0x",RIGHT(DEC2HEX(M40,3),2))</f>
        <v>0x00</v>
      </c>
      <c r="C40" s="2" t="str">
        <f t="shared" si="10"/>
        <v>00000000</v>
      </c>
      <c r="D40" s="2" t="str">
        <f t="shared" ref="D40:I40" si="12">LEFT(RIGHT($C40,D$13+1),1)</f>
        <v>0</v>
      </c>
      <c r="E40" s="2" t="str">
        <f t="shared" si="12"/>
        <v>0</v>
      </c>
      <c r="F40" s="2" t="str">
        <f t="shared" si="12"/>
        <v>0</v>
      </c>
      <c r="G40" s="2" t="str">
        <f t="shared" si="12"/>
        <v>0</v>
      </c>
      <c r="H40" s="2" t="str">
        <f t="shared" si="12"/>
        <v>0</v>
      </c>
      <c r="I40" s="2" t="str">
        <f t="shared" si="12"/>
        <v>0</v>
      </c>
      <c r="J40" s="2" t="str">
        <f t="shared" ref="J40:K53" si="13">LEFT(RIGHT($C40,J$13+1),1)</f>
        <v>0</v>
      </c>
      <c r="K40" s="2" t="str">
        <f t="shared" si="13"/>
        <v>0</v>
      </c>
      <c r="L40" s="2" t="s">
        <v>60</v>
      </c>
      <c r="M40" s="68">
        <f>O7</f>
        <v>0</v>
      </c>
      <c r="N40" s="68"/>
      <c r="O40" s="68"/>
      <c r="P40" s="68"/>
      <c r="Q40" s="68"/>
      <c r="R40" s="68"/>
      <c r="S40" s="68"/>
      <c r="T40" s="68"/>
    </row>
    <row r="41" spans="1:20" x14ac:dyDescent="0.15">
      <c r="A41" s="1" t="s">
        <v>10</v>
      </c>
      <c r="B41" s="3" t="str">
        <f>CONCATENATE("0x0",LEFT(DEC2HEX(M40,3),1))</f>
        <v>0x00</v>
      </c>
      <c r="C41" s="2" t="str">
        <f t="shared" si="10"/>
        <v>00000000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" t="str">
        <f t="shared" si="13"/>
        <v>0</v>
      </c>
      <c r="K41" s="2" t="str">
        <f t="shared" si="13"/>
        <v>0</v>
      </c>
      <c r="L41" s="2" t="s">
        <v>60</v>
      </c>
      <c r="M41" s="5"/>
      <c r="N41" s="5"/>
      <c r="O41" s="5"/>
      <c r="P41" s="5"/>
      <c r="Q41" s="5"/>
      <c r="R41" s="44"/>
      <c r="S41" s="68">
        <f>M40</f>
        <v>0</v>
      </c>
      <c r="T41" s="68"/>
    </row>
    <row r="42" spans="1:20" x14ac:dyDescent="0.15">
      <c r="A42" s="1">
        <v>30</v>
      </c>
      <c r="B42" s="3" t="str">
        <f>CONCATENATE("0x",RIGHT(DEC2HEX(M42,3),2))</f>
        <v>0x04</v>
      </c>
      <c r="C42" s="2" t="str">
        <f t="shared" si="10"/>
        <v>00000100</v>
      </c>
      <c r="D42" s="2" t="str">
        <f t="shared" ref="D42:I42" si="14">LEFT(RIGHT($C42,D$13+1),1)</f>
        <v>0</v>
      </c>
      <c r="E42" s="2" t="str">
        <f t="shared" si="14"/>
        <v>0</v>
      </c>
      <c r="F42" s="2" t="str">
        <f t="shared" si="14"/>
        <v>0</v>
      </c>
      <c r="G42" s="2" t="str">
        <f t="shared" si="14"/>
        <v>0</v>
      </c>
      <c r="H42" s="2" t="str">
        <f t="shared" si="14"/>
        <v>0</v>
      </c>
      <c r="I42" s="2" t="str">
        <f t="shared" si="14"/>
        <v>1</v>
      </c>
      <c r="J42" s="2" t="str">
        <f t="shared" si="13"/>
        <v>0</v>
      </c>
      <c r="K42" s="2" t="str">
        <f t="shared" si="13"/>
        <v>0</v>
      </c>
      <c r="L42" s="2" t="s">
        <v>60</v>
      </c>
      <c r="M42" s="67">
        <f>N8</f>
        <v>4</v>
      </c>
      <c r="N42" s="67"/>
      <c r="O42" s="67"/>
      <c r="P42" s="67"/>
      <c r="Q42" s="67"/>
      <c r="R42" s="67"/>
      <c r="S42" s="67"/>
      <c r="T42" s="67"/>
    </row>
    <row r="43" spans="1:20" x14ac:dyDescent="0.15">
      <c r="A43" s="1">
        <v>31</v>
      </c>
      <c r="B43" s="3" t="str">
        <f>CONCATENATE("0x0",LEFT(DEC2HEX(M42,3),1))</f>
        <v>0x00</v>
      </c>
      <c r="C43" s="2" t="str">
        <f t="shared" si="10"/>
        <v>00000000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" t="str">
        <f t="shared" si="13"/>
        <v>0</v>
      </c>
      <c r="K43" s="2" t="str">
        <f t="shared" si="13"/>
        <v>0</v>
      </c>
      <c r="L43" s="2" t="s">
        <v>60</v>
      </c>
      <c r="M43" s="5"/>
      <c r="N43" s="5"/>
      <c r="O43" s="5"/>
      <c r="P43" s="5"/>
      <c r="Q43" s="5"/>
      <c r="R43" s="5"/>
      <c r="S43" s="67">
        <f>M42</f>
        <v>4</v>
      </c>
      <c r="T43" s="67"/>
    </row>
    <row r="44" spans="1:20" x14ac:dyDescent="0.15">
      <c r="A44" s="1">
        <v>32</v>
      </c>
      <c r="B44" s="3" t="str">
        <f>CONCATENATE("0x",RIGHT(DEC2HEX(M44,3),2))</f>
        <v>0x00</v>
      </c>
      <c r="C44" s="2" t="str">
        <f t="shared" si="10"/>
        <v>00000000</v>
      </c>
      <c r="D44" s="2" t="str">
        <f t="shared" ref="D44:I44" si="15">LEFT(RIGHT($C44,D$13+1),1)</f>
        <v>0</v>
      </c>
      <c r="E44" s="2" t="str">
        <f t="shared" si="15"/>
        <v>0</v>
      </c>
      <c r="F44" s="2" t="str">
        <f t="shared" si="15"/>
        <v>0</v>
      </c>
      <c r="G44" s="2" t="str">
        <f t="shared" si="15"/>
        <v>0</v>
      </c>
      <c r="H44" s="2" t="str">
        <f t="shared" si="15"/>
        <v>0</v>
      </c>
      <c r="I44" s="2" t="str">
        <f t="shared" si="15"/>
        <v>0</v>
      </c>
      <c r="J44" s="2" t="str">
        <f t="shared" si="13"/>
        <v>0</v>
      </c>
      <c r="K44" s="2" t="str">
        <f t="shared" si="13"/>
        <v>0</v>
      </c>
      <c r="L44" s="2" t="s">
        <v>60</v>
      </c>
      <c r="M44" s="66">
        <f>O8</f>
        <v>0</v>
      </c>
      <c r="N44" s="66"/>
      <c r="O44" s="66"/>
      <c r="P44" s="66"/>
      <c r="Q44" s="66"/>
      <c r="R44" s="66"/>
      <c r="S44" s="66"/>
      <c r="T44" s="66"/>
    </row>
    <row r="45" spans="1:20" x14ac:dyDescent="0.15">
      <c r="A45" s="1">
        <v>33</v>
      </c>
      <c r="B45" s="3" t="str">
        <f>CONCATENATE("0x0",LEFT(DEC2HEX(M44,3),1))</f>
        <v>0x00</v>
      </c>
      <c r="C45" s="2" t="str">
        <f t="shared" si="10"/>
        <v>00000000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" t="str">
        <f t="shared" si="13"/>
        <v>0</v>
      </c>
      <c r="K45" s="2" t="str">
        <f t="shared" si="13"/>
        <v>0</v>
      </c>
      <c r="L45" s="2" t="s">
        <v>60</v>
      </c>
      <c r="M45" s="5"/>
      <c r="N45" s="5"/>
      <c r="O45" s="5"/>
      <c r="P45" s="5"/>
      <c r="Q45" s="5"/>
      <c r="R45" s="44"/>
      <c r="S45" s="66">
        <f>M44</f>
        <v>0</v>
      </c>
      <c r="T45" s="66"/>
    </row>
    <row r="46" spans="1:20" x14ac:dyDescent="0.15">
      <c r="A46" s="1">
        <v>34</v>
      </c>
      <c r="B46" s="3" t="str">
        <f t="shared" ref="B46:B53" si="16">CONCATENATE("0x",RIGHT(DEC2HEX(M46,3),2))</f>
        <v>0x98</v>
      </c>
      <c r="C46" s="2" t="str">
        <f t="shared" si="10"/>
        <v>10011000</v>
      </c>
      <c r="D46" s="2" t="str">
        <f t="shared" ref="D46:I53" si="17">LEFT(RIGHT($C46,D$13+1),1)</f>
        <v>1</v>
      </c>
      <c r="E46" s="2" t="str">
        <f t="shared" si="17"/>
        <v>0</v>
      </c>
      <c r="F46" s="2" t="str">
        <f t="shared" si="17"/>
        <v>0</v>
      </c>
      <c r="G46" s="2" t="str">
        <f t="shared" si="17"/>
        <v>1</v>
      </c>
      <c r="H46" s="2" t="str">
        <f t="shared" si="17"/>
        <v>1</v>
      </c>
      <c r="I46" s="2" t="str">
        <f t="shared" si="17"/>
        <v>0</v>
      </c>
      <c r="J46" s="2" t="str">
        <f t="shared" si="13"/>
        <v>0</v>
      </c>
      <c r="K46" s="2" t="str">
        <f t="shared" si="13"/>
        <v>0</v>
      </c>
      <c r="L46" s="2" t="s">
        <v>60</v>
      </c>
      <c r="M46" s="76">
        <f>N9</f>
        <v>152</v>
      </c>
      <c r="N46" s="76"/>
      <c r="O46" s="76"/>
      <c r="P46" s="76"/>
      <c r="Q46" s="76"/>
      <c r="R46" s="76"/>
      <c r="S46" s="76"/>
      <c r="T46" s="76"/>
    </row>
    <row r="47" spans="1:20" x14ac:dyDescent="0.15">
      <c r="A47" s="1">
        <v>35</v>
      </c>
      <c r="B47" s="3" t="str">
        <f t="shared" si="16"/>
        <v>0x00</v>
      </c>
      <c r="C47" s="2" t="str">
        <f t="shared" si="10"/>
        <v>00000000</v>
      </c>
      <c r="D47" s="2" t="str">
        <f t="shared" si="17"/>
        <v>0</v>
      </c>
      <c r="E47" s="2" t="str">
        <f t="shared" si="17"/>
        <v>0</v>
      </c>
      <c r="F47" s="2" t="str">
        <f t="shared" si="17"/>
        <v>0</v>
      </c>
      <c r="G47" s="2" t="str">
        <f t="shared" si="17"/>
        <v>0</v>
      </c>
      <c r="H47" s="2" t="str">
        <f t="shared" si="17"/>
        <v>0</v>
      </c>
      <c r="I47" s="2" t="str">
        <f t="shared" si="17"/>
        <v>0</v>
      </c>
      <c r="J47" s="2" t="str">
        <f t="shared" si="13"/>
        <v>0</v>
      </c>
      <c r="K47" s="2" t="str">
        <f t="shared" si="13"/>
        <v>0</v>
      </c>
      <c r="L47" s="2" t="s">
        <v>60</v>
      </c>
      <c r="M47" s="80">
        <f>Q9</f>
        <v>0</v>
      </c>
      <c r="N47" s="80"/>
      <c r="O47" s="80"/>
      <c r="P47" s="80"/>
      <c r="Q47" s="80"/>
      <c r="R47" s="80"/>
      <c r="S47" s="80"/>
      <c r="T47" s="80"/>
    </row>
    <row r="48" spans="1:20" x14ac:dyDescent="0.15">
      <c r="A48" s="1">
        <v>36</v>
      </c>
      <c r="B48" s="3" t="str">
        <f t="shared" si="16"/>
        <v>0x17</v>
      </c>
      <c r="C48" s="2" t="str">
        <f t="shared" si="10"/>
        <v>00010111</v>
      </c>
      <c r="D48" s="2" t="str">
        <f t="shared" si="17"/>
        <v>0</v>
      </c>
      <c r="E48" s="2" t="str">
        <f t="shared" si="17"/>
        <v>0</v>
      </c>
      <c r="F48" s="2" t="str">
        <f t="shared" si="17"/>
        <v>0</v>
      </c>
      <c r="G48" s="2" t="str">
        <f t="shared" si="17"/>
        <v>1</v>
      </c>
      <c r="H48" s="2" t="str">
        <f t="shared" si="17"/>
        <v>0</v>
      </c>
      <c r="I48" s="2" t="str">
        <f t="shared" si="17"/>
        <v>1</v>
      </c>
      <c r="J48" s="2" t="str">
        <f t="shared" si="13"/>
        <v>1</v>
      </c>
      <c r="K48" s="2" t="str">
        <f t="shared" si="13"/>
        <v>1</v>
      </c>
      <c r="L48" s="2" t="s">
        <v>61</v>
      </c>
      <c r="M48" s="81">
        <f>N10</f>
        <v>23</v>
      </c>
      <c r="N48" s="81"/>
      <c r="O48" s="81"/>
      <c r="P48" s="81"/>
      <c r="Q48" s="81"/>
      <c r="R48" s="81"/>
      <c r="S48" s="81"/>
      <c r="T48" s="81"/>
    </row>
    <row r="49" spans="1:20" x14ac:dyDescent="0.15">
      <c r="A49" s="1">
        <v>37</v>
      </c>
      <c r="B49" s="3" t="str">
        <f t="shared" si="16"/>
        <v>0x00</v>
      </c>
      <c r="C49" s="2" t="str">
        <f t="shared" si="10"/>
        <v>00000000</v>
      </c>
      <c r="D49" s="2" t="str">
        <f t="shared" si="17"/>
        <v>0</v>
      </c>
      <c r="E49" s="2" t="str">
        <f t="shared" si="17"/>
        <v>0</v>
      </c>
      <c r="F49" s="2" t="str">
        <f t="shared" si="17"/>
        <v>0</v>
      </c>
      <c r="G49" s="2" t="str">
        <f t="shared" si="17"/>
        <v>0</v>
      </c>
      <c r="H49" s="2" t="str">
        <f t="shared" si="17"/>
        <v>0</v>
      </c>
      <c r="I49" s="2" t="str">
        <f t="shared" si="17"/>
        <v>0</v>
      </c>
      <c r="J49" s="2" t="str">
        <f t="shared" si="13"/>
        <v>0</v>
      </c>
      <c r="K49" s="2" t="str">
        <f t="shared" si="13"/>
        <v>0</v>
      </c>
      <c r="L49" s="2" t="s">
        <v>61</v>
      </c>
      <c r="M49" s="82">
        <f>Q10</f>
        <v>0</v>
      </c>
      <c r="N49" s="82"/>
      <c r="O49" s="82"/>
      <c r="P49" s="82"/>
      <c r="Q49" s="82"/>
      <c r="R49" s="82"/>
      <c r="S49" s="82"/>
      <c r="T49" s="82"/>
    </row>
    <row r="50" spans="1:20" x14ac:dyDescent="0.15">
      <c r="A50" s="1">
        <v>38</v>
      </c>
      <c r="B50" s="3" t="str">
        <f t="shared" si="16"/>
        <v>0x30</v>
      </c>
      <c r="C50" s="2" t="str">
        <f t="shared" si="10"/>
        <v>00110000</v>
      </c>
      <c r="D50" s="2" t="str">
        <f t="shared" si="17"/>
        <v>0</v>
      </c>
      <c r="E50" s="2" t="str">
        <f t="shared" si="17"/>
        <v>0</v>
      </c>
      <c r="F50" s="2" t="str">
        <f t="shared" si="17"/>
        <v>1</v>
      </c>
      <c r="G50" s="2" t="str">
        <f t="shared" si="17"/>
        <v>1</v>
      </c>
      <c r="H50" s="2" t="str">
        <f t="shared" si="17"/>
        <v>0</v>
      </c>
      <c r="I50" s="2" t="str">
        <f t="shared" si="17"/>
        <v>0</v>
      </c>
      <c r="J50" s="2" t="str">
        <f t="shared" si="13"/>
        <v>0</v>
      </c>
      <c r="K50" s="2" t="str">
        <f t="shared" si="13"/>
        <v>0</v>
      </c>
      <c r="L50" s="2" t="s">
        <v>61</v>
      </c>
      <c r="M50" s="83">
        <f>N11</f>
        <v>48</v>
      </c>
      <c r="N50" s="83"/>
      <c r="O50" s="83"/>
      <c r="P50" s="83"/>
      <c r="Q50" s="83"/>
      <c r="R50" s="83"/>
      <c r="S50" s="83"/>
      <c r="T50" s="83"/>
    </row>
    <row r="51" spans="1:20" x14ac:dyDescent="0.15">
      <c r="A51" s="1">
        <v>39</v>
      </c>
      <c r="B51" s="3" t="str">
        <f t="shared" si="16"/>
        <v>0x00</v>
      </c>
      <c r="C51" s="2" t="str">
        <f t="shared" si="10"/>
        <v>00000000</v>
      </c>
      <c r="D51" s="2" t="str">
        <f t="shared" si="17"/>
        <v>0</v>
      </c>
      <c r="E51" s="2" t="str">
        <f t="shared" si="17"/>
        <v>0</v>
      </c>
      <c r="F51" s="2" t="str">
        <f t="shared" si="17"/>
        <v>0</v>
      </c>
      <c r="G51" s="2" t="str">
        <f t="shared" si="17"/>
        <v>0</v>
      </c>
      <c r="H51" s="2" t="str">
        <f t="shared" si="17"/>
        <v>0</v>
      </c>
      <c r="I51" s="2" t="str">
        <f t="shared" si="17"/>
        <v>0</v>
      </c>
      <c r="J51" s="2" t="str">
        <f t="shared" si="13"/>
        <v>0</v>
      </c>
      <c r="K51" s="2" t="str">
        <f t="shared" si="13"/>
        <v>0</v>
      </c>
      <c r="L51" s="2" t="s">
        <v>61</v>
      </c>
      <c r="M51" s="84">
        <f>Q11</f>
        <v>0</v>
      </c>
      <c r="N51" s="84"/>
      <c r="O51" s="84"/>
      <c r="P51" s="84"/>
      <c r="Q51" s="84"/>
      <c r="R51" s="84"/>
      <c r="S51" s="84"/>
      <c r="T51" s="84"/>
    </row>
    <row r="52" spans="1:20" x14ac:dyDescent="0.15">
      <c r="A52" s="1" t="s">
        <v>11</v>
      </c>
      <c r="B52" s="3" t="str">
        <f t="shared" si="16"/>
        <v>0x03</v>
      </c>
      <c r="C52" s="2" t="str">
        <f t="shared" si="10"/>
        <v>00000011</v>
      </c>
      <c r="D52" s="2" t="str">
        <f t="shared" si="17"/>
        <v>0</v>
      </c>
      <c r="E52" s="2" t="str">
        <f t="shared" si="17"/>
        <v>0</v>
      </c>
      <c r="F52" s="2" t="str">
        <f t="shared" si="17"/>
        <v>0</v>
      </c>
      <c r="G52" s="2" t="str">
        <f t="shared" si="17"/>
        <v>0</v>
      </c>
      <c r="H52" s="2" t="str">
        <f t="shared" si="17"/>
        <v>0</v>
      </c>
      <c r="I52" s="2" t="str">
        <f t="shared" si="17"/>
        <v>0</v>
      </c>
      <c r="J52" s="2" t="str">
        <f t="shared" si="13"/>
        <v>1</v>
      </c>
      <c r="K52" s="2" t="str">
        <f t="shared" si="13"/>
        <v>1</v>
      </c>
      <c r="L52" s="2" t="s">
        <v>61</v>
      </c>
      <c r="M52" s="85">
        <f>N12</f>
        <v>3</v>
      </c>
      <c r="N52" s="85"/>
      <c r="O52" s="85"/>
      <c r="P52" s="85"/>
      <c r="Q52" s="85"/>
      <c r="R52" s="85"/>
      <c r="S52" s="85"/>
      <c r="T52" s="85"/>
    </row>
    <row r="53" spans="1:20" x14ac:dyDescent="0.15">
      <c r="A53" s="1" t="s">
        <v>12</v>
      </c>
      <c r="B53" s="3" t="str">
        <f t="shared" si="16"/>
        <v>0x00</v>
      </c>
      <c r="C53" s="2" t="str">
        <f t="shared" si="10"/>
        <v>00000000</v>
      </c>
      <c r="D53" s="2" t="str">
        <f t="shared" si="17"/>
        <v>0</v>
      </c>
      <c r="E53" s="2" t="str">
        <f t="shared" si="17"/>
        <v>0</v>
      </c>
      <c r="F53" s="2" t="str">
        <f t="shared" si="17"/>
        <v>0</v>
      </c>
      <c r="G53" s="2" t="str">
        <f t="shared" si="17"/>
        <v>0</v>
      </c>
      <c r="H53" s="2" t="str">
        <f t="shared" si="17"/>
        <v>0</v>
      </c>
      <c r="I53" s="2" t="str">
        <f t="shared" si="17"/>
        <v>0</v>
      </c>
      <c r="J53" s="2" t="str">
        <f t="shared" si="13"/>
        <v>0</v>
      </c>
      <c r="K53" s="2" t="str">
        <f t="shared" si="13"/>
        <v>0</v>
      </c>
      <c r="L53" s="2" t="s">
        <v>61</v>
      </c>
      <c r="M53" s="77">
        <f>Q12</f>
        <v>0</v>
      </c>
      <c r="N53" s="77"/>
      <c r="O53" s="77"/>
      <c r="P53" s="77"/>
      <c r="Q53" s="77"/>
      <c r="R53" s="77"/>
      <c r="S53" s="77"/>
      <c r="T53" s="77"/>
    </row>
    <row r="54" spans="1:20" x14ac:dyDescent="0.15">
      <c r="A54" s="1" t="s">
        <v>13</v>
      </c>
      <c r="B54" s="3" t="str">
        <f t="shared" ref="B54" si="18">CONCATENATE("0x",BIN2HEX(C54,2))</f>
        <v>0x10</v>
      </c>
      <c r="C54" s="2" t="str">
        <f>CONCATENATE(D54,E54,F54,G54,H54,I54,J54,K54)</f>
        <v>00010000</v>
      </c>
      <c r="D54" s="28">
        <v>0</v>
      </c>
      <c r="E54" s="28">
        <v>0</v>
      </c>
      <c r="F54" s="28">
        <v>0</v>
      </c>
      <c r="G54" s="2">
        <f>IF(P54="no",0,1)</f>
        <v>1</v>
      </c>
      <c r="H54" s="28">
        <v>0</v>
      </c>
      <c r="I54" s="28">
        <v>0</v>
      </c>
      <c r="J54" s="28">
        <v>0</v>
      </c>
      <c r="K54" s="2">
        <f>IF(T54="no",0,1)</f>
        <v>0</v>
      </c>
      <c r="L54" s="2" t="s">
        <v>61</v>
      </c>
      <c r="M54" s="5"/>
      <c r="N54" s="5"/>
      <c r="O54" s="5"/>
      <c r="P54" s="35" t="s">
        <v>90</v>
      </c>
      <c r="Q54" s="5"/>
      <c r="R54" s="5"/>
      <c r="S54" s="44"/>
      <c r="T54" s="43" t="s">
        <v>81</v>
      </c>
    </row>
    <row r="55" spans="1:20" x14ac:dyDescent="0.15">
      <c r="A55" s="1" t="s">
        <v>14</v>
      </c>
      <c r="B55" s="3" t="str">
        <f>CONCATENATE("0x",RIGHT(DEC2HEX(M55,3),2))</f>
        <v>0x00</v>
      </c>
      <c r="C55" s="2" t="str">
        <f t="shared" si="10"/>
        <v>00000000</v>
      </c>
      <c r="D55" s="2" t="str">
        <f t="shared" ref="D55:F56" si="19">LEFT(RIGHT($C55,D$13+1),1)</f>
        <v>0</v>
      </c>
      <c r="E55" s="2" t="str">
        <f t="shared" si="19"/>
        <v>0</v>
      </c>
      <c r="F55" s="2" t="str">
        <f t="shared" si="19"/>
        <v>0</v>
      </c>
      <c r="G55" s="2" t="str">
        <f>LEFT(RIGHT($C55,G$13+1),1)</f>
        <v>0</v>
      </c>
      <c r="H55" s="2" t="str">
        <f t="shared" ref="H55:J56" si="20">LEFT(RIGHT($C55,H$13+1),1)</f>
        <v>0</v>
      </c>
      <c r="I55" s="2" t="str">
        <f t="shared" si="20"/>
        <v>0</v>
      </c>
      <c r="J55" s="2" t="str">
        <f t="shared" si="20"/>
        <v>0</v>
      </c>
      <c r="K55" s="2" t="str">
        <f>LEFT(RIGHT($C55,K$13+1),1)</f>
        <v>0</v>
      </c>
      <c r="L55" s="2" t="s">
        <v>60</v>
      </c>
      <c r="M55" s="78">
        <v>0</v>
      </c>
      <c r="N55" s="78"/>
      <c r="O55" s="78"/>
      <c r="P55" s="78"/>
      <c r="Q55" s="78"/>
      <c r="R55" s="78"/>
      <c r="S55" s="78"/>
      <c r="T55" s="78"/>
    </row>
    <row r="56" spans="1:20" x14ac:dyDescent="0.15">
      <c r="A56" s="1" t="s">
        <v>15</v>
      </c>
      <c r="B56" s="3" t="str">
        <f>CONCATENATE("0x",RIGHT(DEC2HEX(M56,3),2))</f>
        <v>0x00</v>
      </c>
      <c r="C56" s="2" t="str">
        <f t="shared" si="10"/>
        <v>00000000</v>
      </c>
      <c r="D56" s="2" t="str">
        <f t="shared" si="19"/>
        <v>0</v>
      </c>
      <c r="E56" s="2" t="str">
        <f t="shared" si="19"/>
        <v>0</v>
      </c>
      <c r="F56" s="2" t="str">
        <f t="shared" si="19"/>
        <v>0</v>
      </c>
      <c r="G56" s="2" t="str">
        <f>LEFT(RIGHT($C56,G$13+1),1)</f>
        <v>0</v>
      </c>
      <c r="H56" s="2" t="str">
        <f t="shared" si="20"/>
        <v>0</v>
      </c>
      <c r="I56" s="2" t="str">
        <f t="shared" si="20"/>
        <v>0</v>
      </c>
      <c r="J56" s="2" t="str">
        <f t="shared" si="20"/>
        <v>0</v>
      </c>
      <c r="K56" s="2" t="str">
        <f>LEFT(RIGHT($C56,K$13+1),1)</f>
        <v>0</v>
      </c>
      <c r="L56" s="2" t="s">
        <v>60</v>
      </c>
      <c r="M56" s="79">
        <v>0</v>
      </c>
      <c r="N56" s="79"/>
      <c r="O56" s="79"/>
      <c r="P56" s="79"/>
      <c r="Q56" s="79"/>
      <c r="R56" s="79"/>
      <c r="S56" s="79"/>
      <c r="T56" s="79"/>
    </row>
    <row r="57" spans="1:20" x14ac:dyDescent="0.15">
      <c r="A57" s="1" t="s">
        <v>2</v>
      </c>
      <c r="B57" s="3" t="str">
        <f t="shared" ref="B57" si="21">CONCATENATE("0x",BIN2HEX(C57,2))</f>
        <v>0x01</v>
      </c>
      <c r="C57" s="2" t="str">
        <f>CONCATENATE(D57,E57,F57,G57,H57,I57,J57,K57)</f>
        <v>00000001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f>IF(T57="no",0,1)</f>
        <v>1</v>
      </c>
      <c r="L57" s="2" t="s">
        <v>60</v>
      </c>
      <c r="M57" s="5"/>
      <c r="N57" s="5"/>
      <c r="O57" s="5"/>
      <c r="P57" s="5"/>
      <c r="Q57" s="5"/>
      <c r="R57" s="5"/>
      <c r="S57" s="5"/>
      <c r="T57" s="15" t="s">
        <v>95</v>
      </c>
    </row>
  </sheetData>
  <mergeCells count="44">
    <mergeCell ref="Q29:T29"/>
    <mergeCell ref="M46:T46"/>
    <mergeCell ref="M53:T53"/>
    <mergeCell ref="M55:T55"/>
    <mergeCell ref="M56:T56"/>
    <mergeCell ref="S45:T45"/>
    <mergeCell ref="S43:T43"/>
    <mergeCell ref="S41:T41"/>
    <mergeCell ref="S39:T39"/>
    <mergeCell ref="M47:T47"/>
    <mergeCell ref="M48:T48"/>
    <mergeCell ref="M49:T49"/>
    <mergeCell ref="M50:T50"/>
    <mergeCell ref="M51:T51"/>
    <mergeCell ref="M52:T52"/>
    <mergeCell ref="Q37:T37"/>
    <mergeCell ref="Q15:S15"/>
    <mergeCell ref="S16:T16"/>
    <mergeCell ref="M16:Q16"/>
    <mergeCell ref="Q27:T27"/>
    <mergeCell ref="M44:T44"/>
    <mergeCell ref="M42:T42"/>
    <mergeCell ref="M40:T40"/>
    <mergeCell ref="M38:T38"/>
    <mergeCell ref="M36:T36"/>
    <mergeCell ref="M34:T34"/>
    <mergeCell ref="M32:T32"/>
    <mergeCell ref="M30:T30"/>
    <mergeCell ref="M28:T28"/>
    <mergeCell ref="Q35:T35"/>
    <mergeCell ref="Q33:T33"/>
    <mergeCell ref="Q31:T31"/>
    <mergeCell ref="Q19:R19"/>
    <mergeCell ref="M19:N19"/>
    <mergeCell ref="R18:S18"/>
    <mergeCell ref="M26:T26"/>
    <mergeCell ref="M20:T20"/>
    <mergeCell ref="M21:T21"/>
    <mergeCell ref="Q23:R23"/>
    <mergeCell ref="S23:T23"/>
    <mergeCell ref="N18:O18"/>
    <mergeCell ref="P18:Q18"/>
    <mergeCell ref="O25:P25"/>
    <mergeCell ref="S25:T25"/>
  </mergeCells>
  <phoneticPr fontId="1"/>
  <dataValidations count="14">
    <dataValidation type="list" allowBlank="1" showInputMessage="1" showErrorMessage="1" sqref="Q15:S15">
      <formula1>"25-37.5,37.5-62.5,62.5-87.5,87.5-112.5,112.5-137.5,137.5-154"</formula1>
    </dataValidation>
    <dataValidation type="list" allowBlank="1" showInputMessage="1" showErrorMessage="1" sqref="M15 T17 T57">
      <formula1>"no,go"</formula1>
    </dataValidation>
    <dataValidation type="list" allowBlank="1" showInputMessage="1" showErrorMessage="1" sqref="M16:Q16">
      <formula1>"1,2,3,4,5,6,7,8,9,10,11,12,13,14,15,16,17,18,19,20,21,22,23,24,25"</formula1>
    </dataValidation>
    <dataValidation type="list" allowBlank="1" showInputMessage="1" showErrorMessage="1" sqref="T14 N24:P24 P54 T54">
      <formula1>"no,yes"</formula1>
    </dataValidation>
    <dataValidation type="list" allowBlank="1" showInputMessage="1" showErrorMessage="1" sqref="M22:O22">
      <formula1>"+,-"</formula1>
    </dataValidation>
    <dataValidation type="list" allowBlank="1" showInputMessage="1" showErrorMessage="1" sqref="T8">
      <formula1>"dual,single"</formula1>
    </dataValidation>
    <dataValidation type="list" allowBlank="1" showInputMessage="1" showErrorMessage="1" sqref="N18:O18">
      <formula1>"dual,single,double"</formula1>
    </dataValidation>
    <dataValidation type="list" allowBlank="1" showInputMessage="1" showErrorMessage="1" sqref="M18">
      <formula1>"INT,L/R"</formula1>
    </dataValidation>
    <dataValidation type="list" allowBlank="1" showInputMessage="1" showErrorMessage="1" sqref="T18">
      <formula1>"yes,no"</formula1>
    </dataValidation>
    <dataValidation type="list" allowBlank="1" showInputMessage="1" showErrorMessage="1" sqref="P18:S18">
      <formula1>"1,2,3,4"</formula1>
    </dataValidation>
    <dataValidation type="list" allowBlank="1" showInputMessage="1" showErrorMessage="1" sqref="T15">
      <formula1>"dsi,refclk"</formula1>
    </dataValidation>
    <dataValidation type="list" allowBlank="1" showInputMessage="1" showErrorMessage="1" sqref="Q22:R22">
      <formula1>"24bpp,18bpp"</formula1>
    </dataValidation>
    <dataValidation type="list" allowBlank="1" showInputMessage="1" showErrorMessage="1" sqref="S22:T22">
      <formula1>"2,1"</formula1>
    </dataValidation>
    <dataValidation type="list" allowBlank="1" showInputMessage="1" showErrorMessage="1" sqref="S24:T24">
      <formula1>"200,100"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A4" workbookViewId="0">
      <selection activeCell="A31" sqref="A31:J43"/>
    </sheetView>
  </sheetViews>
  <sheetFormatPr defaultRowHeight="13.5" x14ac:dyDescent="0.15"/>
  <sheetData>
    <row r="1" spans="1:10" ht="14.25" thickBot="1" x14ac:dyDescent="0.2">
      <c r="A1" s="86" t="s">
        <v>190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15">
      <c r="A2" s="6" t="str">
        <f>CONCATENATE("static const struct drm_display_mode ",SN65DSI85_REG_MAP!N1,"_mode = {")</f>
        <v>static const struct drm_display_mode mel_xga_mode = {</v>
      </c>
      <c r="B2" s="40" t="s">
        <v>189</v>
      </c>
      <c r="C2" s="46" t="s">
        <v>189</v>
      </c>
      <c r="D2" s="40" t="s">
        <v>189</v>
      </c>
      <c r="E2" s="40" t="s">
        <v>189</v>
      </c>
      <c r="F2" s="40" t="s">
        <v>189</v>
      </c>
      <c r="G2" s="40" t="s">
        <v>189</v>
      </c>
      <c r="H2" s="40" t="s">
        <v>189</v>
      </c>
      <c r="I2" s="40" t="s">
        <v>189</v>
      </c>
      <c r="J2" s="47" t="s">
        <v>189</v>
      </c>
    </row>
    <row r="3" spans="1:10" x14ac:dyDescent="0.15">
      <c r="A3" s="7"/>
      <c r="B3" s="8" t="s">
        <v>139</v>
      </c>
      <c r="C3" s="8">
        <f>ROUND(SN65DSI85_REG_MAP!T7*1000,0)</f>
        <v>63585</v>
      </c>
      <c r="D3" s="8" t="s">
        <v>172</v>
      </c>
      <c r="E3" s="10" t="s">
        <v>189</v>
      </c>
      <c r="F3" s="10" t="s">
        <v>189</v>
      </c>
      <c r="G3" s="10" t="s">
        <v>189</v>
      </c>
      <c r="H3" s="10" t="s">
        <v>189</v>
      </c>
      <c r="I3" s="10" t="s">
        <v>189</v>
      </c>
      <c r="J3" s="11" t="s">
        <v>189</v>
      </c>
    </row>
    <row r="4" spans="1:10" x14ac:dyDescent="0.15">
      <c r="A4" s="7"/>
      <c r="B4" s="8" t="s">
        <v>140</v>
      </c>
      <c r="C4" s="8">
        <f>SN65DSI85_REG_MAP!N2</f>
        <v>1024</v>
      </c>
      <c r="D4" s="8" t="s">
        <v>149</v>
      </c>
      <c r="E4" s="10" t="s">
        <v>189</v>
      </c>
      <c r="F4" s="10" t="s">
        <v>189</v>
      </c>
      <c r="G4" s="10" t="s">
        <v>189</v>
      </c>
      <c r="H4" s="10" t="s">
        <v>189</v>
      </c>
      <c r="I4" s="10" t="s">
        <v>189</v>
      </c>
      <c r="J4" s="11" t="s">
        <v>189</v>
      </c>
    </row>
    <row r="5" spans="1:10" x14ac:dyDescent="0.15">
      <c r="A5" s="7"/>
      <c r="B5" s="8" t="s">
        <v>141</v>
      </c>
      <c r="C5" s="8">
        <f>C4</f>
        <v>1024</v>
      </c>
      <c r="D5" s="8" t="s">
        <v>148</v>
      </c>
      <c r="E5" s="8">
        <f>SN65DSI85_REG_MAP!N11</f>
        <v>48</v>
      </c>
      <c r="F5" s="8" t="s">
        <v>149</v>
      </c>
      <c r="G5" s="10" t="s">
        <v>189</v>
      </c>
      <c r="H5" s="10" t="s">
        <v>189</v>
      </c>
      <c r="I5" s="10" t="s">
        <v>189</v>
      </c>
      <c r="J5" s="11" t="s">
        <v>189</v>
      </c>
    </row>
    <row r="6" spans="1:10" x14ac:dyDescent="0.15">
      <c r="A6" s="7"/>
      <c r="B6" s="8" t="s">
        <v>142</v>
      </c>
      <c r="C6" s="8">
        <f>C4</f>
        <v>1024</v>
      </c>
      <c r="D6" s="8" t="s">
        <v>148</v>
      </c>
      <c r="E6" s="8">
        <f>E5</f>
        <v>48</v>
      </c>
      <c r="F6" s="8" t="s">
        <v>148</v>
      </c>
      <c r="G6" s="8">
        <f>SN65DSI85_REG_MAP!N7</f>
        <v>104</v>
      </c>
      <c r="H6" s="8" t="s">
        <v>149</v>
      </c>
      <c r="I6" s="45" t="s">
        <v>189</v>
      </c>
      <c r="J6" s="11" t="s">
        <v>189</v>
      </c>
    </row>
    <row r="7" spans="1:10" x14ac:dyDescent="0.15">
      <c r="A7" s="7"/>
      <c r="B7" s="8" t="s">
        <v>143</v>
      </c>
      <c r="C7" s="8">
        <f>C4</f>
        <v>1024</v>
      </c>
      <c r="D7" s="8" t="s">
        <v>148</v>
      </c>
      <c r="E7" s="8">
        <f>E5</f>
        <v>48</v>
      </c>
      <c r="F7" s="8" t="s">
        <v>148</v>
      </c>
      <c r="G7" s="8">
        <f>G6</f>
        <v>104</v>
      </c>
      <c r="H7" s="8" t="s">
        <v>148</v>
      </c>
      <c r="I7" s="8">
        <f>SN65DSI85_REG_MAP!N9</f>
        <v>152</v>
      </c>
      <c r="J7" s="9" t="s">
        <v>149</v>
      </c>
    </row>
    <row r="8" spans="1:10" x14ac:dyDescent="0.15">
      <c r="A8" s="7"/>
      <c r="B8" s="8" t="s">
        <v>144</v>
      </c>
      <c r="C8" s="8">
        <f>SN65DSI85_REG_MAP!N3</f>
        <v>768</v>
      </c>
      <c r="D8" s="13" t="s">
        <v>172</v>
      </c>
      <c r="E8" s="10" t="s">
        <v>189</v>
      </c>
      <c r="F8" s="10" t="s">
        <v>189</v>
      </c>
      <c r="G8" s="10" t="s">
        <v>189</v>
      </c>
      <c r="H8" s="10" t="s">
        <v>189</v>
      </c>
      <c r="I8" s="10" t="s">
        <v>189</v>
      </c>
      <c r="J8" s="11" t="s">
        <v>189</v>
      </c>
    </row>
    <row r="9" spans="1:10" x14ac:dyDescent="0.15">
      <c r="A9" s="7"/>
      <c r="B9" s="8" t="s">
        <v>145</v>
      </c>
      <c r="C9" s="8">
        <f>C8</f>
        <v>768</v>
      </c>
      <c r="D9" s="8" t="s">
        <v>148</v>
      </c>
      <c r="E9" s="8">
        <f>SN65DSI85_REG_MAP!N12</f>
        <v>3</v>
      </c>
      <c r="F9" s="8" t="s">
        <v>149</v>
      </c>
      <c r="G9" s="10" t="s">
        <v>189</v>
      </c>
      <c r="H9" s="10" t="s">
        <v>189</v>
      </c>
      <c r="I9" s="10" t="s">
        <v>189</v>
      </c>
      <c r="J9" s="11" t="s">
        <v>189</v>
      </c>
    </row>
    <row r="10" spans="1:10" x14ac:dyDescent="0.15">
      <c r="A10" s="7"/>
      <c r="B10" s="8" t="s">
        <v>146</v>
      </c>
      <c r="C10" s="8">
        <f>C8</f>
        <v>768</v>
      </c>
      <c r="D10" s="8" t="s">
        <v>148</v>
      </c>
      <c r="E10" s="8">
        <f>E9</f>
        <v>3</v>
      </c>
      <c r="F10" s="8" t="s">
        <v>148</v>
      </c>
      <c r="G10" s="8">
        <f>SN65DSI85_REG_MAP!N8</f>
        <v>4</v>
      </c>
      <c r="H10" s="8" t="s">
        <v>149</v>
      </c>
      <c r="I10" s="10" t="s">
        <v>189</v>
      </c>
      <c r="J10" s="11" t="s">
        <v>189</v>
      </c>
    </row>
    <row r="11" spans="1:10" x14ac:dyDescent="0.15">
      <c r="A11" s="7"/>
      <c r="B11" s="8" t="s">
        <v>147</v>
      </c>
      <c r="C11" s="8">
        <f>C8</f>
        <v>768</v>
      </c>
      <c r="D11" s="8" t="s">
        <v>148</v>
      </c>
      <c r="E11" s="8">
        <f>E9</f>
        <v>3</v>
      </c>
      <c r="F11" s="8" t="s">
        <v>148</v>
      </c>
      <c r="G11" s="8">
        <f>G10</f>
        <v>4</v>
      </c>
      <c r="H11" s="8" t="s">
        <v>148</v>
      </c>
      <c r="I11" s="8">
        <f>SN65DSI85_REG_MAP!N10</f>
        <v>23</v>
      </c>
      <c r="J11" s="9" t="s">
        <v>149</v>
      </c>
    </row>
    <row r="12" spans="1:10" x14ac:dyDescent="0.15">
      <c r="A12" s="7"/>
      <c r="B12" s="8" t="s">
        <v>160</v>
      </c>
      <c r="C12" s="8">
        <f>SN65DSI85_REG_MAP!T6</f>
        <v>60</v>
      </c>
      <c r="D12" s="13" t="s">
        <v>149</v>
      </c>
      <c r="E12" s="10" t="s">
        <v>189</v>
      </c>
      <c r="F12" s="10" t="s">
        <v>189</v>
      </c>
      <c r="G12" s="10" t="s">
        <v>189</v>
      </c>
      <c r="H12" s="10" t="s">
        <v>189</v>
      </c>
      <c r="I12" s="10" t="s">
        <v>189</v>
      </c>
      <c r="J12" s="11" t="s">
        <v>189</v>
      </c>
    </row>
    <row r="13" spans="1:10" x14ac:dyDescent="0.15">
      <c r="A13" s="7" t="s">
        <v>151</v>
      </c>
      <c r="B13" s="10" t="s">
        <v>189</v>
      </c>
      <c r="C13" s="10" t="s">
        <v>189</v>
      </c>
      <c r="D13" s="10" t="s">
        <v>189</v>
      </c>
      <c r="E13" s="10" t="s">
        <v>189</v>
      </c>
      <c r="F13" s="10" t="s">
        <v>189</v>
      </c>
      <c r="G13" s="10" t="s">
        <v>189</v>
      </c>
      <c r="H13" s="10" t="s">
        <v>189</v>
      </c>
      <c r="I13" s="10" t="s">
        <v>189</v>
      </c>
      <c r="J13" s="11" t="s">
        <v>189</v>
      </c>
    </row>
    <row r="14" spans="1:10" x14ac:dyDescent="0.15">
      <c r="A14" s="48" t="s">
        <v>189</v>
      </c>
      <c r="B14" s="10" t="s">
        <v>189</v>
      </c>
      <c r="C14" s="10" t="s">
        <v>189</v>
      </c>
      <c r="D14" s="10" t="s">
        <v>189</v>
      </c>
      <c r="E14" s="10" t="s">
        <v>189</v>
      </c>
      <c r="F14" s="10" t="s">
        <v>189</v>
      </c>
      <c r="G14" s="10" t="s">
        <v>189</v>
      </c>
      <c r="H14" s="10" t="s">
        <v>189</v>
      </c>
      <c r="I14" s="10" t="s">
        <v>189</v>
      </c>
      <c r="J14" s="11" t="s">
        <v>189</v>
      </c>
    </row>
    <row r="15" spans="1:10" x14ac:dyDescent="0.15">
      <c r="A15" s="7" t="str">
        <f>CONCATENATE("static const struct panel_desc_dsi ",SN65DSI85_REG_MAP!N1,"_dsi = {")</f>
        <v>static const struct panel_desc_dsi mel_xga_dsi = {</v>
      </c>
      <c r="B15" s="10" t="s">
        <v>189</v>
      </c>
      <c r="C15" s="49" t="s">
        <v>189</v>
      </c>
      <c r="D15" s="10" t="s">
        <v>189</v>
      </c>
      <c r="E15" s="10" t="s">
        <v>189</v>
      </c>
      <c r="F15" s="10" t="s">
        <v>189</v>
      </c>
      <c r="G15" s="10" t="s">
        <v>189</v>
      </c>
      <c r="H15" s="10" t="s">
        <v>189</v>
      </c>
      <c r="I15" s="10" t="s">
        <v>189</v>
      </c>
      <c r="J15" s="11" t="s">
        <v>189</v>
      </c>
    </row>
    <row r="16" spans="1:10" x14ac:dyDescent="0.15">
      <c r="A16" s="7"/>
      <c r="B16" s="8" t="s">
        <v>152</v>
      </c>
      <c r="C16" s="10" t="s">
        <v>189</v>
      </c>
      <c r="D16" s="10" t="s">
        <v>189</v>
      </c>
      <c r="E16" s="10" t="s">
        <v>189</v>
      </c>
      <c r="F16" s="10" t="s">
        <v>189</v>
      </c>
      <c r="G16" s="10" t="s">
        <v>189</v>
      </c>
      <c r="H16" s="10" t="s">
        <v>189</v>
      </c>
      <c r="I16" s="10" t="s">
        <v>189</v>
      </c>
      <c r="J16" s="11" t="s">
        <v>189</v>
      </c>
    </row>
    <row r="17" spans="1:10" x14ac:dyDescent="0.15">
      <c r="A17" s="7"/>
      <c r="B17" s="8"/>
      <c r="C17" s="8" t="s">
        <v>155</v>
      </c>
      <c r="D17" s="8" t="str">
        <f>CONCATENATE("&amp;",SN65DSI85_REG_MAP!N1,"_mode",",")</f>
        <v>&amp;mel_xga_mode,</v>
      </c>
      <c r="E17" s="10" t="s">
        <v>189</v>
      </c>
      <c r="F17" s="10" t="s">
        <v>189</v>
      </c>
      <c r="G17" s="10" t="s">
        <v>189</v>
      </c>
      <c r="H17" s="10" t="s">
        <v>189</v>
      </c>
      <c r="I17" s="10" t="s">
        <v>189</v>
      </c>
      <c r="J17" s="11" t="s">
        <v>189</v>
      </c>
    </row>
    <row r="18" spans="1:10" x14ac:dyDescent="0.15">
      <c r="A18" s="7"/>
      <c r="B18" s="8"/>
      <c r="C18" s="8" t="s">
        <v>156</v>
      </c>
      <c r="D18" s="8">
        <v>1</v>
      </c>
      <c r="E18" s="8" t="s">
        <v>149</v>
      </c>
      <c r="F18" s="10" t="s">
        <v>189</v>
      </c>
      <c r="G18" s="10" t="s">
        <v>189</v>
      </c>
      <c r="H18" s="10" t="s">
        <v>189</v>
      </c>
      <c r="I18" s="10" t="s">
        <v>189</v>
      </c>
      <c r="J18" s="11" t="s">
        <v>189</v>
      </c>
    </row>
    <row r="19" spans="1:10" x14ac:dyDescent="0.15">
      <c r="A19" s="7"/>
      <c r="B19" s="8"/>
      <c r="C19" s="8" t="s">
        <v>157</v>
      </c>
      <c r="D19" s="8">
        <v>8</v>
      </c>
      <c r="E19" s="8" t="s">
        <v>149</v>
      </c>
      <c r="F19" s="10" t="s">
        <v>189</v>
      </c>
      <c r="G19" s="10" t="s">
        <v>189</v>
      </c>
      <c r="H19" s="10" t="s">
        <v>189</v>
      </c>
      <c r="I19" s="10" t="s">
        <v>189</v>
      </c>
      <c r="J19" s="11" t="s">
        <v>189</v>
      </c>
    </row>
    <row r="20" spans="1:10" x14ac:dyDescent="0.15">
      <c r="A20" s="7"/>
      <c r="B20" s="8"/>
      <c r="C20" s="8" t="s">
        <v>153</v>
      </c>
      <c r="D20" s="10" t="s">
        <v>189</v>
      </c>
      <c r="E20" s="10" t="s">
        <v>189</v>
      </c>
      <c r="F20" s="10" t="s">
        <v>189</v>
      </c>
      <c r="G20" s="10" t="s">
        <v>189</v>
      </c>
      <c r="H20" s="10" t="s">
        <v>189</v>
      </c>
      <c r="I20" s="10" t="s">
        <v>189</v>
      </c>
      <c r="J20" s="11" t="s">
        <v>189</v>
      </c>
    </row>
    <row r="21" spans="1:10" x14ac:dyDescent="0.15">
      <c r="A21" s="7"/>
      <c r="B21" s="8"/>
      <c r="C21" s="8"/>
      <c r="D21" s="8" t="s">
        <v>158</v>
      </c>
      <c r="E21" s="8">
        <f>SN65DSI85_REG_MAP!T11</f>
        <v>256</v>
      </c>
      <c r="F21" s="8" t="s">
        <v>149</v>
      </c>
      <c r="G21" s="10" t="s">
        <v>189</v>
      </c>
      <c r="H21" s="10" t="s">
        <v>189</v>
      </c>
      <c r="I21" s="10" t="s">
        <v>189</v>
      </c>
      <c r="J21" s="11" t="s">
        <v>189</v>
      </c>
    </row>
    <row r="22" spans="1:10" x14ac:dyDescent="0.15">
      <c r="A22" s="7"/>
      <c r="B22" s="8"/>
      <c r="C22" s="8"/>
      <c r="D22" s="8" t="s">
        <v>159</v>
      </c>
      <c r="E22" s="8">
        <f>SN65DSI85_REG_MAP!T12</f>
        <v>144</v>
      </c>
      <c r="F22" s="8" t="s">
        <v>149</v>
      </c>
      <c r="G22" s="10" t="s">
        <v>189</v>
      </c>
      <c r="H22" s="10" t="s">
        <v>189</v>
      </c>
      <c r="I22" s="10" t="s">
        <v>189</v>
      </c>
      <c r="J22" s="11" t="s">
        <v>189</v>
      </c>
    </row>
    <row r="23" spans="1:10" x14ac:dyDescent="0.15">
      <c r="A23" s="7"/>
      <c r="B23" s="8"/>
      <c r="C23" s="8" t="s">
        <v>154</v>
      </c>
      <c r="D23" s="10" t="s">
        <v>189</v>
      </c>
      <c r="E23" s="10" t="s">
        <v>189</v>
      </c>
      <c r="F23" s="10" t="s">
        <v>189</v>
      </c>
      <c r="G23" s="10" t="s">
        <v>189</v>
      </c>
      <c r="H23" s="10" t="s">
        <v>189</v>
      </c>
      <c r="I23" s="10" t="s">
        <v>189</v>
      </c>
      <c r="J23" s="11" t="s">
        <v>189</v>
      </c>
    </row>
    <row r="24" spans="1:10" x14ac:dyDescent="0.15">
      <c r="A24" s="7"/>
      <c r="B24" s="8" t="s">
        <v>154</v>
      </c>
      <c r="C24" s="10" t="s">
        <v>189</v>
      </c>
      <c r="D24" s="10" t="s">
        <v>189</v>
      </c>
      <c r="E24" s="10" t="s">
        <v>189</v>
      </c>
      <c r="F24" s="10" t="s">
        <v>189</v>
      </c>
      <c r="G24" s="10" t="s">
        <v>189</v>
      </c>
      <c r="H24" s="10" t="s">
        <v>189</v>
      </c>
      <c r="I24" s="10" t="s">
        <v>189</v>
      </c>
      <c r="J24" s="11" t="s">
        <v>189</v>
      </c>
    </row>
    <row r="25" spans="1:10" x14ac:dyDescent="0.15">
      <c r="A25" s="7"/>
      <c r="B25" s="8" t="s">
        <v>173</v>
      </c>
      <c r="C25" s="10" t="s">
        <v>189</v>
      </c>
      <c r="D25" s="10" t="s">
        <v>189</v>
      </c>
      <c r="E25" s="10" t="s">
        <v>189</v>
      </c>
      <c r="F25" s="10" t="s">
        <v>189</v>
      </c>
      <c r="G25" s="10" t="s">
        <v>189</v>
      </c>
      <c r="H25" s="10" t="s">
        <v>189</v>
      </c>
      <c r="I25" s="10" t="s">
        <v>189</v>
      </c>
      <c r="J25" s="11" t="s">
        <v>189</v>
      </c>
    </row>
    <row r="26" spans="1:10" x14ac:dyDescent="0.15">
      <c r="A26" s="7"/>
      <c r="B26" s="8" t="s">
        <v>174</v>
      </c>
      <c r="C26" s="10" t="s">
        <v>189</v>
      </c>
      <c r="D26" s="10" t="s">
        <v>189</v>
      </c>
      <c r="E26" s="10" t="s">
        <v>189</v>
      </c>
      <c r="F26" s="45" t="s">
        <v>189</v>
      </c>
      <c r="G26" s="10" t="s">
        <v>189</v>
      </c>
      <c r="H26" s="10" t="s">
        <v>189</v>
      </c>
      <c r="I26" s="10" t="s">
        <v>189</v>
      </c>
      <c r="J26" s="11" t="s">
        <v>189</v>
      </c>
    </row>
    <row r="27" spans="1:10" x14ac:dyDescent="0.15">
      <c r="A27" s="7"/>
      <c r="B27" s="8" t="str">
        <f>CONCATENATE(".lanes = ",SN65DSI85_REG_MAP!P18,",")</f>
        <v>.lanes = 4,</v>
      </c>
      <c r="C27" s="10" t="s">
        <v>189</v>
      </c>
      <c r="D27" s="10" t="s">
        <v>189</v>
      </c>
      <c r="E27" s="10" t="s">
        <v>189</v>
      </c>
      <c r="F27" s="10" t="s">
        <v>189</v>
      </c>
      <c r="G27" s="10" t="s">
        <v>189</v>
      </c>
      <c r="H27" s="10" t="s">
        <v>189</v>
      </c>
      <c r="I27" s="10" t="s">
        <v>189</v>
      </c>
      <c r="J27" s="11" t="s">
        <v>189</v>
      </c>
    </row>
    <row r="28" spans="1:10" x14ac:dyDescent="0.15">
      <c r="A28" s="7" t="s">
        <v>150</v>
      </c>
      <c r="B28" s="13" t="s">
        <v>189</v>
      </c>
      <c r="C28" s="10" t="s">
        <v>189</v>
      </c>
      <c r="D28" s="10" t="s">
        <v>189</v>
      </c>
      <c r="E28" s="10" t="s">
        <v>189</v>
      </c>
      <c r="F28" s="10" t="s">
        <v>189</v>
      </c>
      <c r="G28" s="10" t="s">
        <v>189</v>
      </c>
      <c r="H28" s="10" t="s">
        <v>189</v>
      </c>
      <c r="I28" s="10" t="s">
        <v>189</v>
      </c>
      <c r="J28" s="11" t="s">
        <v>189</v>
      </c>
    </row>
    <row r="29" spans="1:10" x14ac:dyDescent="0.15">
      <c r="A29" s="7" t="s">
        <v>189</v>
      </c>
      <c r="B29" s="8" t="s">
        <v>189</v>
      </c>
      <c r="C29" s="10" t="s">
        <v>189</v>
      </c>
      <c r="D29" s="10" t="s">
        <v>189</v>
      </c>
      <c r="E29" s="10" t="s">
        <v>189</v>
      </c>
      <c r="F29" s="10" t="s">
        <v>189</v>
      </c>
      <c r="G29" s="10" t="s">
        <v>189</v>
      </c>
      <c r="H29" s="10" t="s">
        <v>189</v>
      </c>
      <c r="I29" s="10" t="s">
        <v>189</v>
      </c>
      <c r="J29" s="11" t="s">
        <v>189</v>
      </c>
    </row>
    <row r="30" spans="1:10" x14ac:dyDescent="0.15">
      <c r="A30" s="7" t="str">
        <f>CONCATENATE("//",SN65DSI85_REG_MAP!N1)</f>
        <v>//mel_xga</v>
      </c>
      <c r="B30" s="13" t="s">
        <v>193</v>
      </c>
      <c r="C30" s="10" t="s">
        <v>189</v>
      </c>
      <c r="D30" s="10" t="s">
        <v>189</v>
      </c>
      <c r="E30" s="10" t="s">
        <v>189</v>
      </c>
      <c r="F30" s="10" t="s">
        <v>189</v>
      </c>
      <c r="G30" s="10" t="s">
        <v>189</v>
      </c>
      <c r="H30" s="10" t="s">
        <v>189</v>
      </c>
      <c r="I30" s="10" t="s">
        <v>189</v>
      </c>
      <c r="J30" s="11" t="s">
        <v>189</v>
      </c>
    </row>
    <row r="31" spans="1:10" x14ac:dyDescent="0.15">
      <c r="A31" s="7" t="s">
        <v>94</v>
      </c>
      <c r="B31" s="8" t="s">
        <v>93</v>
      </c>
      <c r="C31" s="10" t="s">
        <v>96</v>
      </c>
      <c r="D31" s="10" t="s">
        <v>97</v>
      </c>
      <c r="E31" s="10" t="s">
        <v>98</v>
      </c>
      <c r="F31" s="10" t="s">
        <v>99</v>
      </c>
      <c r="G31" s="10" t="s">
        <v>100</v>
      </c>
      <c r="H31" s="10" t="s">
        <v>101</v>
      </c>
      <c r="I31" s="10" t="s">
        <v>102</v>
      </c>
      <c r="J31" s="11" t="s">
        <v>103</v>
      </c>
    </row>
    <row r="32" spans="1:10" x14ac:dyDescent="0.15">
      <c r="A32" s="7"/>
      <c r="B32" s="8"/>
      <c r="C32" s="10" t="s">
        <v>104</v>
      </c>
      <c r="D32" s="10" t="s">
        <v>105</v>
      </c>
      <c r="E32" s="10" t="s">
        <v>106</v>
      </c>
      <c r="F32" s="10" t="s">
        <v>107</v>
      </c>
      <c r="G32" s="10" t="s">
        <v>108</v>
      </c>
      <c r="H32" s="10" t="s">
        <v>109</v>
      </c>
      <c r="I32" s="10" t="s">
        <v>110</v>
      </c>
      <c r="J32" s="11" t="s">
        <v>111</v>
      </c>
    </row>
    <row r="33" spans="1:19" x14ac:dyDescent="0.15">
      <c r="A33" s="7"/>
      <c r="B33" s="8"/>
      <c r="C33" s="10" t="s">
        <v>112</v>
      </c>
      <c r="D33" s="10" t="s">
        <v>113</v>
      </c>
      <c r="E33" s="10" t="s">
        <v>114</v>
      </c>
      <c r="F33" s="10" t="s">
        <v>115</v>
      </c>
      <c r="G33" s="10" t="s">
        <v>116</v>
      </c>
      <c r="H33" s="10" t="s">
        <v>117</v>
      </c>
      <c r="I33" s="10" t="s">
        <v>118</v>
      </c>
      <c r="J33" s="11" t="s">
        <v>119</v>
      </c>
    </row>
    <row r="34" spans="1:19" x14ac:dyDescent="0.15">
      <c r="A34" s="7"/>
      <c r="B34" s="8"/>
      <c r="C34" s="10" t="s">
        <v>120</v>
      </c>
      <c r="D34" s="10" t="s">
        <v>121</v>
      </c>
      <c r="E34" s="10" t="s">
        <v>122</v>
      </c>
      <c r="F34" s="10" t="s">
        <v>123</v>
      </c>
      <c r="G34" s="10" t="s">
        <v>124</v>
      </c>
      <c r="H34" s="10" t="s">
        <v>125</v>
      </c>
      <c r="I34" s="10" t="s">
        <v>126</v>
      </c>
      <c r="J34" s="11" t="s">
        <v>127</v>
      </c>
    </row>
    <row r="35" spans="1:19" x14ac:dyDescent="0.15">
      <c r="A35" s="7"/>
      <c r="B35" s="8"/>
      <c r="C35" s="10" t="s">
        <v>128</v>
      </c>
      <c r="D35" s="10" t="s">
        <v>129</v>
      </c>
      <c r="E35" s="10" t="s">
        <v>130</v>
      </c>
      <c r="F35" s="10" t="s">
        <v>131</v>
      </c>
      <c r="G35" s="10" t="s">
        <v>132</v>
      </c>
      <c r="H35" s="10" t="s">
        <v>133</v>
      </c>
      <c r="I35" s="10" t="s">
        <v>134</v>
      </c>
      <c r="J35" s="11" t="s">
        <v>135</v>
      </c>
    </row>
    <row r="36" spans="1:19" x14ac:dyDescent="0.15">
      <c r="A36" s="7"/>
      <c r="B36" s="8"/>
      <c r="C36" s="10" t="s">
        <v>136</v>
      </c>
      <c r="D36" s="10" t="s">
        <v>137</v>
      </c>
      <c r="E36" s="10" t="s">
        <v>138</v>
      </c>
      <c r="F36" s="10" t="s">
        <v>99</v>
      </c>
      <c r="G36" s="10" t="s">
        <v>91</v>
      </c>
      <c r="H36" s="39" t="s">
        <v>189</v>
      </c>
      <c r="I36" s="39" t="s">
        <v>189</v>
      </c>
      <c r="J36" s="11" t="s">
        <v>189</v>
      </c>
    </row>
    <row r="37" spans="1:19" x14ac:dyDescent="0.15">
      <c r="A37" s="7" t="s">
        <v>189</v>
      </c>
      <c r="B37" s="8" t="s">
        <v>189</v>
      </c>
      <c r="C37" t="s">
        <v>189</v>
      </c>
      <c r="D37" t="s">
        <v>189</v>
      </c>
      <c r="E37" s="10" t="s">
        <v>189</v>
      </c>
      <c r="F37" s="10" t="s">
        <v>189</v>
      </c>
      <c r="G37" s="10" t="s">
        <v>189</v>
      </c>
      <c r="H37" s="10" t="s">
        <v>189</v>
      </c>
      <c r="I37" s="10" t="s">
        <v>189</v>
      </c>
      <c r="J37" s="11" t="s">
        <v>189</v>
      </c>
    </row>
    <row r="38" spans="1:19" x14ac:dyDescent="0.15">
      <c r="A38" s="7" t="s">
        <v>92</v>
      </c>
      <c r="B38" s="8" t="s">
        <v>93</v>
      </c>
      <c r="C38" s="39" t="str">
        <f t="array" ref="C38:J38">TRANSPOSE(SN65DSI85_REG_MAP!B14:B21)</f>
        <v>0x00</v>
      </c>
      <c r="D38" s="39" t="str">
        <v>0x05</v>
      </c>
      <c r="E38" s="39" t="str">
        <v>0x10</v>
      </c>
      <c r="F38" s="39" t="str">
        <v>0x00</v>
      </c>
      <c r="G38" s="39" t="str">
        <v>0x26</v>
      </c>
      <c r="H38" s="39" t="str">
        <v>0x00</v>
      </c>
      <c r="I38" s="39" t="str">
        <v>0x26</v>
      </c>
      <c r="J38" s="11" t="str">
        <v>0x00</v>
      </c>
    </row>
    <row r="39" spans="1:19" x14ac:dyDescent="0.15">
      <c r="A39" s="7"/>
      <c r="B39" s="8"/>
      <c r="C39" s="39" t="str">
        <f t="array" ref="C39:J39">TRANSPOSE(SN65DSI85_REG_MAP!B22:B29)</f>
        <v>0x7F</v>
      </c>
      <c r="D39" s="39" t="str">
        <v>0x00</v>
      </c>
      <c r="E39" s="39" t="str">
        <v>0x00</v>
      </c>
      <c r="F39" s="39" t="str">
        <v>0x00</v>
      </c>
      <c r="G39" s="39" t="str">
        <v>0x00</v>
      </c>
      <c r="H39" s="39" t="str">
        <v>0x04</v>
      </c>
      <c r="I39" s="39" t="str">
        <v>0x00</v>
      </c>
      <c r="J39" s="11" t="str">
        <v>0x00</v>
      </c>
      <c r="L39" s="10"/>
      <c r="M39" s="10"/>
      <c r="N39" s="10"/>
      <c r="O39" s="10"/>
      <c r="P39" s="10"/>
      <c r="Q39" s="10"/>
      <c r="R39" s="10"/>
      <c r="S39" s="10"/>
    </row>
    <row r="40" spans="1:19" x14ac:dyDescent="0.15">
      <c r="A40" s="7"/>
      <c r="B40" s="8"/>
      <c r="C40" s="39" t="str">
        <f t="array" ref="C40:J40">TRANSPOSE(SN65DSI85_REG_MAP!B30:B37)</f>
        <v>0x00</v>
      </c>
      <c r="D40" s="39" t="str">
        <v>0x03</v>
      </c>
      <c r="E40" s="39" t="str">
        <v>0x00</v>
      </c>
      <c r="F40" s="39" t="str">
        <v>0x00</v>
      </c>
      <c r="G40" s="39" t="str">
        <v>0x30</v>
      </c>
      <c r="H40" s="39" t="str">
        <v>0x00</v>
      </c>
      <c r="I40" s="39" t="str">
        <v>0x00</v>
      </c>
      <c r="J40" s="11" t="str">
        <v>0x00</v>
      </c>
      <c r="L40" s="10"/>
      <c r="M40" s="10"/>
      <c r="N40" s="10"/>
      <c r="O40" s="10"/>
      <c r="P40" s="10"/>
      <c r="Q40" s="10"/>
      <c r="R40" s="10"/>
      <c r="S40" s="10"/>
    </row>
    <row r="41" spans="1:19" x14ac:dyDescent="0.15">
      <c r="A41" s="7"/>
      <c r="B41" s="8"/>
      <c r="C41" s="39" t="str">
        <f t="array" ref="C41:J41">TRANSPOSE(SN65DSI85_REG_MAP!B38:B45)</f>
        <v>0x68</v>
      </c>
      <c r="D41" s="39" t="str">
        <v>0x00</v>
      </c>
      <c r="E41" s="39" t="str">
        <v>0x00</v>
      </c>
      <c r="F41" s="39" t="str">
        <v>0x00</v>
      </c>
      <c r="G41" s="39" t="str">
        <v>0x04</v>
      </c>
      <c r="H41" s="39" t="str">
        <v>0x00</v>
      </c>
      <c r="I41" s="39" t="str">
        <v>0x00</v>
      </c>
      <c r="J41" s="11" t="str">
        <v>0x00</v>
      </c>
      <c r="L41" s="10"/>
      <c r="M41" s="10"/>
      <c r="N41" s="10"/>
      <c r="O41" s="10"/>
      <c r="P41" s="10"/>
      <c r="Q41" s="10"/>
      <c r="R41" s="10"/>
      <c r="S41" s="10"/>
    </row>
    <row r="42" spans="1:19" x14ac:dyDescent="0.15">
      <c r="A42" s="7"/>
      <c r="B42" s="8"/>
      <c r="C42" s="39" t="str">
        <f t="array" ref="C42:J42">TRANSPOSE(SN65DSI85_REG_MAP!B46:B53)</f>
        <v>0x98</v>
      </c>
      <c r="D42" s="39" t="str">
        <v>0x00</v>
      </c>
      <c r="E42" s="39" t="str">
        <v>0x17</v>
      </c>
      <c r="F42" s="39" t="str">
        <v>0x00</v>
      </c>
      <c r="G42" s="39" t="str">
        <v>0x30</v>
      </c>
      <c r="H42" s="39" t="str">
        <v>0x00</v>
      </c>
      <c r="I42" s="39" t="str">
        <v>0x03</v>
      </c>
      <c r="J42" s="11" t="str">
        <v>0x00</v>
      </c>
      <c r="L42" s="10"/>
      <c r="M42" s="10"/>
      <c r="N42" s="10"/>
      <c r="O42" s="10"/>
      <c r="P42" s="10"/>
      <c r="Q42" s="10"/>
      <c r="R42" s="10"/>
      <c r="S42" s="10"/>
    </row>
    <row r="43" spans="1:19" ht="14.25" thickBot="1" x14ac:dyDescent="0.2">
      <c r="A43" s="7"/>
      <c r="B43" s="8"/>
      <c r="C43" s="39" t="str">
        <f t="array" ref="C43:F43">TRANSPOSE(SN65DSI85_REG_MAP!B54:B57)</f>
        <v>0x10</v>
      </c>
      <c r="D43" s="39" t="str">
        <v>0x00</v>
      </c>
      <c r="E43" s="39" t="str">
        <v>0x00</v>
      </c>
      <c r="F43" s="39" t="str">
        <v>0x01</v>
      </c>
      <c r="G43" t="s">
        <v>188</v>
      </c>
      <c r="H43" s="39" t="s">
        <v>189</v>
      </c>
      <c r="I43" s="39" t="s">
        <v>189</v>
      </c>
      <c r="J43" s="12" t="s">
        <v>189</v>
      </c>
      <c r="L43" s="10"/>
      <c r="M43" s="10"/>
      <c r="N43" s="10"/>
      <c r="O43" s="10"/>
      <c r="P43" s="10"/>
      <c r="Q43" s="10"/>
      <c r="R43" s="10"/>
      <c r="S43" s="10"/>
    </row>
    <row r="44" spans="1:19" x14ac:dyDescent="0.15">
      <c r="A44" s="87" t="s">
        <v>168</v>
      </c>
      <c r="B44" s="87"/>
      <c r="C44" s="87"/>
      <c r="D44" s="87"/>
      <c r="E44" s="87"/>
      <c r="F44" s="87"/>
      <c r="G44" s="87"/>
      <c r="H44" s="87"/>
      <c r="I44" s="87"/>
      <c r="J44" s="87"/>
      <c r="L44" s="10"/>
      <c r="M44" s="10"/>
      <c r="N44" s="10"/>
      <c r="O44" s="10"/>
      <c r="P44" s="10"/>
      <c r="Q44" s="10"/>
      <c r="R44" s="10"/>
      <c r="S44" s="10"/>
    </row>
    <row r="45" spans="1:19" x14ac:dyDescent="0.15">
      <c r="L45" s="10"/>
      <c r="M45" s="10"/>
      <c r="N45" s="10"/>
      <c r="O45" s="10"/>
      <c r="P45" s="10"/>
      <c r="Q45" s="10"/>
      <c r="R45" s="10"/>
      <c r="S45" s="10"/>
    </row>
  </sheetData>
  <mergeCells count="2">
    <mergeCell ref="A1:J1"/>
    <mergeCell ref="A44:J4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0" workbookViewId="0">
      <selection activeCell="C31" sqref="C31"/>
    </sheetView>
  </sheetViews>
  <sheetFormatPr defaultRowHeight="13.5" x14ac:dyDescent="0.15"/>
  <sheetData>
    <row r="1" spans="1:4" x14ac:dyDescent="0.15">
      <c r="A1" t="s">
        <v>24</v>
      </c>
      <c r="B1" t="s">
        <v>25</v>
      </c>
      <c r="C1" t="s">
        <v>26</v>
      </c>
    </row>
    <row r="2" spans="1:4" x14ac:dyDescent="0.15">
      <c r="A2" s="1" t="s">
        <v>23</v>
      </c>
      <c r="B2" s="1" t="s">
        <v>18</v>
      </c>
      <c r="C2" t="str">
        <f>HEX2BIN(B2,8)</f>
        <v>00000000</v>
      </c>
      <c r="D2" t="s">
        <v>27</v>
      </c>
    </row>
    <row r="3" spans="1:4" x14ac:dyDescent="0.15">
      <c r="A3" s="1" t="s">
        <v>0</v>
      </c>
      <c r="B3" s="1" t="s">
        <v>19</v>
      </c>
      <c r="C3" t="str">
        <f t="shared" ref="C3:C45" si="0">HEX2BIN(B3,8)</f>
        <v>00000011</v>
      </c>
      <c r="D3" t="s">
        <v>28</v>
      </c>
    </row>
    <row r="4" spans="1:4" x14ac:dyDescent="0.15">
      <c r="A4" s="1" t="s">
        <v>1</v>
      </c>
      <c r="B4" s="1">
        <v>10</v>
      </c>
      <c r="C4" t="str">
        <f t="shared" si="0"/>
        <v>00010000</v>
      </c>
      <c r="D4" t="s">
        <v>29</v>
      </c>
    </row>
    <row r="5" spans="1:4" x14ac:dyDescent="0.15">
      <c r="A5" s="1" t="s">
        <v>2</v>
      </c>
      <c r="B5" s="1" t="s">
        <v>18</v>
      </c>
      <c r="C5" t="str">
        <f t="shared" si="0"/>
        <v>00000000</v>
      </c>
      <c r="D5" t="s">
        <v>30</v>
      </c>
    </row>
    <row r="6" spans="1:4" x14ac:dyDescent="0.15">
      <c r="A6" s="1">
        <v>10</v>
      </c>
      <c r="B6" s="1">
        <v>26</v>
      </c>
      <c r="C6" t="str">
        <f t="shared" si="0"/>
        <v>00100110</v>
      </c>
      <c r="D6" t="s">
        <v>31</v>
      </c>
    </row>
    <row r="7" spans="1:4" x14ac:dyDescent="0.15">
      <c r="A7" s="1">
        <v>11</v>
      </c>
      <c r="B7" s="1" t="s">
        <v>18</v>
      </c>
      <c r="C7" t="str">
        <f t="shared" si="0"/>
        <v>00000000</v>
      </c>
      <c r="D7" t="s">
        <v>32</v>
      </c>
    </row>
    <row r="8" spans="1:4" x14ac:dyDescent="0.15">
      <c r="A8" s="1">
        <v>12</v>
      </c>
      <c r="B8" s="1">
        <v>11</v>
      </c>
      <c r="C8" t="str">
        <f t="shared" si="0"/>
        <v>00010001</v>
      </c>
      <c r="D8" t="s">
        <v>34</v>
      </c>
    </row>
    <row r="9" spans="1:4" x14ac:dyDescent="0.15">
      <c r="A9" s="1">
        <v>13</v>
      </c>
      <c r="B9" s="1" t="s">
        <v>18</v>
      </c>
      <c r="C9" t="str">
        <f t="shared" si="0"/>
        <v>00000000</v>
      </c>
      <c r="D9" t="s">
        <v>33</v>
      </c>
    </row>
    <row r="10" spans="1:4" x14ac:dyDescent="0.15">
      <c r="A10" s="1">
        <v>18</v>
      </c>
      <c r="B10" s="1" t="s">
        <v>16</v>
      </c>
      <c r="C10" t="str">
        <f t="shared" si="0"/>
        <v>01101100</v>
      </c>
      <c r="D10" t="s">
        <v>35</v>
      </c>
    </row>
    <row r="11" spans="1:4" x14ac:dyDescent="0.15">
      <c r="A11" s="1">
        <v>19</v>
      </c>
      <c r="B11" s="1" t="s">
        <v>18</v>
      </c>
      <c r="C11" t="str">
        <f t="shared" si="0"/>
        <v>00000000</v>
      </c>
      <c r="D11" t="s">
        <v>36</v>
      </c>
    </row>
    <row r="12" spans="1:4" x14ac:dyDescent="0.15">
      <c r="A12" s="1" t="s">
        <v>3</v>
      </c>
      <c r="B12" s="1">
        <v>43</v>
      </c>
      <c r="C12" t="str">
        <f t="shared" si="0"/>
        <v>01000011</v>
      </c>
      <c r="D12" t="s">
        <v>37</v>
      </c>
    </row>
    <row r="13" spans="1:4" x14ac:dyDescent="0.15">
      <c r="A13" s="1" t="s">
        <v>4</v>
      </c>
      <c r="B13" s="1" t="s">
        <v>18</v>
      </c>
      <c r="C13" t="str">
        <f t="shared" si="0"/>
        <v>00000000</v>
      </c>
      <c r="D13" t="s">
        <v>38</v>
      </c>
    </row>
    <row r="14" spans="1:4" x14ac:dyDescent="0.15">
      <c r="A14" s="1">
        <v>20</v>
      </c>
      <c r="B14" s="1" t="s">
        <v>18</v>
      </c>
      <c r="C14" t="str">
        <f t="shared" si="0"/>
        <v>00000000</v>
      </c>
      <c r="D14" t="s">
        <v>39</v>
      </c>
    </row>
    <row r="15" spans="1:4" x14ac:dyDescent="0.15">
      <c r="A15" s="1">
        <v>21</v>
      </c>
      <c r="B15" s="1" t="s">
        <v>22</v>
      </c>
      <c r="C15" t="str">
        <f t="shared" si="0"/>
        <v>00000101</v>
      </c>
      <c r="D15" t="s">
        <v>39</v>
      </c>
    </row>
    <row r="16" spans="1:4" x14ac:dyDescent="0.15">
      <c r="A16" s="1">
        <v>22</v>
      </c>
      <c r="B16" s="1" t="s">
        <v>18</v>
      </c>
      <c r="C16" t="str">
        <f t="shared" si="0"/>
        <v>00000000</v>
      </c>
      <c r="D16" t="s">
        <v>40</v>
      </c>
    </row>
    <row r="17" spans="1:4" x14ac:dyDescent="0.15">
      <c r="A17" s="1">
        <v>23</v>
      </c>
      <c r="B17" s="1" t="s">
        <v>18</v>
      </c>
      <c r="C17" t="str">
        <f t="shared" si="0"/>
        <v>00000000</v>
      </c>
      <c r="D17" t="s">
        <v>40</v>
      </c>
    </row>
    <row r="18" spans="1:4" x14ac:dyDescent="0.15">
      <c r="A18" s="1">
        <v>24</v>
      </c>
      <c r="B18" s="1" t="s">
        <v>18</v>
      </c>
      <c r="C18" t="str">
        <f t="shared" si="0"/>
        <v>00000000</v>
      </c>
      <c r="D18" t="s">
        <v>41</v>
      </c>
    </row>
    <row r="19" spans="1:4" x14ac:dyDescent="0.15">
      <c r="A19" s="1">
        <v>25</v>
      </c>
      <c r="B19" s="1" t="s">
        <v>21</v>
      </c>
      <c r="C19" t="str">
        <f t="shared" si="0"/>
        <v>00000100</v>
      </c>
      <c r="D19" t="s">
        <v>41</v>
      </c>
    </row>
    <row r="20" spans="1:4" x14ac:dyDescent="0.15">
      <c r="A20" s="1">
        <v>26</v>
      </c>
      <c r="B20" s="1" t="s">
        <v>18</v>
      </c>
      <c r="C20" t="str">
        <f t="shared" si="0"/>
        <v>00000000</v>
      </c>
      <c r="D20" t="s">
        <v>42</v>
      </c>
    </row>
    <row r="21" spans="1:4" x14ac:dyDescent="0.15">
      <c r="A21" s="1">
        <v>27</v>
      </c>
      <c r="B21" s="1" t="s">
        <v>18</v>
      </c>
      <c r="C21" t="str">
        <f t="shared" si="0"/>
        <v>00000000</v>
      </c>
      <c r="D21" t="s">
        <v>42</v>
      </c>
    </row>
    <row r="22" spans="1:4" x14ac:dyDescent="0.15">
      <c r="A22" s="1">
        <v>28</v>
      </c>
      <c r="B22" s="1">
        <v>21</v>
      </c>
      <c r="C22" t="str">
        <f t="shared" si="0"/>
        <v>00100001</v>
      </c>
      <c r="D22" t="s">
        <v>43</v>
      </c>
    </row>
    <row r="23" spans="1:4" x14ac:dyDescent="0.15">
      <c r="A23" s="1">
        <v>29</v>
      </c>
      <c r="B23" s="1" t="s">
        <v>18</v>
      </c>
      <c r="C23" t="str">
        <f t="shared" si="0"/>
        <v>00000000</v>
      </c>
      <c r="D23" t="s">
        <v>43</v>
      </c>
    </row>
    <row r="24" spans="1:4" x14ac:dyDescent="0.15">
      <c r="A24" s="1" t="s">
        <v>5</v>
      </c>
      <c r="B24" s="1" t="s">
        <v>18</v>
      </c>
      <c r="C24" t="str">
        <f t="shared" si="0"/>
        <v>00000000</v>
      </c>
      <c r="D24" t="s">
        <v>44</v>
      </c>
    </row>
    <row r="25" spans="1:4" x14ac:dyDescent="0.15">
      <c r="A25" s="1" t="s">
        <v>6</v>
      </c>
      <c r="B25" s="1" t="s">
        <v>18</v>
      </c>
      <c r="C25" t="str">
        <f t="shared" si="0"/>
        <v>00000000</v>
      </c>
      <c r="D25" t="s">
        <v>44</v>
      </c>
    </row>
    <row r="26" spans="1:4" x14ac:dyDescent="0.15">
      <c r="A26" s="1" t="s">
        <v>7</v>
      </c>
      <c r="B26" s="1" t="s">
        <v>17</v>
      </c>
      <c r="C26" t="str">
        <f t="shared" si="0"/>
        <v>10100000</v>
      </c>
      <c r="D26" t="s">
        <v>45</v>
      </c>
    </row>
    <row r="27" spans="1:4" x14ac:dyDescent="0.15">
      <c r="A27" s="1" t="s">
        <v>8</v>
      </c>
      <c r="B27" s="1" t="s">
        <v>20</v>
      </c>
      <c r="C27" t="str">
        <f t="shared" si="0"/>
        <v>00000010</v>
      </c>
      <c r="D27" t="s">
        <v>45</v>
      </c>
    </row>
    <row r="28" spans="1:4" x14ac:dyDescent="0.15">
      <c r="A28" s="1" t="s">
        <v>9</v>
      </c>
      <c r="B28" s="1" t="s">
        <v>18</v>
      </c>
      <c r="C28" t="str">
        <f t="shared" si="0"/>
        <v>00000000</v>
      </c>
      <c r="D28" t="s">
        <v>46</v>
      </c>
    </row>
    <row r="29" spans="1:4" x14ac:dyDescent="0.15">
      <c r="A29" s="1" t="s">
        <v>10</v>
      </c>
      <c r="B29" s="1" t="s">
        <v>18</v>
      </c>
      <c r="C29" t="str">
        <f t="shared" si="0"/>
        <v>00000000</v>
      </c>
      <c r="D29" t="s">
        <v>46</v>
      </c>
    </row>
    <row r="30" spans="1:4" x14ac:dyDescent="0.15">
      <c r="A30" s="1">
        <v>30</v>
      </c>
      <c r="B30" s="1" t="s">
        <v>19</v>
      </c>
      <c r="C30" t="str">
        <f t="shared" si="0"/>
        <v>00000011</v>
      </c>
      <c r="D30" t="s">
        <v>47</v>
      </c>
    </row>
    <row r="31" spans="1:4" x14ac:dyDescent="0.15">
      <c r="A31" s="1">
        <v>31</v>
      </c>
      <c r="B31" s="1" t="s">
        <v>18</v>
      </c>
      <c r="C31" t="str">
        <f t="shared" si="0"/>
        <v>00000000</v>
      </c>
      <c r="D31" t="s">
        <v>47</v>
      </c>
    </row>
    <row r="32" spans="1:4" x14ac:dyDescent="0.15">
      <c r="A32" s="1">
        <v>32</v>
      </c>
      <c r="B32" s="1" t="s">
        <v>18</v>
      </c>
      <c r="C32" t="str">
        <f t="shared" si="0"/>
        <v>00000000</v>
      </c>
      <c r="D32" t="s">
        <v>48</v>
      </c>
    </row>
    <row r="33" spans="1:4" x14ac:dyDescent="0.15">
      <c r="A33" s="1">
        <v>33</v>
      </c>
      <c r="B33" s="1" t="s">
        <v>18</v>
      </c>
      <c r="C33" t="str">
        <f t="shared" si="0"/>
        <v>00000000</v>
      </c>
      <c r="D33" t="s">
        <v>48</v>
      </c>
    </row>
    <row r="34" spans="1:4" x14ac:dyDescent="0.15">
      <c r="A34" s="1">
        <v>34</v>
      </c>
      <c r="B34" s="1">
        <v>28</v>
      </c>
      <c r="C34" t="str">
        <f t="shared" si="0"/>
        <v>00101000</v>
      </c>
      <c r="D34" t="s">
        <v>49</v>
      </c>
    </row>
    <row r="35" spans="1:4" x14ac:dyDescent="0.15">
      <c r="A35" s="1">
        <v>35</v>
      </c>
      <c r="B35" s="1" t="s">
        <v>18</v>
      </c>
      <c r="C35" t="str">
        <f t="shared" si="0"/>
        <v>00000000</v>
      </c>
      <c r="D35" t="s">
        <v>50</v>
      </c>
    </row>
    <row r="36" spans="1:4" x14ac:dyDescent="0.15">
      <c r="A36" s="1">
        <v>36</v>
      </c>
      <c r="B36" s="1" t="s">
        <v>18</v>
      </c>
      <c r="C36" t="str">
        <f t="shared" si="0"/>
        <v>00000000</v>
      </c>
      <c r="D36" t="s">
        <v>51</v>
      </c>
    </row>
    <row r="37" spans="1:4" x14ac:dyDescent="0.15">
      <c r="A37" s="1">
        <v>37</v>
      </c>
      <c r="B37" s="1" t="s">
        <v>18</v>
      </c>
      <c r="C37" t="str">
        <f t="shared" si="0"/>
        <v>00000000</v>
      </c>
      <c r="D37" t="s">
        <v>52</v>
      </c>
    </row>
    <row r="38" spans="1:4" x14ac:dyDescent="0.15">
      <c r="A38" s="1">
        <v>38</v>
      </c>
      <c r="B38" s="1" t="s">
        <v>18</v>
      </c>
      <c r="C38" t="str">
        <f t="shared" si="0"/>
        <v>00000000</v>
      </c>
      <c r="D38" t="s">
        <v>53</v>
      </c>
    </row>
    <row r="39" spans="1:4" x14ac:dyDescent="0.15">
      <c r="A39" s="1">
        <v>39</v>
      </c>
      <c r="B39" s="1" t="s">
        <v>18</v>
      </c>
      <c r="C39" t="str">
        <f t="shared" si="0"/>
        <v>00000000</v>
      </c>
      <c r="D39" t="s">
        <v>54</v>
      </c>
    </row>
    <row r="40" spans="1:4" x14ac:dyDescent="0.15">
      <c r="A40" s="1" t="s">
        <v>11</v>
      </c>
      <c r="B40" s="1" t="s">
        <v>18</v>
      </c>
      <c r="C40" t="str">
        <f t="shared" si="0"/>
        <v>00000000</v>
      </c>
      <c r="D40" t="s">
        <v>55</v>
      </c>
    </row>
    <row r="41" spans="1:4" x14ac:dyDescent="0.15">
      <c r="A41" s="1" t="s">
        <v>12</v>
      </c>
      <c r="B41" s="1" t="s">
        <v>18</v>
      </c>
      <c r="C41" t="str">
        <f t="shared" si="0"/>
        <v>00000000</v>
      </c>
      <c r="D41" t="s">
        <v>56</v>
      </c>
    </row>
    <row r="42" spans="1:4" x14ac:dyDescent="0.15">
      <c r="A42" s="1" t="s">
        <v>13</v>
      </c>
      <c r="B42" s="1" t="s">
        <v>18</v>
      </c>
      <c r="C42" t="str">
        <f t="shared" si="0"/>
        <v>00000000</v>
      </c>
      <c r="D42" t="s">
        <v>57</v>
      </c>
    </row>
    <row r="43" spans="1:4" x14ac:dyDescent="0.15">
      <c r="A43" s="1" t="s">
        <v>14</v>
      </c>
      <c r="B43" s="1" t="s">
        <v>18</v>
      </c>
      <c r="C43" t="str">
        <f t="shared" si="0"/>
        <v>00000000</v>
      </c>
    </row>
    <row r="44" spans="1:4" x14ac:dyDescent="0.15">
      <c r="A44" s="1" t="s">
        <v>15</v>
      </c>
      <c r="B44" s="1" t="s">
        <v>18</v>
      </c>
      <c r="C44" t="str">
        <f t="shared" si="0"/>
        <v>00000000</v>
      </c>
    </row>
    <row r="45" spans="1:4" x14ac:dyDescent="0.15">
      <c r="A45" s="1" t="s">
        <v>2</v>
      </c>
      <c r="B45" s="1">
        <v>1</v>
      </c>
      <c r="C45" t="str">
        <f t="shared" si="0"/>
        <v>00000001</v>
      </c>
      <c r="D45" t="s">
        <v>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SN65DSI85_REG_MAP</vt:lpstr>
      <vt:lpstr>PARAMATER_CODE_OUT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gijyu-3f</dc:creator>
  <cp:lastModifiedBy>gijyu151</cp:lastModifiedBy>
  <dcterms:created xsi:type="dcterms:W3CDTF">2017-12-20T02:32:31Z</dcterms:created>
  <dcterms:modified xsi:type="dcterms:W3CDTF">2019-01-05T07:46:53Z</dcterms:modified>
</cp:coreProperties>
</file>