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415" windowHeight="9315" activeTab="3"/>
  </bookViews>
  <sheets>
    <sheet name="EDID" sheetId="23" r:id="rId1"/>
    <sheet name="DSI86_INPUTS" sheetId="12" r:id="rId2"/>
    <sheet name="Calcs" sheetId="6" r:id="rId3"/>
    <sheet name="CSR" sheetId="11" r:id="rId4"/>
  </sheets>
  <calcPr calcId="145621"/>
</workbook>
</file>

<file path=xl/calcChain.xml><?xml version="1.0" encoding="utf-8"?>
<calcChain xmlns="http://schemas.openxmlformats.org/spreadsheetml/2006/main">
  <c r="B3" i="11" l="1"/>
  <c r="B6" i="11"/>
  <c r="B3" i="6"/>
  <c r="B28" i="6"/>
  <c r="B29" i="6"/>
  <c r="B30" i="6"/>
  <c r="B55" i="6" s="1"/>
  <c r="B31" i="6"/>
  <c r="B11" i="11" s="1"/>
  <c r="B32" i="6"/>
  <c r="B12" i="11" s="1"/>
  <c r="B34" i="6"/>
  <c r="B9" i="11" s="1"/>
  <c r="B35" i="6"/>
  <c r="B49" i="6" s="1"/>
  <c r="B38" i="6"/>
  <c r="B41" i="6"/>
  <c r="B42" i="6"/>
  <c r="B57" i="6"/>
  <c r="B1" i="12"/>
  <c r="B1" i="6" s="1"/>
  <c r="B2" i="12"/>
  <c r="B2" i="6" s="1"/>
  <c r="B3" i="12"/>
  <c r="B5" i="12"/>
  <c r="B6" i="6" s="1"/>
  <c r="B25" i="11" s="1"/>
  <c r="B10" i="12"/>
  <c r="B17" i="6" s="1"/>
  <c r="B28" i="11" s="1"/>
  <c r="B14" i="12"/>
  <c r="B26" i="6" s="1"/>
  <c r="B21" i="12"/>
  <c r="B33" i="6" s="1"/>
  <c r="B10" i="11" s="1"/>
  <c r="B27" i="12"/>
  <c r="B39" i="6" s="1"/>
  <c r="B41" i="12"/>
  <c r="B16" i="23"/>
  <c r="B4" i="12" s="1"/>
  <c r="B4" i="6" s="1"/>
  <c r="B24" i="11" s="1"/>
  <c r="B17" i="23"/>
  <c r="B6" i="12" s="1"/>
  <c r="B7" i="6" s="1"/>
  <c r="B29" i="11" s="1"/>
  <c r="B18" i="23"/>
  <c r="B7" i="12" s="1"/>
  <c r="B9" i="6" s="1"/>
  <c r="B31" i="11" s="1"/>
  <c r="B19" i="23"/>
  <c r="B8" i="12" s="1"/>
  <c r="B20" i="23"/>
  <c r="B9" i="12" s="1"/>
  <c r="B15" i="6" s="1"/>
  <c r="B26" i="11" s="1"/>
  <c r="B21" i="23"/>
  <c r="B11" i="12" s="1"/>
  <c r="B18" i="6" s="1"/>
  <c r="B30" i="11" s="1"/>
  <c r="B22" i="23"/>
  <c r="B12" i="12" s="1"/>
  <c r="B20" i="6" s="1"/>
  <c r="B32" i="11" s="1"/>
  <c r="B23" i="23"/>
  <c r="B13" i="12" s="1"/>
  <c r="B22" i="6" s="1"/>
  <c r="B21" i="11" s="1"/>
  <c r="B27" i="11" l="1"/>
  <c r="B2" i="11"/>
  <c r="B23" i="11"/>
  <c r="B1" i="11"/>
  <c r="B22" i="11"/>
  <c r="B58" i="6"/>
  <c r="B11" i="6"/>
  <c r="B12" i="6" s="1"/>
  <c r="B28" i="12"/>
  <c r="B31" i="12" s="1"/>
  <c r="B43" i="6" s="1"/>
  <c r="B44" i="6" s="1"/>
  <c r="B5" i="6"/>
  <c r="B10" i="6"/>
  <c r="B8" i="6"/>
  <c r="B56" i="6"/>
  <c r="B59" i="6"/>
  <c r="B50" i="6"/>
  <c r="B13" i="11" s="1"/>
  <c r="B14" i="11" s="1"/>
  <c r="B47" i="6"/>
  <c r="B46" i="6"/>
  <c r="A3" i="11"/>
  <c r="A3" i="6"/>
  <c r="B18" i="11" l="1"/>
  <c r="B17" i="11"/>
  <c r="B40" i="6"/>
  <c r="B45" i="6" s="1"/>
  <c r="B19" i="11"/>
  <c r="B20" i="11"/>
  <c r="B13" i="6"/>
  <c r="B14" i="6" s="1"/>
  <c r="B23" i="6" s="1"/>
  <c r="B52" i="6" l="1"/>
  <c r="B53" i="6" s="1"/>
  <c r="B19" i="6"/>
  <c r="B16" i="6"/>
  <c r="B21" i="6"/>
  <c r="A37" i="6"/>
  <c r="A38" i="6"/>
  <c r="A39" i="6"/>
  <c r="A40" i="6"/>
  <c r="A41" i="6"/>
  <c r="A42" i="6"/>
  <c r="A43" i="6"/>
  <c r="A6" i="6"/>
  <c r="A34" i="6"/>
  <c r="A33" i="6"/>
  <c r="A35" i="6"/>
  <c r="A32" i="6"/>
  <c r="A4" i="6"/>
  <c r="A1" i="6"/>
  <c r="A2" i="6"/>
  <c r="A31" i="6"/>
  <c r="A2" i="11"/>
  <c r="A1" i="11"/>
  <c r="B24" i="6" l="1"/>
  <c r="B25" i="6" s="1"/>
  <c r="B27" i="6" s="1"/>
  <c r="B60" i="6" s="1"/>
  <c r="B61" i="6" l="1"/>
  <c r="B38" i="11" s="1"/>
  <c r="B37" i="11"/>
</calcChain>
</file>

<file path=xl/sharedStrings.xml><?xml version="1.0" encoding="utf-8"?>
<sst xmlns="http://schemas.openxmlformats.org/spreadsheetml/2006/main" count="144" uniqueCount="118">
  <si>
    <t>DSI Video mode</t>
  </si>
  <si>
    <t>bits/pixel(bpp)</t>
  </si>
  <si>
    <t>Total # of bits per line</t>
  </si>
  <si>
    <t>HEX</t>
  </si>
  <si>
    <t>INPUTS</t>
  </si>
  <si>
    <t>Color Legend</t>
  </si>
  <si>
    <t>Calculated OUTPUTS</t>
  </si>
  <si>
    <t>Panel Model#</t>
  </si>
  <si>
    <t>Panel Vendor</t>
  </si>
  <si>
    <t>Pixel CLK(MHz) - nominal</t>
  </si>
  <si>
    <t>Min DSI CLK rate for non-burst mode
based on panel timing(MHz)</t>
  </si>
  <si>
    <t>Hsync (in pixels)</t>
  </si>
  <si>
    <t>HBPorch (in pixels)</t>
  </si>
  <si>
    <t>HFPorch (in pixels)</t>
  </si>
  <si>
    <t>Hactive (in pixels)</t>
  </si>
  <si>
    <t>Htotal (in pixels)</t>
  </si>
  <si>
    <t>Hsync (in us)</t>
  </si>
  <si>
    <t>HBPorch (in us)</t>
  </si>
  <si>
    <t>HFPorch (in us)</t>
  </si>
  <si>
    <t>Hactive (in us)</t>
  </si>
  <si>
    <t>Htotal (in us)</t>
  </si>
  <si>
    <t>Vsync (in Lines)</t>
  </si>
  <si>
    <t>Vsync (in us)</t>
  </si>
  <si>
    <t>VBPorch (in Lines)</t>
  </si>
  <si>
    <t>VBPorch (in us)</t>
  </si>
  <si>
    <t>VFPorch (in Lines)</t>
  </si>
  <si>
    <t>VFPorch (in us)</t>
  </si>
  <si>
    <t>Vactive (in Lines)</t>
  </si>
  <si>
    <t>Vactive (us)</t>
  </si>
  <si>
    <t>Vtotal (in Lines)</t>
  </si>
  <si>
    <t>Vtotal (in us)</t>
  </si>
  <si>
    <t>Stream bit Rate (Mbps)</t>
  </si>
  <si>
    <t># of DP Lanes for DSI86</t>
  </si>
  <si>
    <t># of DP Lanes for DP Panel</t>
  </si>
  <si>
    <t>Max DP datarate for DP Panel</t>
  </si>
  <si>
    <t># of available DP lanes</t>
  </si>
  <si>
    <t>Total available DP datarate (Mbps)</t>
  </si>
  <si>
    <t>1 Lane at Max DP datarate (Mbps)</t>
  </si>
  <si>
    <t>1 Lane at Min DP datarate (Mbps)</t>
  </si>
  <si>
    <t>Optimum # of Lanes</t>
  </si>
  <si>
    <t>Optimum Daterate</t>
  </si>
  <si>
    <t>1 Lane at Mid DP datarate (Mbps)</t>
  </si>
  <si>
    <t>RESET AND CLOCK REGISTERS</t>
  </si>
  <si>
    <t>REFCLK_FREQ</t>
  </si>
  <si>
    <t>DSI REGISTERS</t>
  </si>
  <si>
    <t>LEFT_RIGHT_PIXELS</t>
  </si>
  <si>
    <t>DSI_CHANNEL_MODE</t>
  </si>
  <si>
    <t>CHA_DSI_LANES</t>
  </si>
  <si>
    <t>CHA_DSI_CLK_RANGE</t>
  </si>
  <si>
    <t>CHB_DSI_CLK_RANGE</t>
  </si>
  <si>
    <t>VIDEO REGISTERS</t>
  </si>
  <si>
    <t>CHA_ACTIVE_LINE_LENGTH_LOW</t>
  </si>
  <si>
    <t>CHA_ACTIVE_LINE_LENGTH_HIGH</t>
  </si>
  <si>
    <t>CHB_ACTIVE_LINE_LENGTH_LOW</t>
  </si>
  <si>
    <t>CHB_ACTIVE_LINE_LENGTH_HIGH</t>
  </si>
  <si>
    <t>CHA_VERTICAL_DISPLAY_SIZE_LOW</t>
  </si>
  <si>
    <t>CHA_VERTICAL_DISPLAY_SIZE_HIGH</t>
  </si>
  <si>
    <t>CHA_HSYNC_PULSE_WIDTH_LOW</t>
  </si>
  <si>
    <t>CHA_HSYNC_PULSE_WIDTH_HIGH</t>
  </si>
  <si>
    <t>CHA_HSYNC_POLARITY</t>
  </si>
  <si>
    <t>CHA_VSYNC_PULSE_WIDTH_LOW</t>
  </si>
  <si>
    <t>CHA_VSYNC_PULSE_WIDTH_HIGH</t>
  </si>
  <si>
    <t>CHA_VSYNC_POLARITY</t>
  </si>
  <si>
    <t>CHA_HORIZONTAL_BACK_PORCH</t>
  </si>
  <si>
    <t>CHA_VERTICAL_BACK_PORCH</t>
  </si>
  <si>
    <t>CHA_HORIZONTAL_FRONT_PORCH</t>
  </si>
  <si>
    <t>CHA_VERTICAL_FRONT_PORCH</t>
  </si>
  <si>
    <t>RIGHT_CROP</t>
  </si>
  <si>
    <t>LEFT_CROP</t>
  </si>
  <si>
    <t>CHB_DSI_LANES</t>
  </si>
  <si>
    <t>Link Training Registers</t>
  </si>
  <si>
    <t>DP_NUM_LANES</t>
  </si>
  <si>
    <t>DP_DATARATE</t>
  </si>
  <si>
    <t>POSITIVE</t>
  </si>
  <si>
    <t>Vsync Polarity</t>
  </si>
  <si>
    <t>HSync POLARITY</t>
  </si>
  <si>
    <t># of DSI A Lanes</t>
  </si>
  <si>
    <t># of DSI B Lanes</t>
  </si>
  <si>
    <t>DSI Channel Mode</t>
  </si>
  <si>
    <t>Even/Odd or Left/Right</t>
  </si>
  <si>
    <t>EvenOdd</t>
  </si>
  <si>
    <t>min DSI A CLK rate(MHz) 
single based on Panel</t>
  </si>
  <si>
    <t>REFCLK FREQ (MHz)</t>
  </si>
  <si>
    <t>LEFT HACTIVE</t>
  </si>
  <si>
    <t>RIGHT HACTIVE</t>
  </si>
  <si>
    <t>LEFTRIGHT MODE ONLY</t>
  </si>
  <si>
    <t>LEFT CROP</t>
  </si>
  <si>
    <t>RIGHT CROP</t>
  </si>
  <si>
    <t>Right Pixel Start</t>
  </si>
  <si>
    <t>HACTIVE with Crop</t>
  </si>
  <si>
    <t>Percent Left</t>
  </si>
  <si>
    <t>Percent Right</t>
  </si>
  <si>
    <t>Min DSI A clk rate (MHz)</t>
  </si>
  <si>
    <t>Min DSI B clk rate (MHz)</t>
  </si>
  <si>
    <t>HBP</t>
  </si>
  <si>
    <t>HFP</t>
  </si>
  <si>
    <t>VBP</t>
  </si>
  <si>
    <t>VFP</t>
  </si>
  <si>
    <t>Pixel Clock</t>
  </si>
  <si>
    <t>Horizontal Active (pixels)</t>
  </si>
  <si>
    <t>Horizontal Blanking (pixels)</t>
  </si>
  <si>
    <t>Vertical Active (lines)</t>
  </si>
  <si>
    <t>Vertical Blanking (lines)</t>
  </si>
  <si>
    <t>Horizontal Sync Pulse Width (pixels)</t>
  </si>
  <si>
    <t>Vertical Sync Pulse Width (lines)</t>
  </si>
  <si>
    <t>Hsync Polarity</t>
  </si>
  <si>
    <t>HPW</t>
  </si>
  <si>
    <t>Hactive</t>
  </si>
  <si>
    <t>VPW</t>
  </si>
  <si>
    <t>Vactive</t>
  </si>
  <si>
    <t>Horizontal Sync Offset or FrontPorch (pixels)</t>
  </si>
  <si>
    <t>Vertical Sync Offset or FrontPorch (lines)</t>
  </si>
  <si>
    <t>Resolution</t>
  </si>
  <si>
    <t xml:space="preserve">JDI 4K </t>
  </si>
  <si>
    <t>UKN</t>
  </si>
  <si>
    <t>3840x2160</t>
  </si>
  <si>
    <t>RGB666</t>
  </si>
  <si>
    <t>HBR2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</si>
</sst>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CC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2" fillId="2" borderId="2" applyNumberFormat="0" applyAlignment="0" applyProtection="0"/>
    <xf numFmtId="0" fontId="3" fillId="3" borderId="2" applyNumberFormat="0" applyAlignment="0" applyProtection="0"/>
  </cellStyleXfs>
  <cellXfs count="23">
    <xf numFmtId="0" fontId="0" fillId="0" borderId="0" xfId="0"/>
    <xf numFmtId="0" fontId="1" fillId="0" borderId="1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2" fillId="2" borderId="2" xfId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2" borderId="2" xfId="1" applyAlignment="1">
      <alignment horizontal="center"/>
    </xf>
    <xf numFmtId="0" fontId="2" fillId="2" borderId="2" xfId="1" quotePrefix="1" applyNumberFormat="1" applyAlignment="1">
      <alignment horizontal="center"/>
    </xf>
    <xf numFmtId="0" fontId="3" fillId="3" borderId="2" xfId="2" applyAlignment="1">
      <alignment horizontal="center"/>
    </xf>
    <xf numFmtId="0" fontId="3" fillId="3" borderId="2" xfId="2"/>
    <xf numFmtId="0" fontId="3" fillId="3" borderId="2" xfId="2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2" fillId="2" borderId="2" xfId="1" applyAlignment="1">
      <alignment horizontal="center" wrapText="1"/>
    </xf>
    <xf numFmtId="0" fontId="1" fillId="0" borderId="3" xfId="0" applyFont="1" applyFill="1" applyBorder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Alignment="1">
      <alignment horizontal="center" wrapText="1"/>
    </xf>
    <xf numFmtId="0" fontId="0" fillId="0" borderId="4" xfId="0" applyBorder="1" applyAlignment="1">
      <alignment horizontal="center"/>
    </xf>
  </cellXfs>
  <cellStyles count="3">
    <cellStyle name="Calculation" xfId="1" builtinId="22"/>
    <cellStyle name="Input" xfId="2" builtinId="2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A47" sqref="A47"/>
    </sheetView>
  </sheetViews>
  <sheetFormatPr defaultRowHeight="15" x14ac:dyDescent="0.25"/>
  <cols>
    <col min="1" max="1" width="38.5703125" bestFit="1" customWidth="1"/>
    <col min="2" max="2" width="14.85546875" style="7" bestFit="1" customWidth="1"/>
  </cols>
  <sheetData>
    <row r="1" spans="1:2" x14ac:dyDescent="0.25">
      <c r="A1" s="5" t="s">
        <v>8</v>
      </c>
      <c r="B1" s="21" t="s">
        <v>113</v>
      </c>
    </row>
    <row r="2" spans="1:2" x14ac:dyDescent="0.25">
      <c r="A2" s="5" t="s">
        <v>7</v>
      </c>
      <c r="B2" s="14" t="s">
        <v>114</v>
      </c>
    </row>
    <row r="3" spans="1:2" x14ac:dyDescent="0.25">
      <c r="A3" s="5" t="s">
        <v>112</v>
      </c>
      <c r="B3" s="21" t="s">
        <v>115</v>
      </c>
    </row>
    <row r="4" spans="1:2" x14ac:dyDescent="0.25">
      <c r="A4" s="5" t="s">
        <v>98</v>
      </c>
      <c r="B4" s="10">
        <v>522.61</v>
      </c>
    </row>
    <row r="5" spans="1:2" x14ac:dyDescent="0.25">
      <c r="A5" s="5" t="s">
        <v>99</v>
      </c>
      <c r="B5" s="10">
        <v>3840</v>
      </c>
    </row>
    <row r="6" spans="1:2" x14ac:dyDescent="0.25">
      <c r="A6" s="5" t="s">
        <v>100</v>
      </c>
      <c r="B6" s="10">
        <v>80</v>
      </c>
    </row>
    <row r="7" spans="1:2" x14ac:dyDescent="0.25">
      <c r="A7" s="5" t="s">
        <v>101</v>
      </c>
      <c r="B7" s="10">
        <v>2160</v>
      </c>
    </row>
    <row r="8" spans="1:2" x14ac:dyDescent="0.25">
      <c r="A8" s="5" t="s">
        <v>102</v>
      </c>
      <c r="B8" s="10">
        <v>62</v>
      </c>
    </row>
    <row r="9" spans="1:2" x14ac:dyDescent="0.25">
      <c r="A9" s="5" t="s">
        <v>110</v>
      </c>
      <c r="B9" s="10">
        <v>8</v>
      </c>
    </row>
    <row r="10" spans="1:2" x14ac:dyDescent="0.25">
      <c r="A10" s="5" t="s">
        <v>103</v>
      </c>
      <c r="B10" s="10">
        <v>32</v>
      </c>
    </row>
    <row r="11" spans="1:2" x14ac:dyDescent="0.25">
      <c r="A11" s="5" t="s">
        <v>111</v>
      </c>
      <c r="B11" s="10">
        <v>48</v>
      </c>
    </row>
    <row r="12" spans="1:2" x14ac:dyDescent="0.25">
      <c r="A12" s="5" t="s">
        <v>104</v>
      </c>
      <c r="B12" s="10">
        <v>8</v>
      </c>
    </row>
    <row r="13" spans="1:2" x14ac:dyDescent="0.25">
      <c r="A13" s="5" t="s">
        <v>105</v>
      </c>
      <c r="B13" s="10" t="s">
        <v>73</v>
      </c>
    </row>
    <row r="14" spans="1:2" x14ac:dyDescent="0.25">
      <c r="A14" s="2" t="s">
        <v>74</v>
      </c>
      <c r="B14" s="10" t="s">
        <v>73</v>
      </c>
    </row>
    <row r="16" spans="1:2" x14ac:dyDescent="0.25">
      <c r="A16" s="2" t="s">
        <v>106</v>
      </c>
      <c r="B16" s="8">
        <f t="shared" ref="B16" si="0">B$10</f>
        <v>32</v>
      </c>
    </row>
    <row r="17" spans="1:2" x14ac:dyDescent="0.25">
      <c r="A17" s="2" t="s">
        <v>94</v>
      </c>
      <c r="B17" s="8">
        <f t="shared" ref="B17" si="1" xml:space="preserve"> B$6 - B$9 - B$10</f>
        <v>40</v>
      </c>
    </row>
    <row r="18" spans="1:2" x14ac:dyDescent="0.25">
      <c r="A18" s="2" t="s">
        <v>95</v>
      </c>
      <c r="B18" s="8">
        <f t="shared" ref="B18" si="2">B$9</f>
        <v>8</v>
      </c>
    </row>
    <row r="19" spans="1:2" x14ac:dyDescent="0.25">
      <c r="A19" s="2" t="s">
        <v>107</v>
      </c>
      <c r="B19" s="8">
        <f t="shared" ref="B19" si="3">B$5</f>
        <v>3840</v>
      </c>
    </row>
    <row r="20" spans="1:2" x14ac:dyDescent="0.25">
      <c r="A20" s="2" t="s">
        <v>108</v>
      </c>
      <c r="B20" s="8">
        <f t="shared" ref="B20" si="4">B$12</f>
        <v>8</v>
      </c>
    </row>
    <row r="21" spans="1:2" x14ac:dyDescent="0.25">
      <c r="A21" s="2" t="s">
        <v>96</v>
      </c>
      <c r="B21" s="8">
        <f t="shared" ref="B21" si="5">B$8 - B$11 - B$12</f>
        <v>6</v>
      </c>
    </row>
    <row r="22" spans="1:2" x14ac:dyDescent="0.25">
      <c r="A22" s="2" t="s">
        <v>97</v>
      </c>
      <c r="B22" s="8">
        <f t="shared" ref="B22" si="6">B$11</f>
        <v>48</v>
      </c>
    </row>
    <row r="23" spans="1:2" x14ac:dyDescent="0.25">
      <c r="A23" s="2" t="s">
        <v>109</v>
      </c>
      <c r="B23" s="8">
        <f t="shared" ref="B23" si="7">B$7</f>
        <v>2160</v>
      </c>
    </row>
    <row r="26" spans="1:2" x14ac:dyDescent="0.25">
      <c r="A26" s="3" t="s">
        <v>5</v>
      </c>
    </row>
    <row r="27" spans="1:2" x14ac:dyDescent="0.25">
      <c r="A27" s="4" t="s">
        <v>6</v>
      </c>
    </row>
    <row r="28" spans="1:2" x14ac:dyDescent="0.25">
      <c r="A28" s="11" t="s">
        <v>4</v>
      </c>
    </row>
  </sheetData>
  <dataValidations count="1">
    <dataValidation type="list" allowBlank="1" showInputMessage="1" showErrorMessage="1" sqref="B13:B14">
      <formula1>"POSITIVE, NEGATIVE"</formula1>
    </dataValidation>
  </dataValidations>
  <pageMargins left="0.7" right="0.7" top="0.75" bottom="0.75" header="0.3" footer="0.3"/>
  <pageSetup orientation="portrait" horizontalDpi="3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pane xSplit="1" ySplit="2" topLeftCell="B3" activePane="bottomRight" state="frozenSplit"/>
      <selection pane="topRight" activeCell="B1" sqref="B1"/>
      <selection pane="bottomLeft" activeCell="A4" sqref="A4"/>
      <selection pane="bottomRight" activeCell="B17" sqref="B17"/>
    </sheetView>
  </sheetViews>
  <sheetFormatPr defaultRowHeight="15" x14ac:dyDescent="0.25"/>
  <cols>
    <col min="1" max="1" width="34" bestFit="1" customWidth="1"/>
    <col min="2" max="2" width="21.5703125" style="7" customWidth="1"/>
  </cols>
  <sheetData>
    <row r="1" spans="1:2" x14ac:dyDescent="0.25">
      <c r="A1" s="1" t="s">
        <v>8</v>
      </c>
      <c r="B1" s="22" t="str">
        <f>EDID!B$1</f>
        <v xml:space="preserve">JDI 4K </v>
      </c>
    </row>
    <row r="2" spans="1:2" x14ac:dyDescent="0.25">
      <c r="A2" s="1" t="s">
        <v>7</v>
      </c>
      <c r="B2" s="22" t="str">
        <f>EDID!B$2</f>
        <v>UKN</v>
      </c>
    </row>
    <row r="3" spans="1:2" x14ac:dyDescent="0.25">
      <c r="A3" s="1" t="s">
        <v>112</v>
      </c>
      <c r="B3" s="22" t="str">
        <f>EDID!B$3</f>
        <v>3840x2160</v>
      </c>
    </row>
    <row r="4" spans="1:2" x14ac:dyDescent="0.25">
      <c r="A4" s="1" t="s">
        <v>11</v>
      </c>
      <c r="B4" s="8">
        <f>EDID!B$16</f>
        <v>32</v>
      </c>
    </row>
    <row r="5" spans="1:2" x14ac:dyDescent="0.25">
      <c r="A5" s="5" t="s">
        <v>75</v>
      </c>
      <c r="B5" s="8" t="str">
        <f>EDID!B$13</f>
        <v>POSITIVE</v>
      </c>
    </row>
    <row r="6" spans="1:2" x14ac:dyDescent="0.25">
      <c r="A6" s="1" t="s">
        <v>12</v>
      </c>
      <c r="B6" s="8">
        <f>EDID!B$17</f>
        <v>40</v>
      </c>
    </row>
    <row r="7" spans="1:2" x14ac:dyDescent="0.25">
      <c r="A7" s="1" t="s">
        <v>13</v>
      </c>
      <c r="B7" s="8">
        <f>EDID!B$18</f>
        <v>8</v>
      </c>
    </row>
    <row r="8" spans="1:2" x14ac:dyDescent="0.25">
      <c r="A8" s="1" t="s">
        <v>14</v>
      </c>
      <c r="B8" s="8">
        <f>EDID!B$19</f>
        <v>3840</v>
      </c>
    </row>
    <row r="9" spans="1:2" x14ac:dyDescent="0.25">
      <c r="A9" s="1" t="s">
        <v>21</v>
      </c>
      <c r="B9" s="8">
        <f>EDID!B$20</f>
        <v>8</v>
      </c>
    </row>
    <row r="10" spans="1:2" x14ac:dyDescent="0.25">
      <c r="A10" s="1" t="s">
        <v>74</v>
      </c>
      <c r="B10" s="8" t="str">
        <f>EDID!B$14</f>
        <v>POSITIVE</v>
      </c>
    </row>
    <row r="11" spans="1:2" x14ac:dyDescent="0.25">
      <c r="A11" s="1" t="s">
        <v>23</v>
      </c>
      <c r="B11" s="8">
        <f>EDID!B$21</f>
        <v>6</v>
      </c>
    </row>
    <row r="12" spans="1:2" x14ac:dyDescent="0.25">
      <c r="A12" s="1" t="s">
        <v>25</v>
      </c>
      <c r="B12" s="8">
        <f>EDID!B$22</f>
        <v>48</v>
      </c>
    </row>
    <row r="13" spans="1:2" x14ac:dyDescent="0.25">
      <c r="A13" s="1" t="s">
        <v>27</v>
      </c>
      <c r="B13" s="8">
        <f>EDID!B$23</f>
        <v>2160</v>
      </c>
    </row>
    <row r="14" spans="1:2" x14ac:dyDescent="0.25">
      <c r="A14" s="1" t="s">
        <v>9</v>
      </c>
      <c r="B14" s="8">
        <f>EDID!B$4</f>
        <v>522.61</v>
      </c>
    </row>
    <row r="15" spans="1:2" x14ac:dyDescent="0.25">
      <c r="A15" s="1" t="s">
        <v>32</v>
      </c>
      <c r="B15" s="10">
        <v>4</v>
      </c>
    </row>
    <row r="16" spans="1:2" x14ac:dyDescent="0.25">
      <c r="A16" s="1" t="s">
        <v>33</v>
      </c>
      <c r="B16" s="10">
        <v>4</v>
      </c>
    </row>
    <row r="17" spans="1:2" x14ac:dyDescent="0.25">
      <c r="A17" s="1" t="s">
        <v>34</v>
      </c>
      <c r="B17" s="10" t="s">
        <v>117</v>
      </c>
    </row>
    <row r="18" spans="1:2" x14ac:dyDescent="0.25">
      <c r="A18" s="1" t="s">
        <v>76</v>
      </c>
      <c r="B18" s="10">
        <v>4</v>
      </c>
    </row>
    <row r="19" spans="1:2" x14ac:dyDescent="0.25">
      <c r="A19" s="1" t="s">
        <v>77</v>
      </c>
      <c r="B19" s="10">
        <v>4</v>
      </c>
    </row>
    <row r="20" spans="1:2" x14ac:dyDescent="0.25">
      <c r="A20" s="1" t="s">
        <v>0</v>
      </c>
      <c r="B20" s="12" t="s">
        <v>116</v>
      </c>
    </row>
    <row r="21" spans="1:2" x14ac:dyDescent="0.25">
      <c r="A21" s="16" t="s">
        <v>78</v>
      </c>
      <c r="B21" s="8" t="str">
        <f>IF(B$19 &gt; 0,"Dual","Single")</f>
        <v>Dual</v>
      </c>
    </row>
    <row r="22" spans="1:2" x14ac:dyDescent="0.25">
      <c r="A22" s="16" t="s">
        <v>79</v>
      </c>
      <c r="B22" s="10" t="s">
        <v>80</v>
      </c>
    </row>
    <row r="23" spans="1:2" x14ac:dyDescent="0.25">
      <c r="A23" s="16" t="s">
        <v>82</v>
      </c>
      <c r="B23" s="10">
        <v>27</v>
      </c>
    </row>
    <row r="24" spans="1:2" x14ac:dyDescent="0.25">
      <c r="B24"/>
    </row>
    <row r="25" spans="1:2" x14ac:dyDescent="0.25">
      <c r="A25" s="18" t="s">
        <v>85</v>
      </c>
      <c r="B25"/>
    </row>
    <row r="26" spans="1:2" x14ac:dyDescent="0.25">
      <c r="A26" s="19" t="s">
        <v>88</v>
      </c>
      <c r="B26" s="10">
        <v>1026</v>
      </c>
    </row>
    <row r="27" spans="1:2" x14ac:dyDescent="0.25">
      <c r="A27" s="16" t="s">
        <v>83</v>
      </c>
      <c r="B27" s="8">
        <f>B$26-1</f>
        <v>1025</v>
      </c>
    </row>
    <row r="28" spans="1:2" x14ac:dyDescent="0.25">
      <c r="A28" s="16" t="s">
        <v>84</v>
      </c>
      <c r="B28" s="8">
        <f>B$8-B$26+1</f>
        <v>2815</v>
      </c>
    </row>
    <row r="29" spans="1:2" x14ac:dyDescent="0.25">
      <c r="A29" s="2" t="s">
        <v>86</v>
      </c>
      <c r="B29" s="10">
        <v>1</v>
      </c>
    </row>
    <row r="30" spans="1:2" x14ac:dyDescent="0.25">
      <c r="A30" s="2" t="s">
        <v>87</v>
      </c>
      <c r="B30" s="10">
        <v>1</v>
      </c>
    </row>
    <row r="31" spans="1:2" x14ac:dyDescent="0.25">
      <c r="A31" s="2" t="s">
        <v>89</v>
      </c>
      <c r="B31" s="8">
        <f>B$27+B$28+B$29+B$30</f>
        <v>3842</v>
      </c>
    </row>
    <row r="32" spans="1:2" x14ac:dyDescent="0.25">
      <c r="A32" s="2"/>
    </row>
    <row r="33" spans="1:2" x14ac:dyDescent="0.25">
      <c r="A33" s="3" t="s">
        <v>5</v>
      </c>
    </row>
    <row r="34" spans="1:2" x14ac:dyDescent="0.25">
      <c r="A34" s="4" t="s">
        <v>6</v>
      </c>
    </row>
    <row r="35" spans="1:2" x14ac:dyDescent="0.25">
      <c r="A35" s="11" t="s">
        <v>4</v>
      </c>
    </row>
    <row r="41" spans="1:2" x14ac:dyDescent="0.25">
      <c r="B41" s="7">
        <f>IF(B$19=0,1,IF(B$22="EvenOdd",IF(B$18=B$19,1,"Wrong"),1))</f>
        <v>1</v>
      </c>
    </row>
  </sheetData>
  <dataValidations count="8">
    <dataValidation type="list" allowBlank="1" showInputMessage="1" showErrorMessage="1" sqref="B17">
      <formula1>"RBR, HBR, HBR2"</formula1>
    </dataValidation>
    <dataValidation type="list" allowBlank="1" showInputMessage="1" showErrorMessage="1" sqref="B15:B16">
      <formula1>"1, 2, 4"</formula1>
    </dataValidation>
    <dataValidation type="list" allowBlank="1" showInputMessage="1" showErrorMessage="1" sqref="B20">
      <formula1>"RGB888, RGB666, Loose RGB666"</formula1>
    </dataValidation>
    <dataValidation type="list" allowBlank="1" showInputMessage="1" showErrorMessage="1" sqref="B10 B5">
      <formula1>"POSITIVE, NEGATIVE"</formula1>
    </dataValidation>
    <dataValidation type="list" allowBlank="1" showInputMessage="1" showErrorMessage="1" sqref="B21">
      <formula1>"Dual, Single"</formula1>
    </dataValidation>
    <dataValidation type="list" allowBlank="1" showInputMessage="1" showErrorMessage="1" sqref="B18:B19">
      <formula1>"4, 3, 2, 1, 0"</formula1>
    </dataValidation>
    <dataValidation type="list" allowBlank="1" showInputMessage="1" showErrorMessage="1" sqref="B23">
      <formula1>"13, 19.2, 26, 27, 38.4"</formula1>
    </dataValidation>
    <dataValidation type="list" allowBlank="1" showInputMessage="1" showErrorMessage="1" sqref="B22">
      <formula1>"EvenOdd, LeftRight"</formula1>
    </dataValidation>
  </dataValidations>
  <pageMargins left="0.7" right="0.7" top="0.75" bottom="0.75" header="0.3" footer="0.3"/>
  <pageSetup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workbookViewId="0">
      <pane xSplit="1" ySplit="2" topLeftCell="B27" activePane="bottomRight" state="frozenSplit"/>
      <selection pane="topRight" activeCell="H1" sqref="H1"/>
      <selection pane="bottomLeft" activeCell="A21" sqref="A21"/>
      <selection pane="bottomRight" activeCell="B56" sqref="B56"/>
    </sheetView>
  </sheetViews>
  <sheetFormatPr defaultRowHeight="15" x14ac:dyDescent="0.25"/>
  <cols>
    <col min="1" max="1" width="34" bestFit="1" customWidth="1"/>
    <col min="2" max="2" width="23.140625" style="7" customWidth="1"/>
  </cols>
  <sheetData>
    <row r="1" spans="1:2" x14ac:dyDescent="0.25">
      <c r="A1" s="5" t="str">
        <f>DSI86_INPUTS!A1</f>
        <v>Panel Vendor</v>
      </c>
      <c r="B1" s="7" t="str">
        <f>DSI86_INPUTS!B$1</f>
        <v xml:space="preserve">JDI 4K </v>
      </c>
    </row>
    <row r="2" spans="1:2" x14ac:dyDescent="0.25">
      <c r="A2" s="5" t="str">
        <f>DSI86_INPUTS!A2</f>
        <v>Panel Model#</v>
      </c>
      <c r="B2" s="7" t="str">
        <f>DSI86_INPUTS!B$2</f>
        <v>UKN</v>
      </c>
    </row>
    <row r="3" spans="1:2" x14ac:dyDescent="0.25">
      <c r="A3" s="5" t="str">
        <f>EDID!$A$3</f>
        <v>Resolution</v>
      </c>
      <c r="B3" s="7" t="e">
        <f>EDID!#REF!</f>
        <v>#REF!</v>
      </c>
    </row>
    <row r="4" spans="1:2" x14ac:dyDescent="0.25">
      <c r="A4" s="1" t="str">
        <f>DSI86_INPUTS!A4</f>
        <v>Hsync (in pixels)</v>
      </c>
      <c r="B4" s="8">
        <f>DSI86_INPUTS!B$4</f>
        <v>32</v>
      </c>
    </row>
    <row r="5" spans="1:2" x14ac:dyDescent="0.25">
      <c r="A5" s="1" t="s">
        <v>16</v>
      </c>
      <c r="B5" s="8" t="str">
        <f>ROUNDUP(B4/B$26, 3) &amp;" us"</f>
        <v>0.062 us</v>
      </c>
    </row>
    <row r="6" spans="1:2" x14ac:dyDescent="0.25">
      <c r="A6" s="5" t="str">
        <f>DSI86_INPUTS!$A$5</f>
        <v>HSync POLARITY</v>
      </c>
      <c r="B6" s="8" t="str">
        <f>DSI86_INPUTS!B$5</f>
        <v>POSITIVE</v>
      </c>
    </row>
    <row r="7" spans="1:2" x14ac:dyDescent="0.25">
      <c r="A7" s="1" t="s">
        <v>12</v>
      </c>
      <c r="B7" s="8">
        <f>DSI86_INPUTS!B$6</f>
        <v>40</v>
      </c>
    </row>
    <row r="8" spans="1:2" x14ac:dyDescent="0.25">
      <c r="A8" s="1" t="s">
        <v>17</v>
      </c>
      <c r="B8" s="8" t="str">
        <f>ROUNDUP(B7/B$26, 3) &amp;" us"</f>
        <v>0.077 us</v>
      </c>
    </row>
    <row r="9" spans="1:2" x14ac:dyDescent="0.25">
      <c r="A9" s="1" t="s">
        <v>13</v>
      </c>
      <c r="B9" s="8">
        <f>DSI86_INPUTS!B$7</f>
        <v>8</v>
      </c>
    </row>
    <row r="10" spans="1:2" x14ac:dyDescent="0.25">
      <c r="A10" s="1" t="s">
        <v>18</v>
      </c>
      <c r="B10" s="8" t="str">
        <f>ROUNDUP(B9/B$26, 3) &amp;" us"</f>
        <v>0.016 us</v>
      </c>
    </row>
    <row r="11" spans="1:2" x14ac:dyDescent="0.25">
      <c r="A11" s="1" t="s">
        <v>14</v>
      </c>
      <c r="B11" s="8">
        <f>DSI86_INPUTS!B$8</f>
        <v>3840</v>
      </c>
    </row>
    <row r="12" spans="1:2" x14ac:dyDescent="0.25">
      <c r="A12" s="1" t="s">
        <v>19</v>
      </c>
      <c r="B12" s="8" t="str">
        <f>ROUNDUP(B11/B$26, 3) &amp;" us"</f>
        <v>7.348 us</v>
      </c>
    </row>
    <row r="13" spans="1:2" x14ac:dyDescent="0.25">
      <c r="A13" s="1" t="s">
        <v>15</v>
      </c>
      <c r="B13" s="9">
        <f t="shared" ref="B13" si="0">SUM(B4:B11)</f>
        <v>3920</v>
      </c>
    </row>
    <row r="14" spans="1:2" x14ac:dyDescent="0.25">
      <c r="A14" s="1" t="s">
        <v>20</v>
      </c>
      <c r="B14" s="8">
        <f>ROUNDUP(B13/B$26, 3)</f>
        <v>7.5010000000000003</v>
      </c>
    </row>
    <row r="15" spans="1:2" x14ac:dyDescent="0.25">
      <c r="A15" s="1" t="s">
        <v>21</v>
      </c>
      <c r="B15" s="8">
        <f>DSI86_INPUTS!B$9</f>
        <v>8</v>
      </c>
    </row>
    <row r="16" spans="1:2" x14ac:dyDescent="0.25">
      <c r="A16" s="1" t="s">
        <v>22</v>
      </c>
      <c r="B16" s="8" t="str">
        <f>ROUNDUP(B15*B$14, 3) &amp;" us"</f>
        <v>60.008 us</v>
      </c>
    </row>
    <row r="17" spans="1:2" x14ac:dyDescent="0.25">
      <c r="A17" s="1" t="s">
        <v>74</v>
      </c>
      <c r="B17" s="8" t="str">
        <f>DSI86_INPUTS!B$10</f>
        <v>POSITIVE</v>
      </c>
    </row>
    <row r="18" spans="1:2" x14ac:dyDescent="0.25">
      <c r="A18" s="1" t="s">
        <v>23</v>
      </c>
      <c r="B18" s="8">
        <f>DSI86_INPUTS!B$11</f>
        <v>6</v>
      </c>
    </row>
    <row r="19" spans="1:2" x14ac:dyDescent="0.25">
      <c r="A19" s="1" t="s">
        <v>24</v>
      </c>
      <c r="B19" s="8" t="str">
        <f>ROUNDUP(B18*B$14, 3) &amp;" us"</f>
        <v>45.006 us</v>
      </c>
    </row>
    <row r="20" spans="1:2" x14ac:dyDescent="0.25">
      <c r="A20" s="1" t="s">
        <v>25</v>
      </c>
      <c r="B20" s="8">
        <f>DSI86_INPUTS!B$12</f>
        <v>48</v>
      </c>
    </row>
    <row r="21" spans="1:2" x14ac:dyDescent="0.25">
      <c r="A21" s="1" t="s">
        <v>26</v>
      </c>
      <c r="B21" s="8" t="str">
        <f>ROUNDUP(B20*B$14, 3) &amp;" us"</f>
        <v>360.048 us</v>
      </c>
    </row>
    <row r="22" spans="1:2" x14ac:dyDescent="0.25">
      <c r="A22" s="1" t="s">
        <v>27</v>
      </c>
      <c r="B22" s="8">
        <f>DSI86_INPUTS!B$13</f>
        <v>2160</v>
      </c>
    </row>
    <row r="23" spans="1:2" x14ac:dyDescent="0.25">
      <c r="A23" s="1" t="s">
        <v>28</v>
      </c>
      <c r="B23" s="8" t="str">
        <f>ROUNDUP(B22*B$14, 3) &amp;" us"</f>
        <v>16202.16 us</v>
      </c>
    </row>
    <row r="24" spans="1:2" x14ac:dyDescent="0.25">
      <c r="A24" s="1" t="s">
        <v>29</v>
      </c>
      <c r="B24" s="8">
        <f t="shared" ref="B24" si="1">SUM(B15:B22)</f>
        <v>2222</v>
      </c>
    </row>
    <row r="25" spans="1:2" x14ac:dyDescent="0.25">
      <c r="A25" s="1" t="s">
        <v>30</v>
      </c>
      <c r="B25" s="8">
        <f>ROUNDUP(B24*B$14, 3)</f>
        <v>16667.222000000002</v>
      </c>
    </row>
    <row r="26" spans="1:2" x14ac:dyDescent="0.25">
      <c r="A26" s="1" t="s">
        <v>9</v>
      </c>
      <c r="B26" s="8">
        <f>DSI86_INPUTS!B$14</f>
        <v>522.61</v>
      </c>
    </row>
    <row r="27" spans="1:2" x14ac:dyDescent="0.25">
      <c r="A27" s="1" t="s">
        <v>31</v>
      </c>
      <c r="B27" s="8">
        <f>ROUNDUP(B13 * B24 * (1/B25)*B49, 3)</f>
        <v>9406.746000000001</v>
      </c>
    </row>
    <row r="28" spans="1:2" x14ac:dyDescent="0.25">
      <c r="A28" s="1" t="s">
        <v>32</v>
      </c>
      <c r="B28" s="8">
        <f>DSI86_INPUTS!B$15</f>
        <v>4</v>
      </c>
    </row>
    <row r="29" spans="1:2" x14ac:dyDescent="0.25">
      <c r="A29" s="1" t="s">
        <v>33</v>
      </c>
      <c r="B29" s="8">
        <f>DSI86_INPUTS!B$16</f>
        <v>4</v>
      </c>
    </row>
    <row r="30" spans="1:2" x14ac:dyDescent="0.25">
      <c r="A30" s="1" t="s">
        <v>34</v>
      </c>
      <c r="B30" s="8" t="str">
        <f>DSI86_INPUTS!B$17</f>
        <v>HBR2</v>
      </c>
    </row>
    <row r="31" spans="1:2" x14ac:dyDescent="0.25">
      <c r="A31" s="1" t="str">
        <f>DSI86_INPUTS!$A$18</f>
        <v># of DSI A Lanes</v>
      </c>
      <c r="B31" s="8">
        <f>DSI86_INPUTS!B$18</f>
        <v>4</v>
      </c>
    </row>
    <row r="32" spans="1:2" x14ac:dyDescent="0.25">
      <c r="A32" s="1" t="str">
        <f>DSI86_INPUTS!$A$19</f>
        <v># of DSI B Lanes</v>
      </c>
      <c r="B32" s="8">
        <f>DSI86_INPUTS!B$19</f>
        <v>4</v>
      </c>
    </row>
    <row r="33" spans="1:2" x14ac:dyDescent="0.25">
      <c r="A33" s="1" t="str">
        <f>DSI86_INPUTS!$A$21</f>
        <v>DSI Channel Mode</v>
      </c>
      <c r="B33" s="8" t="str">
        <f>DSI86_INPUTS!B$21</f>
        <v>Dual</v>
      </c>
    </row>
    <row r="34" spans="1:2" x14ac:dyDescent="0.25">
      <c r="A34" s="1" t="str">
        <f>DSI86_INPUTS!$A$22</f>
        <v>Even/Odd or Left/Right</v>
      </c>
      <c r="B34" s="8" t="str">
        <f>DSI86_INPUTS!B$22</f>
        <v>EvenOdd</v>
      </c>
    </row>
    <row r="35" spans="1:2" x14ac:dyDescent="0.25">
      <c r="A35" s="1" t="str">
        <f>DSI86_INPUTS!$A$20</f>
        <v>DSI Video mode</v>
      </c>
      <c r="B35" s="15" t="str">
        <f>DSI86_INPUTS!B$20</f>
        <v>RGB666</v>
      </c>
    </row>
    <row r="36" spans="1:2" x14ac:dyDescent="0.25">
      <c r="B36"/>
    </row>
    <row r="37" spans="1:2" x14ac:dyDescent="0.25">
      <c r="A37" s="14" t="str">
        <f>DSI86_INPUTS!A25</f>
        <v>LEFTRIGHT MODE ONLY</v>
      </c>
      <c r="B37"/>
    </row>
    <row r="38" spans="1:2" x14ac:dyDescent="0.25">
      <c r="A38" s="20" t="str">
        <f>DSI86_INPUTS!A26</f>
        <v>Right Pixel Start</v>
      </c>
      <c r="B38" s="15">
        <f>DSI86_INPUTS!B$26</f>
        <v>1026</v>
      </c>
    </row>
    <row r="39" spans="1:2" x14ac:dyDescent="0.25">
      <c r="A39" s="20" t="str">
        <f>DSI86_INPUTS!A27</f>
        <v>LEFT HACTIVE</v>
      </c>
      <c r="B39" s="15">
        <f>DSI86_INPUTS!B$27</f>
        <v>1025</v>
      </c>
    </row>
    <row r="40" spans="1:2" x14ac:dyDescent="0.25">
      <c r="A40" s="20" t="str">
        <f>DSI86_INPUTS!A28</f>
        <v>RIGHT HACTIVE</v>
      </c>
      <c r="B40" s="15">
        <f>DSI86_INPUTS!B$28</f>
        <v>2815</v>
      </c>
    </row>
    <row r="41" spans="1:2" x14ac:dyDescent="0.25">
      <c r="A41" s="20" t="str">
        <f>DSI86_INPUTS!A29</f>
        <v>LEFT CROP</v>
      </c>
      <c r="B41" s="15">
        <f>DSI86_INPUTS!B$29</f>
        <v>1</v>
      </c>
    </row>
    <row r="42" spans="1:2" x14ac:dyDescent="0.25">
      <c r="A42" s="20" t="str">
        <f>DSI86_INPUTS!A30</f>
        <v>RIGHT CROP</v>
      </c>
      <c r="B42" s="15">
        <f>DSI86_INPUTS!B$30</f>
        <v>1</v>
      </c>
    </row>
    <row r="43" spans="1:2" x14ac:dyDescent="0.25">
      <c r="A43" s="20" t="str">
        <f>DSI86_INPUTS!A31</f>
        <v>HACTIVE with Crop</v>
      </c>
      <c r="B43" s="15">
        <f>DSI86_INPUTS!B$31</f>
        <v>3842</v>
      </c>
    </row>
    <row r="44" spans="1:2" x14ac:dyDescent="0.25">
      <c r="A44" s="20" t="s">
        <v>90</v>
      </c>
      <c r="B44" s="15">
        <f>(B$39+B$41)/B$43</f>
        <v>0.2670484122852681</v>
      </c>
    </row>
    <row r="45" spans="1:2" x14ac:dyDescent="0.25">
      <c r="A45" s="20" t="s">
        <v>91</v>
      </c>
      <c r="B45" s="15">
        <f>(B$40+B$42)/B$43</f>
        <v>0.7329515877147319</v>
      </c>
    </row>
    <row r="46" spans="1:2" x14ac:dyDescent="0.25">
      <c r="A46" s="20" t="s">
        <v>92</v>
      </c>
      <c r="B46" s="8">
        <f>IF((B$26*B$49)/((B$31+B$32)*2)&lt;755,(B$26*B$49)/((B$31+B$32)*2),"CLK TO FAST")</f>
        <v>587.93624999999997</v>
      </c>
    </row>
    <row r="47" spans="1:2" x14ac:dyDescent="0.25">
      <c r="A47" s="20" t="s">
        <v>93</v>
      </c>
      <c r="B47" s="8">
        <f>IF((B$26*B$49)/((B$31+B$32)*2)&lt;755,(B$26*B$49)/((B$31+B$32)*2),"CLK TO FAST")</f>
        <v>587.93624999999997</v>
      </c>
    </row>
    <row r="49" spans="1:2" x14ac:dyDescent="0.25">
      <c r="A49" s="2" t="s">
        <v>1</v>
      </c>
      <c r="B49" s="8">
        <f t="shared" ref="B49" si="2" xml:space="preserve"> IF(B35="RGB666", 18, 24)</f>
        <v>18</v>
      </c>
    </row>
    <row r="50" spans="1:2" ht="30" x14ac:dyDescent="0.25">
      <c r="A50" s="3" t="s">
        <v>81</v>
      </c>
      <c r="B50" s="8">
        <f>IF((B$26*B$49)/((B$31+B$32)*2)&lt;755,(B$26*B$49)/((B$31+B$32)*2),"CLK TO FAST")</f>
        <v>587.93624999999997</v>
      </c>
    </row>
    <row r="52" spans="1:2" x14ac:dyDescent="0.25">
      <c r="A52" s="2" t="s">
        <v>2</v>
      </c>
      <c r="B52" s="8">
        <f t="shared" ref="B52" si="3" xml:space="preserve"> B49*B13</f>
        <v>70560</v>
      </c>
    </row>
    <row r="53" spans="1:2" ht="30" x14ac:dyDescent="0.25">
      <c r="A53" s="3" t="s">
        <v>10</v>
      </c>
      <c r="B53" s="8">
        <f t="shared" ref="B53" si="4" xml:space="preserve"> IF((B$52/B$14)/(2*(B$31+B$32)) &lt; 755,  (B$52/B$14)/(2*(B$31+B$32)),"CLK TO FAST")</f>
        <v>587.92161045193973</v>
      </c>
    </row>
    <row r="54" spans="1:2" x14ac:dyDescent="0.25">
      <c r="B54"/>
    </row>
    <row r="55" spans="1:2" x14ac:dyDescent="0.25">
      <c r="A55" s="3" t="s">
        <v>37</v>
      </c>
      <c r="B55" s="8">
        <f>IF(B$30="HBR2",0.8*5400,IF(B$30="HBR",0.8*2700,IF(B$30="RBR",0.8*1620,0)))</f>
        <v>4320</v>
      </c>
    </row>
    <row r="56" spans="1:2" x14ac:dyDescent="0.25">
      <c r="A56" s="3" t="s">
        <v>41</v>
      </c>
      <c r="B56" s="8">
        <f>IF(B$30="HBR2",0.8*2700,IF(B$30="HBR",0.8*2700,IF(B$30="RBR",0.8*1620,0)))</f>
        <v>2160</v>
      </c>
    </row>
    <row r="57" spans="1:2" x14ac:dyDescent="0.25">
      <c r="A57" s="3" t="s">
        <v>38</v>
      </c>
      <c r="B57" s="8">
        <f>0.8 * 1620</f>
        <v>1296</v>
      </c>
    </row>
    <row r="58" spans="1:2" x14ac:dyDescent="0.25">
      <c r="A58" s="3" t="s">
        <v>35</v>
      </c>
      <c r="B58" s="8">
        <f>IF(B$28=B$29,B$28,IF(B$28&lt;B$29,B$28,B$29))</f>
        <v>4</v>
      </c>
    </row>
    <row r="59" spans="1:2" x14ac:dyDescent="0.25">
      <c r="A59" s="3" t="s">
        <v>36</v>
      </c>
      <c r="B59" s="8">
        <f>B$55 * B$58</f>
        <v>17280</v>
      </c>
    </row>
    <row r="60" spans="1:2" x14ac:dyDescent="0.25">
      <c r="A60" s="3" t="s">
        <v>39</v>
      </c>
      <c r="B60" s="8">
        <f t="shared" ref="B60" si="5">IF(B$27&gt;B$59,"Not Enough BW",IF(B$58&lt;2,1,IF(B$58&lt;4,IF(B$27&lt;B$57,1,IF(B$27&lt;B$56,1,IF(B$27&lt;B$55,1,2))),IF(B$27&lt;B$57,1,IF(B$27&lt;B$56,1,IF(B$27&lt;B$55,1,IF(B$27&lt;B$57*2,2,IF(B$27&lt;B$56*2,2,IF(B$27&lt;B$55*2,2,4)))))))))</f>
        <v>4</v>
      </c>
    </row>
    <row r="61" spans="1:2" x14ac:dyDescent="0.25">
      <c r="A61" s="3" t="s">
        <v>40</v>
      </c>
      <c r="B61" s="8" t="str">
        <f t="shared" ref="B61" si="6">IF(B$27 &lt; B$60 * B$57, "RBR", IF(B$27 &lt; B$60 *B$56, "HBR", "HBR2" ))</f>
        <v>HBR2</v>
      </c>
    </row>
    <row r="62" spans="1:2" x14ac:dyDescent="0.25">
      <c r="B62"/>
    </row>
    <row r="63" spans="1:2" x14ac:dyDescent="0.25">
      <c r="B63"/>
    </row>
    <row r="64" spans="1:2" x14ac:dyDescent="0.25">
      <c r="B64"/>
    </row>
    <row r="65" spans="1:1" x14ac:dyDescent="0.25">
      <c r="A65" s="2"/>
    </row>
    <row r="66" spans="1:1" x14ac:dyDescent="0.25">
      <c r="A66" s="3" t="s">
        <v>5</v>
      </c>
    </row>
    <row r="67" spans="1:1" x14ac:dyDescent="0.25">
      <c r="A67" s="4" t="s">
        <v>6</v>
      </c>
    </row>
    <row r="68" spans="1:1" x14ac:dyDescent="0.25">
      <c r="A68" s="11" t="s">
        <v>4</v>
      </c>
    </row>
  </sheetData>
  <dataValidations count="4">
    <dataValidation type="list" allowBlank="1" showInputMessage="1" showErrorMessage="1" sqref="B35:B37">
      <formula1>"RGB888, RGB666, Loose RGB666"</formula1>
    </dataValidation>
    <dataValidation type="list" allowBlank="1" showInputMessage="1" showErrorMessage="1" sqref="B28:B29">
      <formula1>"1, 2, 4"</formula1>
    </dataValidation>
    <dataValidation type="list" allowBlank="1" showInputMessage="1" showErrorMessage="1" sqref="B30">
      <formula1>"RBR, HBR, HBR2"</formula1>
    </dataValidation>
    <dataValidation type="list" allowBlank="1" showInputMessage="1" showErrorMessage="1" sqref="B17 B6">
      <formula1>"POSITIVE, NEGATIVE"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tabSelected="1" workbookViewId="0">
      <pane xSplit="1" ySplit="4" topLeftCell="B5" activePane="bottomRight" state="frozenSplit"/>
      <selection pane="topRight" activeCell="B1" sqref="B1"/>
      <selection pane="bottomLeft" activeCell="A5" sqref="A5"/>
      <selection pane="bottomRight" activeCell="D39" sqref="D39"/>
    </sheetView>
  </sheetViews>
  <sheetFormatPr defaultRowHeight="15" x14ac:dyDescent="0.25"/>
  <cols>
    <col min="1" max="1" width="32.5703125" bestFit="1" customWidth="1"/>
    <col min="2" max="2" width="16.5703125" style="7" bestFit="1" customWidth="1"/>
  </cols>
  <sheetData>
    <row r="1" spans="1:2" x14ac:dyDescent="0.25">
      <c r="A1" s="17" t="str">
        <f>DSI86_INPUTS!A$1</f>
        <v>Panel Vendor</v>
      </c>
      <c r="B1" s="7" t="str">
        <f>DSI86_INPUTS!B$1</f>
        <v xml:space="preserve">JDI 4K </v>
      </c>
    </row>
    <row r="2" spans="1:2" x14ac:dyDescent="0.25">
      <c r="A2" s="17" t="str">
        <f>DSI86_INPUTS!A$2</f>
        <v>Panel Model#</v>
      </c>
      <c r="B2" s="7" t="str">
        <f>DSI86_INPUTS!B$2</f>
        <v>UKN</v>
      </c>
    </row>
    <row r="3" spans="1:2" x14ac:dyDescent="0.25">
      <c r="A3" s="17" t="str">
        <f>EDID!$A$3</f>
        <v>Resolution</v>
      </c>
      <c r="B3" s="7" t="e">
        <f>EDID!#REF!</f>
        <v>#REF!</v>
      </c>
    </row>
    <row r="4" spans="1:2" x14ac:dyDescent="0.25">
      <c r="B4" s="14" t="s">
        <v>3</v>
      </c>
    </row>
    <row r="5" spans="1:2" x14ac:dyDescent="0.25">
      <c r="A5" s="5" t="s">
        <v>42</v>
      </c>
    </row>
    <row r="6" spans="1:2" x14ac:dyDescent="0.25">
      <c r="A6" s="13" t="s">
        <v>43</v>
      </c>
      <c r="B6" s="8">
        <f>IF(DSI86_INPUTS!B$23 = 13,0,IF(DSI86_INPUTS!B$23 = 38.4,4,IF(DSI86_INPUTS!B$23=26,2,IF(DSI86_INPUTS!B$23 = 27,3,1))))</f>
        <v>3</v>
      </c>
    </row>
    <row r="8" spans="1:2" x14ac:dyDescent="0.25">
      <c r="A8" s="6" t="s">
        <v>44</v>
      </c>
    </row>
    <row r="9" spans="1:2" x14ac:dyDescent="0.25">
      <c r="A9" s="13" t="s">
        <v>45</v>
      </c>
      <c r="B9" s="8">
        <f>IF(Calcs!B$34="EvenOdd",0,1)</f>
        <v>0</v>
      </c>
    </row>
    <row r="10" spans="1:2" x14ac:dyDescent="0.25">
      <c r="A10" s="13" t="s">
        <v>46</v>
      </c>
      <c r="B10" s="8">
        <f>IF(Calcs!B$33="Single",1,0)</f>
        <v>0</v>
      </c>
    </row>
    <row r="11" spans="1:2" x14ac:dyDescent="0.25">
      <c r="A11" s="13" t="s">
        <v>47</v>
      </c>
      <c r="B11" s="8">
        <f>IF(Calcs!B$31=4,0,IF(Calcs!B$31=3,1,IF(Calcs!B$31=2,2,3)))</f>
        <v>0</v>
      </c>
    </row>
    <row r="12" spans="1:2" x14ac:dyDescent="0.25">
      <c r="A12" s="13" t="s">
        <v>69</v>
      </c>
      <c r="B12" s="8">
        <f>IF(Calcs!B$32=4,0,IF(Calcs!B$32=3,1,IF(Calcs!B$32=2,2,3)))</f>
        <v>0</v>
      </c>
    </row>
    <row r="13" spans="1:2" x14ac:dyDescent="0.25">
      <c r="A13" s="13" t="s">
        <v>48</v>
      </c>
      <c r="B13" s="8" t="str">
        <f>DEC2HEX(ROUNDDOWN(Calcs!B$50/5,0),2)</f>
        <v>75</v>
      </c>
    </row>
    <row r="14" spans="1:2" x14ac:dyDescent="0.25">
      <c r="A14" s="13" t="s">
        <v>49</v>
      </c>
      <c r="B14" s="8" t="str">
        <f>B$13</f>
        <v>75</v>
      </c>
    </row>
    <row r="16" spans="1:2" x14ac:dyDescent="0.25">
      <c r="A16" s="6" t="s">
        <v>50</v>
      </c>
    </row>
    <row r="17" spans="1:2" x14ac:dyDescent="0.25">
      <c r="A17" s="13" t="s">
        <v>51</v>
      </c>
      <c r="B17" s="8" t="str">
        <f>IF(AND(B$10=1,B$9=0),RIGHT(DEC2HEX(Calcs!B$11,4),2),RIGHT(DEC2HEX(Calcs!B$11/2,4),2))</f>
        <v>80</v>
      </c>
    </row>
    <row r="18" spans="1:2" x14ac:dyDescent="0.25">
      <c r="A18" s="13" t="s">
        <v>52</v>
      </c>
      <c r="B18" s="8" t="str">
        <f>IF(AND(B$10=1,B$9=0),LEFT(DEC2HEX(Calcs!B$11,4),2),LEFT(DEC2HEX(Calcs!B$11/2,4),2))</f>
        <v>07</v>
      </c>
    </row>
    <row r="19" spans="1:2" x14ac:dyDescent="0.25">
      <c r="A19" s="13" t="s">
        <v>53</v>
      </c>
      <c r="B19" s="8" t="str">
        <f>IF(AND(B$10=1,B$9=0),0,RIGHT(DEC2HEX(Calcs!B$11/2,4),2))</f>
        <v>80</v>
      </c>
    </row>
    <row r="20" spans="1:2" x14ac:dyDescent="0.25">
      <c r="A20" s="13" t="s">
        <v>54</v>
      </c>
      <c r="B20" s="8" t="str">
        <f>IF(AND(B$10=1,B$9=0),0,LEFT(DEC2HEX(Calcs!B$11/2,4),2))</f>
        <v>07</v>
      </c>
    </row>
    <row r="21" spans="1:2" x14ac:dyDescent="0.25">
      <c r="A21" s="13" t="s">
        <v>55</v>
      </c>
      <c r="B21" s="8" t="str">
        <f>RIGHT(DEC2HEX(Calcs!B$22,4),2)</f>
        <v>70</v>
      </c>
    </row>
    <row r="22" spans="1:2" x14ac:dyDescent="0.25">
      <c r="A22" s="13" t="s">
        <v>56</v>
      </c>
      <c r="B22" s="8" t="str">
        <f>LEFT(DEC2HEX(Calcs!B$22,4),2)</f>
        <v>08</v>
      </c>
    </row>
    <row r="23" spans="1:2" x14ac:dyDescent="0.25">
      <c r="A23" s="13" t="s">
        <v>57</v>
      </c>
      <c r="B23" s="8" t="str">
        <f>RIGHT(DEC2HEX(Calcs!B$4,4),2)</f>
        <v>20</v>
      </c>
    </row>
    <row r="24" spans="1:2" x14ac:dyDescent="0.25">
      <c r="A24" s="13" t="s">
        <v>58</v>
      </c>
      <c r="B24" s="8" t="str">
        <f>LEFT(DEC2HEX(Calcs!B$4,4),2)</f>
        <v>00</v>
      </c>
    </row>
    <row r="25" spans="1:2" x14ac:dyDescent="0.25">
      <c r="A25" s="13" t="s">
        <v>59</v>
      </c>
      <c r="B25" s="8">
        <f>IF(Calcs!B$6 = "POSITIVE",0,1)</f>
        <v>0</v>
      </c>
    </row>
    <row r="26" spans="1:2" x14ac:dyDescent="0.25">
      <c r="A26" s="13" t="s">
        <v>60</v>
      </c>
      <c r="B26" s="8" t="str">
        <f>RIGHT(DEC2HEX(Calcs!B$15,4),2)</f>
        <v>08</v>
      </c>
    </row>
    <row r="27" spans="1:2" x14ac:dyDescent="0.25">
      <c r="A27" s="13" t="s">
        <v>61</v>
      </c>
      <c r="B27" s="8" t="str">
        <f>LEFT(DEC2HEX(Calcs!B$15,4),2)</f>
        <v>00</v>
      </c>
    </row>
    <row r="28" spans="1:2" x14ac:dyDescent="0.25">
      <c r="A28" s="13" t="s">
        <v>62</v>
      </c>
      <c r="B28" s="8">
        <f>IF(Calcs!B$17="POSITIVE",0,1)</f>
        <v>0</v>
      </c>
    </row>
    <row r="29" spans="1:2" x14ac:dyDescent="0.25">
      <c r="A29" s="13" t="s">
        <v>63</v>
      </c>
      <c r="B29" s="8" t="str">
        <f>DEC2HEX(Calcs!B$7,2)</f>
        <v>28</v>
      </c>
    </row>
    <row r="30" spans="1:2" x14ac:dyDescent="0.25">
      <c r="A30" s="13" t="s">
        <v>64</v>
      </c>
      <c r="B30" s="8" t="str">
        <f>DEC2HEX(Calcs!B$18,2)</f>
        <v>06</v>
      </c>
    </row>
    <row r="31" spans="1:2" x14ac:dyDescent="0.25">
      <c r="A31" s="13" t="s">
        <v>65</v>
      </c>
      <c r="B31" s="8" t="str">
        <f>DEC2HEX(Calcs!B$9,2)</f>
        <v>08</v>
      </c>
    </row>
    <row r="32" spans="1:2" x14ac:dyDescent="0.25">
      <c r="A32" s="13" t="s">
        <v>66</v>
      </c>
      <c r="B32" s="8" t="str">
        <f>DEC2HEX(Calcs!B$20,2)</f>
        <v>30</v>
      </c>
    </row>
    <row r="33" spans="1:2" x14ac:dyDescent="0.25">
      <c r="A33" s="13" t="s">
        <v>67</v>
      </c>
    </row>
    <row r="34" spans="1:2" x14ac:dyDescent="0.25">
      <c r="A34" s="13" t="s">
        <v>68</v>
      </c>
    </row>
    <row r="36" spans="1:2" x14ac:dyDescent="0.25">
      <c r="A36" s="6" t="s">
        <v>70</v>
      </c>
    </row>
    <row r="37" spans="1:2" x14ac:dyDescent="0.25">
      <c r="A37" s="13" t="s">
        <v>71</v>
      </c>
      <c r="B37" s="8">
        <f>IF(Calcs!B$60=4,3,Calcs!B$60)</f>
        <v>3</v>
      </c>
    </row>
    <row r="38" spans="1:2" x14ac:dyDescent="0.25">
      <c r="A38" s="13" t="s">
        <v>72</v>
      </c>
      <c r="B38" s="8">
        <f>IF(Calcs!B$61="HBR2",7,IF(Calcs!B$61="HBR",4,IF(Calcs!B$61="RBR",1,Calcs!B$61)))</f>
        <v>7</v>
      </c>
    </row>
    <row r="41" spans="1:2" x14ac:dyDescent="0.25">
      <c r="A41" s="3" t="s">
        <v>5</v>
      </c>
    </row>
    <row r="42" spans="1:2" x14ac:dyDescent="0.25">
      <c r="A42" s="4" t="s">
        <v>6</v>
      </c>
    </row>
    <row r="43" spans="1:2" x14ac:dyDescent="0.25">
      <c r="A43" s="11" t="s">
        <v>4</v>
      </c>
    </row>
  </sheetData>
  <pageMargins left="0.7" right="0.7" top="0.75" bottom="0.75" header="0.3" footer="0.3"/>
  <pageSetup orientation="portrait" horizontalDpi="3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EDID</vt:lpstr>
      <vt:lpstr>DSI86_INPUTS</vt:lpstr>
      <vt:lpstr>Calcs</vt:lpstr>
      <vt:lpstr>CSR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Yoon</dc:creator>
  <cp:lastModifiedBy>Windows User</cp:lastModifiedBy>
  <cp:lastPrinted>2012-07-10T14:23:45Z</cp:lastPrinted>
  <dcterms:created xsi:type="dcterms:W3CDTF">2011-10-06T18:24:32Z</dcterms:created>
  <dcterms:modified xsi:type="dcterms:W3CDTF">2017-06-27T19:21:57Z</dcterms:modified>
</cp:coreProperties>
</file>