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defaultThemeVersion="124226"/>
  <xr:revisionPtr revIDLastSave="0" documentId="13_ncr:1_{5DFC9999-2FBB-4BED-96CB-000EA4D6302D}" xr6:coauthVersionLast="36" xr6:coauthVersionMax="36" xr10:uidLastSave="{00000000-0000-0000-0000-000000000000}"/>
  <bookViews>
    <workbookView xWindow="0" yWindow="80" windowWidth="10390" windowHeight="7800" tabRatio="841" xr2:uid="{00000000-000D-0000-FFFF-FFFF00000000}"/>
  </bookViews>
  <sheets>
    <sheet name="Inverting Calculator" sheetId="3" r:id="rId1"/>
    <sheet name="Non-inverting Calculator" sheetId="8" r:id="rId2"/>
    <sheet name="3 Resistor Calculator tool" sheetId="1" r:id="rId3"/>
    <sheet name="Reverse Thevenin tool" sheetId="7" r:id="rId4"/>
    <sheet name="Standard Resistor Tables" sheetId="9" r:id="rId5"/>
  </sheets>
  <calcPr calcId="191029"/>
</workbook>
</file>

<file path=xl/calcChain.xml><?xml version="1.0" encoding="utf-8"?>
<calcChain xmlns="http://schemas.openxmlformats.org/spreadsheetml/2006/main">
  <c r="B30" i="3" l="1"/>
  <c r="B22" i="1"/>
  <c r="B46" i="3" l="1"/>
  <c r="B177" i="8" l="1"/>
  <c r="B66" i="1" l="1"/>
  <c r="C69" i="1"/>
  <c r="B69" i="1"/>
  <c r="E23" i="7"/>
  <c r="B247" i="8" l="1"/>
  <c r="C269" i="8" l="1"/>
  <c r="B269" i="8"/>
  <c r="B267" i="8"/>
  <c r="U252" i="8"/>
  <c r="B264" i="8"/>
  <c r="B225" i="8"/>
  <c r="H28" i="3"/>
  <c r="H34" i="3"/>
  <c r="C230" i="8"/>
  <c r="B230" i="8"/>
  <c r="B228" i="8"/>
  <c r="U204" i="8"/>
  <c r="B224" i="8"/>
  <c r="B204" i="8"/>
  <c r="B221" i="8" s="1"/>
  <c r="B195" i="8"/>
  <c r="B194" i="8"/>
  <c r="C182" i="8"/>
  <c r="B182" i="8"/>
  <c r="B180" i="8"/>
  <c r="B176" i="8"/>
  <c r="U156" i="8"/>
  <c r="B156" i="8"/>
  <c r="B147" i="8"/>
  <c r="B146" i="8"/>
  <c r="W123" i="8"/>
  <c r="W122" i="8"/>
  <c r="U121" i="8"/>
  <c r="U124" i="8" s="1"/>
  <c r="V120" i="8"/>
  <c r="V119" i="8"/>
  <c r="W118" i="8"/>
  <c r="W121" i="8" s="1"/>
  <c r="V118" i="8"/>
  <c r="V124" i="8" s="1"/>
  <c r="U117" i="8"/>
  <c r="C134" i="8"/>
  <c r="B134" i="8"/>
  <c r="U116" i="8"/>
  <c r="X115" i="8"/>
  <c r="W124" i="8" s="1"/>
  <c r="U111" i="8"/>
  <c r="B128" i="8"/>
  <c r="B125" i="8"/>
  <c r="C94" i="8"/>
  <c r="B94" i="8"/>
  <c r="B90" i="8"/>
  <c r="B100" i="8" s="1"/>
  <c r="B88" i="8"/>
  <c r="B87" i="8"/>
  <c r="B196" i="8" l="1"/>
  <c r="B199" i="8" s="1"/>
  <c r="B205" i="8" s="1"/>
  <c r="V121" i="8"/>
  <c r="U118" i="8"/>
  <c r="B148" i="8"/>
  <c r="E235" i="8" l="1"/>
  <c r="B200" i="8"/>
  <c r="B152" i="8"/>
  <c r="E187" i="8"/>
  <c r="B151" i="8"/>
  <c r="B157" i="8" s="1"/>
  <c r="T163" i="8" s="1"/>
  <c r="B222" i="8"/>
  <c r="B233" i="8" l="1"/>
  <c r="C232" i="8" s="1"/>
  <c r="B175" i="8"/>
  <c r="B185" i="8" s="1"/>
  <c r="B184" i="8" s="1"/>
  <c r="B206" i="8"/>
  <c r="B207" i="8" s="1"/>
  <c r="B158" i="8"/>
  <c r="B232" i="8" l="1"/>
  <c r="T212" i="8" s="1"/>
  <c r="B208" i="8"/>
  <c r="C184" i="8"/>
  <c r="T165" i="8" s="1"/>
  <c r="B164" i="8"/>
  <c r="B163" i="8"/>
  <c r="B38" i="8" l="1"/>
  <c r="B106" i="8" l="1"/>
  <c r="B110" i="8" s="1"/>
  <c r="B165" i="8"/>
  <c r="B209" i="8"/>
  <c r="B260" i="8" l="1"/>
  <c r="B215" i="8"/>
  <c r="U205" i="8" s="1"/>
  <c r="B214" i="8"/>
  <c r="U206" i="8" s="1"/>
  <c r="B166" i="8"/>
  <c r="U158" i="8" s="1"/>
  <c r="B167" i="8"/>
  <c r="U157" i="8" s="1"/>
  <c r="B114" i="8"/>
  <c r="B115" i="8" s="1"/>
  <c r="B129" i="8" s="1"/>
  <c r="B108" i="8"/>
  <c r="E13" i="7"/>
  <c r="E14" i="7" l="1"/>
  <c r="E25" i="7" s="1"/>
  <c r="E24" i="7"/>
  <c r="E31" i="7" s="1"/>
  <c r="U160" i="8"/>
  <c r="B169" i="8" s="1"/>
  <c r="B179" i="8" s="1"/>
  <c r="U208" i="8"/>
  <c r="B217" i="8" s="1"/>
  <c r="B227" i="8" s="1"/>
  <c r="B130" i="8"/>
  <c r="B140" i="8" s="1"/>
  <c r="B138" i="8" s="1"/>
  <c r="J28" i="8" s="1"/>
  <c r="U109" i="8"/>
  <c r="C59" i="3"/>
  <c r="B59" i="3"/>
  <c r="B53" i="3"/>
  <c r="C61" i="8"/>
  <c r="C63" i="8" s="1"/>
  <c r="B61" i="8"/>
  <c r="B63" i="8" s="1"/>
  <c r="B59" i="8"/>
  <c r="U51" i="8"/>
  <c r="B45" i="8"/>
  <c r="B56" i="8" s="1"/>
  <c r="E30" i="7" l="1"/>
  <c r="U207" i="8"/>
  <c r="B216" i="8" s="1"/>
  <c r="B226" i="8" s="1"/>
  <c r="U159" i="8"/>
  <c r="B47" i="8"/>
  <c r="U55" i="8" s="1"/>
  <c r="T59" i="8"/>
  <c r="U113" i="8"/>
  <c r="V113" i="8"/>
  <c r="V116" i="8" s="1"/>
  <c r="V122" i="8" s="1"/>
  <c r="W113" i="8"/>
  <c r="W116" i="8" s="1"/>
  <c r="W119" i="8" s="1"/>
  <c r="B39" i="8"/>
  <c r="B168" i="8" l="1"/>
  <c r="B178" i="8" s="1"/>
  <c r="B65" i="8"/>
  <c r="U52" i="8" s="1"/>
  <c r="B242" i="8"/>
  <c r="B235" i="8"/>
  <c r="B236" i="8"/>
  <c r="B80" i="8"/>
  <c r="U110" i="8"/>
  <c r="B81" i="8"/>
  <c r="U119" i="8"/>
  <c r="U122" i="8" s="1"/>
  <c r="B187" i="8" l="1"/>
  <c r="B188" i="8"/>
  <c r="B186" i="8" s="1"/>
  <c r="J29" i="8" s="1"/>
  <c r="T164" i="8"/>
  <c r="T167" i="8" s="1"/>
  <c r="I29" i="8" s="1"/>
  <c r="E274" i="8"/>
  <c r="B243" i="8"/>
  <c r="B76" i="8"/>
  <c r="E98" i="8" s="1"/>
  <c r="U57" i="8"/>
  <c r="B78" i="8"/>
  <c r="B89" i="8" s="1"/>
  <c r="B98" i="8" s="1"/>
  <c r="J27" i="8" s="1"/>
  <c r="V114" i="8"/>
  <c r="V117" i="8" s="1"/>
  <c r="V123" i="8" s="1"/>
  <c r="U114" i="8"/>
  <c r="W114" i="8"/>
  <c r="W117" i="8" s="1"/>
  <c r="W120" i="8" s="1"/>
  <c r="C183" i="8" l="1"/>
  <c r="B183" i="8"/>
  <c r="U56" i="8"/>
  <c r="B48" i="8" s="1"/>
  <c r="B49" i="8"/>
  <c r="B58" i="8" s="1"/>
  <c r="E65" i="8" s="1"/>
  <c r="B261" i="8"/>
  <c r="B248" i="8"/>
  <c r="B85" i="8"/>
  <c r="B97" i="8" s="1"/>
  <c r="C96" i="8" s="1"/>
  <c r="C95" i="8" s="1"/>
  <c r="E185" i="8"/>
  <c r="T76" i="8"/>
  <c r="U120" i="8"/>
  <c r="U123" i="8" s="1"/>
  <c r="W126" i="8"/>
  <c r="B272" i="8" l="1"/>
  <c r="C271" i="8" s="1"/>
  <c r="B249" i="8"/>
  <c r="B253" i="8" s="1"/>
  <c r="U254" i="8" s="1"/>
  <c r="B96" i="8"/>
  <c r="B95" i="8" s="1"/>
  <c r="T58" i="8"/>
  <c r="T61" i="8" s="1"/>
  <c r="U127" i="8"/>
  <c r="B121" i="8" s="1"/>
  <c r="B127" i="8" s="1"/>
  <c r="B137" i="8" s="1"/>
  <c r="U125" i="8"/>
  <c r="U126" i="8"/>
  <c r="B120" i="8" s="1"/>
  <c r="B57" i="8"/>
  <c r="B69" i="8" s="1"/>
  <c r="B67" i="8" s="1"/>
  <c r="J26" i="8" s="1"/>
  <c r="B271" i="8" l="1"/>
  <c r="T259" i="8" s="1"/>
  <c r="T77" i="8"/>
  <c r="T79" i="8" s="1"/>
  <c r="E96" i="8" s="1"/>
  <c r="B254" i="8"/>
  <c r="U253" i="8" s="1"/>
  <c r="I26" i="8"/>
  <c r="E63" i="8"/>
  <c r="B126" i="8"/>
  <c r="C136" i="8" s="1"/>
  <c r="T129" i="8"/>
  <c r="B68" i="8"/>
  <c r="B62" i="8" s="1"/>
  <c r="I27" i="8" l="1"/>
  <c r="U256" i="8"/>
  <c r="B256" i="8" s="1"/>
  <c r="B266" i="8" s="1"/>
  <c r="B136" i="8"/>
  <c r="B135" i="8" s="1"/>
  <c r="C135" i="8"/>
  <c r="C62" i="8"/>
  <c r="U255" i="8" l="1"/>
  <c r="B255" i="8" s="1"/>
  <c r="B265" i="8" s="1"/>
  <c r="B275" i="8" s="1"/>
  <c r="B273" i="8" s="1"/>
  <c r="T130" i="8"/>
  <c r="B40" i="3"/>
  <c r="B54" i="3" s="1"/>
  <c r="H29" i="3" l="1"/>
  <c r="B274" i="8"/>
  <c r="B270" i="8" s="1"/>
  <c r="T258" i="8"/>
  <c r="T261" i="8" s="1"/>
  <c r="E272" i="8" s="1"/>
  <c r="T132" i="8"/>
  <c r="I28" i="8" s="1"/>
  <c r="J31" i="8"/>
  <c r="B41" i="3"/>
  <c r="B32" i="1"/>
  <c r="E34" i="1"/>
  <c r="C44" i="1" s="1"/>
  <c r="B38" i="1"/>
  <c r="B39" i="1"/>
  <c r="C40" i="1"/>
  <c r="C48" i="1" s="1"/>
  <c r="D40" i="1"/>
  <c r="D44" i="1" s="1"/>
  <c r="C42" i="1"/>
  <c r="C43" i="1"/>
  <c r="B44" i="1"/>
  <c r="B48" i="1" s="1"/>
  <c r="D46" i="1"/>
  <c r="D47" i="1"/>
  <c r="B42" i="3" l="1"/>
  <c r="H31" i="3"/>
  <c r="B40" i="1"/>
  <c r="D48" i="1"/>
  <c r="C270" i="8"/>
  <c r="I31" i="8"/>
  <c r="E137" i="8"/>
  <c r="B63" i="3"/>
  <c r="D32" i="1"/>
  <c r="D38" i="1" s="1"/>
  <c r="D42" i="1" s="1"/>
  <c r="B23" i="1"/>
  <c r="D33" i="1" s="1"/>
  <c r="D39" i="1" s="1"/>
  <c r="D43" i="1" s="1"/>
  <c r="C32" i="1"/>
  <c r="C38" i="1" s="1"/>
  <c r="C46" i="1" s="1"/>
  <c r="B42" i="1"/>
  <c r="B48" i="3" l="1"/>
  <c r="B49" i="3" s="1"/>
  <c r="C33" i="1"/>
  <c r="C39" i="1" s="1"/>
  <c r="C47" i="1" s="1"/>
  <c r="B33" i="1"/>
  <c r="B43" i="1" s="1"/>
  <c r="B47" i="1" s="1"/>
  <c r="B46" i="1"/>
  <c r="H51" i="3" l="1"/>
  <c r="B56" i="3"/>
  <c r="B50" i="1"/>
  <c r="B51" i="1" s="1"/>
  <c r="B56" i="1" s="1"/>
  <c r="B63" i="1" s="1"/>
  <c r="B53" i="1"/>
  <c r="B58" i="1" s="1"/>
  <c r="B65" i="1" s="1"/>
  <c r="B52" i="1"/>
  <c r="B57" i="1" s="1"/>
  <c r="B64" i="1" s="1"/>
  <c r="H52" i="3" l="1"/>
  <c r="B77" i="1"/>
  <c r="B78" i="1"/>
  <c r="B76" i="1" s="1"/>
  <c r="B234" i="8"/>
  <c r="J30" i="8" s="1"/>
  <c r="T211" i="8"/>
  <c r="B75" i="1" l="1"/>
  <c r="C70" i="1" s="1"/>
  <c r="B73" i="1"/>
  <c r="B72" i="1"/>
  <c r="B231" i="8"/>
  <c r="T214" i="8"/>
  <c r="C231" i="8"/>
  <c r="B70" i="1" l="1"/>
  <c r="I30" i="8"/>
  <c r="E233" i="8"/>
  <c r="H53" i="3"/>
  <c r="B57" i="3" s="1"/>
  <c r="B55" i="3" s="1"/>
  <c r="B61" i="3" l="1"/>
  <c r="H32" i="3"/>
  <c r="B62" i="3"/>
  <c r="C60" i="3" l="1"/>
  <c r="B64" i="3"/>
  <c r="H30" i="3"/>
  <c r="B60" i="3"/>
</calcChain>
</file>

<file path=xl/sharedStrings.xml><?xml version="1.0" encoding="utf-8"?>
<sst xmlns="http://schemas.openxmlformats.org/spreadsheetml/2006/main" count="993" uniqueCount="359">
  <si>
    <t>Note: Negative number means solution is not viable</t>
  </si>
  <si>
    <t>Ohms</t>
  </si>
  <si>
    <t>Resistor C =</t>
  </si>
  <si>
    <t>Resistor B =</t>
  </si>
  <si>
    <t>Resistor A =</t>
  </si>
  <si>
    <t>Step 5: Change conductance back to resistance</t>
  </si>
  <si>
    <t>Solve for c</t>
  </si>
  <si>
    <t>Solve for b</t>
  </si>
  <si>
    <t>Solve for a</t>
  </si>
  <si>
    <t>Common denominator / numerator</t>
  </si>
  <si>
    <t>Numerator for solve 'c'
Denominator for solve 'C'</t>
  </si>
  <si>
    <t>Constant</t>
  </si>
  <si>
    <t>b</t>
  </si>
  <si>
    <t>a</t>
  </si>
  <si>
    <t>Numerator for solve 'b'
Denominator for solve 'B'</t>
  </si>
  <si>
    <t>c</t>
  </si>
  <si>
    <t>Numerator for solve 'a'
Denominator for solve 'A'</t>
  </si>
  <si>
    <t>Step 4: Setup determinant arrays to prepare for solving [a, b, c]</t>
  </si>
  <si>
    <t>3rd: Any formula</t>
  </si>
  <si>
    <t>2nd: Za+Zb+(Z-V)c=0</t>
  </si>
  <si>
    <t>1st: (G-1)a+Gb+Gc=0</t>
  </si>
  <si>
    <t>Text Formulas</t>
  </si>
  <si>
    <t xml:space="preserve">3rd formula is user setable. Default setting is resistor A = 10 kohms (a = 1/10,000) </t>
  </si>
  <si>
    <t xml:space="preserve">2nd formula uses DC output voltage with 0V input. Sum of DC current at OUT node is zero. Current is resistor voltage multiplied by resistor conductance </t>
  </si>
  <si>
    <t xml:space="preserve">1st formula uses AC gain with 1V input. Sum of AC current at OUT node is zero. Current is resistor voltage multiplied by resistor conductance </t>
  </si>
  <si>
    <t>Let a=1/RA, b=1/RB, c=1/RC because math will be much easier using resistor conductance.</t>
  </si>
  <si>
    <t>Step 3: Make three formulas in 3 unknowns</t>
  </si>
  <si>
    <t>&lt;-- Only voltages between zero and power supply can have a solution</t>
  </si>
  <si>
    <t>&lt;-- Only gains between zero and one can have a solution</t>
  </si>
  <si>
    <t>Step 2: Convert points to linear equation to find Gain and Zero;  OUT = G * IN + Z</t>
  </si>
  <si>
    <t>&lt;-- Enter value of accurate DC supply voltage</t>
  </si>
  <si>
    <t>V voltage</t>
  </si>
  <si>
    <t>VOUT voltage</t>
  </si>
  <si>
    <t>VIN voltage</t>
  </si>
  <si>
    <t>Point 2</t>
  </si>
  <si>
    <t>Point 1</t>
  </si>
  <si>
    <t>Step 1: Enter Data</t>
  </si>
  <si>
    <t>Edit only Yellow cells to match your scaling need</t>
  </si>
  <si>
    <t>Goal: find resistor values [A, B, C] for given bias voltage V and two desired operating points (VIN,VOUT)</t>
  </si>
  <si>
    <t>VCM</t>
  </si>
  <si>
    <t>VCM voltage</t>
  </si>
  <si>
    <t>RF</t>
  </si>
  <si>
    <t>RI</t>
  </si>
  <si>
    <t>units</t>
  </si>
  <si>
    <t>Value</t>
  </si>
  <si>
    <t>Formula</t>
  </si>
  <si>
    <t>V</t>
  </si>
  <si>
    <t>VREF</t>
  </si>
  <si>
    <t>RG</t>
  </si>
  <si>
    <t>Note: Negative resistor values mean solution is not viable</t>
  </si>
  <si>
    <t>VCM range</t>
  </si>
  <si>
    <t>A</t>
  </si>
  <si>
    <t>C</t>
  </si>
  <si>
    <t>VCM min</t>
  </si>
  <si>
    <t>VCM max</t>
  </si>
  <si>
    <t>A/C ratio   (j)</t>
  </si>
  <si>
    <t>RF/RG ratio  (k)</t>
  </si>
  <si>
    <t>User set</t>
  </si>
  <si>
    <t>Parameter</t>
  </si>
  <si>
    <t>Units</t>
  </si>
  <si>
    <t>n/a</t>
  </si>
  <si>
    <t>Volt</t>
  </si>
  <si>
    <t>Volts</t>
  </si>
  <si>
    <t>B</t>
  </si>
  <si>
    <t>DNP</t>
  </si>
  <si>
    <t>Note</t>
  </si>
  <si>
    <t>Red is bad</t>
  </si>
  <si>
    <t>Do not populate</t>
  </si>
  <si>
    <t>RF minimum</t>
  </si>
  <si>
    <t>Final RG</t>
  </si>
  <si>
    <t>Final RF</t>
  </si>
  <si>
    <t/>
  </si>
  <si>
    <t>RG maximum</t>
  </si>
  <si>
    <t>User set RG or RF</t>
  </si>
  <si>
    <t>Input ratio</t>
  </si>
  <si>
    <t>Op amp ratio</t>
  </si>
  <si>
    <t>Notes</t>
  </si>
  <si>
    <t>MIN VCM</t>
  </si>
  <si>
    <t>MIN VIN</t>
  </si>
  <si>
    <t>VOUT</t>
  </si>
  <si>
    <t>ratio</t>
  </si>
  <si>
    <t>(VIN[min]-VCM[min])/(VCM[min)-V)</t>
  </si>
  <si>
    <t>Set A (option)</t>
  </si>
  <si>
    <t>Set C (option)</t>
  </si>
  <si>
    <t>Standard R choice</t>
  </si>
  <si>
    <t>If A set, round down C</t>
  </si>
  <si>
    <t>If C set, round up A</t>
  </si>
  <si>
    <t>Final A/C   "j"</t>
  </si>
  <si>
    <t>RF/k</t>
  </si>
  <si>
    <t>(VIN[min]-V)/(j+1)+V</t>
  </si>
  <si>
    <t>(VIN[max]-V)/(j+1)+V</t>
  </si>
  <si>
    <t>G*(j+1)-1</t>
  </si>
  <si>
    <t>RG||RH</t>
  </si>
  <si>
    <t>RH</t>
  </si>
  <si>
    <t>(VCM*(k+1)-VOUT)/k</t>
  </si>
  <si>
    <t>A/C "j" to get valid min VCM</t>
  </si>
  <si>
    <t>A[user] / j</t>
  </si>
  <si>
    <t>C[user] * j</t>
  </si>
  <si>
    <t>Goal: find resistor values [A, B] for given bias voltage [C] and desired [V]OUT and [Z]OUT</t>
  </si>
  <si>
    <t>C voltage</t>
  </si>
  <si>
    <t>ZOUT resistance</t>
  </si>
  <si>
    <t>Maximum C (if A is was set)</t>
  </si>
  <si>
    <t>Minimum A (if C is was set)</t>
  </si>
  <si>
    <t>A  (defaults to set A)</t>
  </si>
  <si>
    <t>VIN</t>
  </si>
  <si>
    <t>j summary</t>
  </si>
  <si>
    <t>uses summary data</t>
  </si>
  <si>
    <t>&lt;-- Use VOUT for the same VIN range</t>
  </si>
  <si>
    <t>C * j</t>
  </si>
  <si>
    <t>RG * k</t>
  </si>
  <si>
    <t>Z / (V * G)</t>
  </si>
  <si>
    <t>G - 1 + Z/V</t>
  </si>
  <si>
    <t>Vth RG RH summary</t>
  </si>
  <si>
    <t>Rth RG RH summary</t>
  </si>
  <si>
    <t>A/C ratio "j" summary</t>
  </si>
  <si>
    <t>RF/RG ratio "k" summary</t>
  </si>
  <si>
    <t>Real Values</t>
  </si>
  <si>
    <t>G - 1</t>
  </si>
  <si>
    <t>RF / k</t>
  </si>
  <si>
    <t>RF/(RG||RH) ratio  (k)</t>
  </si>
  <si>
    <t>Reverse Thevenin Tool</t>
  </si>
  <si>
    <t>Reference voltage</t>
  </si>
  <si>
    <t>Vth goal</t>
  </si>
  <si>
    <t>Rth goal</t>
  </si>
  <si>
    <t>values</t>
  </si>
  <si>
    <t>Solve for RG</t>
  </si>
  <si>
    <t>Solve for RH</t>
  </si>
  <si>
    <t>Denominator for solve 'A'</t>
  </si>
  <si>
    <t>Denominator for solve 'B'</t>
  </si>
  <si>
    <t>RF/Rth</t>
  </si>
  <si>
    <t>VREF*RH/(RH+RG)</t>
  </si>
  <si>
    <t>Do not care, avoid 0</t>
  </si>
  <si>
    <t>3 Resistor solver tool</t>
  </si>
  <si>
    <t>3R (G)ain</t>
  </si>
  <si>
    <t>3R (Z)ero</t>
  </si>
  <si>
    <t>Numerator</t>
  </si>
  <si>
    <t>Denominator for solve 'C'</t>
  </si>
  <si>
    <t>3R (V) voltage</t>
  </si>
  <si>
    <t xml:space="preserve">OP amp </t>
  </si>
  <si>
    <t>User</t>
  </si>
  <si>
    <t>&lt;-- Op amp VCM [MIN, MAX] limits</t>
  </si>
  <si>
    <t>Rth [RG||RH]</t>
  </si>
  <si>
    <t>Vth [RG&amp;RH]</t>
  </si>
  <si>
    <t xml:space="preserve">user sets this </t>
  </si>
  <si>
    <t>or user sets that</t>
  </si>
  <si>
    <t>RF/(RG||RH) calculation   "k"</t>
  </si>
  <si>
    <t>MAX VCM</t>
  </si>
  <si>
    <t>MAX VIN</t>
  </si>
  <si>
    <t>A/B "j" to get valid max VCM</t>
  </si>
  <si>
    <t>(VIN-VCM)/VCM</t>
  </si>
  <si>
    <t>Set B (option)</t>
  </si>
  <si>
    <t>Maximum B (if A is was set)</t>
  </si>
  <si>
    <t>B  (defaults to &lt; Max B)</t>
  </si>
  <si>
    <t>Final A/B   "j"</t>
  </si>
  <si>
    <t>If A set, round down B</t>
  </si>
  <si>
    <t>VIN[min]/(j+1)</t>
  </si>
  <si>
    <t>&lt;-- Use [min and max] VIN range</t>
  </si>
  <si>
    <t>RF/RI ratio</t>
  </si>
  <si>
    <t>VCM gain-1</t>
  </si>
  <si>
    <t>VREF gain</t>
  </si>
  <si>
    <t>VIN gain</t>
  </si>
  <si>
    <t>&lt;-- Only gains less than zero will have a solution</t>
  </si>
  <si>
    <t>VREF Thevenin voltage</t>
  </si>
  <si>
    <t>Summary for circuit #1,  No input scaler</t>
  </si>
  <si>
    <t>Chose Standard R choice</t>
  </si>
  <si>
    <t>Summary for circuit #2,  [A, C, V, RF, RG] solution, no [B, RH, VREF]</t>
  </si>
  <si>
    <t>Make Standard R choice</t>
  </si>
  <si>
    <t xml:space="preserve">If B is negative then increase this value </t>
  </si>
  <si>
    <t>3 Resistor Solver Tool</t>
  </si>
  <si>
    <t>Summary for circuit #3, Using [A, B, C, V] and No [RH, VREF]</t>
  </si>
  <si>
    <t xml:space="preserve">More circuit #3 pre-work: Solve for resistor A, B, C </t>
  </si>
  <si>
    <t>C  (defaults to 98% of Max C)</t>
  </si>
  <si>
    <t>It is best to choose final real resistor values for RG and RF before A,B,C are calculated</t>
  </si>
  <si>
    <t>It is best to choose final real resistor values for A and C before RF,RG,RH are calculated</t>
  </si>
  <si>
    <t>More circuit #4 pre-work to RG and RH</t>
  </si>
  <si>
    <t>Summary for circuit #4 , No B resistor</t>
  </si>
  <si>
    <t>Circuit #5 pre-work to reduce VCM range using [A, B] no [C, V]</t>
  </si>
  <si>
    <t>If red check A &amp; C</t>
  </si>
  <si>
    <t>It is best to choose final real resistor values for A and B before RF, RG, RH are calculated</t>
  </si>
  <si>
    <t>Summary for Circuit #5 , attenuating VCM and inverting offset</t>
  </si>
  <si>
    <t>Summary result</t>
  </si>
  <si>
    <t>Convert points to linear equation to find Gain and Zero;  OUT = G * VIN + Z</t>
  </si>
  <si>
    <t>Summary Result</t>
  </si>
  <si>
    <t>Special Balanced VCM</t>
  </si>
  <si>
    <t>Summary for circuit values</t>
  </si>
  <si>
    <t>&lt;-- k should not be much greater than |G|</t>
  </si>
  <si>
    <t>Reverse Thevenin Calculator Solution</t>
  </si>
  <si>
    <t>RF/(RH||RI) ratio  (k)</t>
  </si>
  <si>
    <t>RF/RH ratio</t>
  </si>
  <si>
    <t>Step 3: Round the summary table resistors to standard values</t>
  </si>
  <si>
    <t>k summary RF/(RG||RH)</t>
  </si>
  <si>
    <t>k summary RF/RG</t>
  </si>
  <si>
    <t>RF/(RG||RH) ratio "k" summary</t>
  </si>
  <si>
    <t>Analog Voltage Scaler: Non-Inverting Amplifier</t>
  </si>
  <si>
    <t>Cell Color Key</t>
  </si>
  <si>
    <t>Red cells mean an invalid value, either the VCM range is invalid or the calculated resistance is negative</t>
  </si>
  <si>
    <t>User Inputs</t>
  </si>
  <si>
    <t>Note: Summary tables support resistors rounded to standard resistor values and recalculating VCM and VOUT (manual entry of standard values)</t>
  </si>
  <si>
    <t>Circuit Configurations</t>
  </si>
  <si>
    <t>Calculation of Gain and Zero of Linear Equation:  OUT = G * VIN + Z</t>
  </si>
  <si>
    <t>V/V</t>
  </si>
  <si>
    <t>Ω</t>
  </si>
  <si>
    <t>Reference Voltage</t>
  </si>
  <si>
    <t>Circuit #1</t>
  </si>
  <si>
    <t>Circuit #2</t>
  </si>
  <si>
    <t>Circuit #3</t>
  </si>
  <si>
    <t>Circuit #4</t>
  </si>
  <si>
    <t>Circuit #5</t>
  </si>
  <si>
    <r>
      <rPr>
        <sz val="10"/>
        <color rgb="FFFF0000"/>
        <rFont val="Arial"/>
        <family val="2"/>
      </rPr>
      <t>######</t>
    </r>
    <r>
      <rPr>
        <sz val="10"/>
        <rFont val="Arial"/>
        <family val="2"/>
      </rPr>
      <t>, ######, and DNP cells mean "do not populate"</t>
    </r>
  </si>
  <si>
    <t>summary VCM OK</t>
  </si>
  <si>
    <t>Summary resistance OK</t>
  </si>
  <si>
    <t>A,C summary resistance OK</t>
  </si>
  <si>
    <t>RF, RG, RH summary resistance OK</t>
  </si>
  <si>
    <t>Quick Results</t>
  </si>
  <si>
    <t>##### = 'do not populate'</t>
  </si>
  <si>
    <t>Step 2: Check "Quick Results" table to see which circuit(s) worked, scroll down to see the circuit</t>
  </si>
  <si>
    <t>Note: ##### means do not populate this resistor location</t>
  </si>
  <si>
    <t>Analog Voltage Scaler: Inverting Amplifier</t>
  </si>
  <si>
    <t>Circuit Configuration</t>
  </si>
  <si>
    <t>Resistor RF</t>
  </si>
  <si>
    <t>&lt;-- Choose any resistance Ω (scales RI, RH)</t>
  </si>
  <si>
    <t>Note: Always start with original file, because sheet allows typing over formulas</t>
  </si>
  <si>
    <t>Use this tool to scale your analog voltages with an inverting amplifier.  Select your desired input and output voltages.  Then add the input common mode voltage (VCM) or accept the default value. Add the reference voltage (VREF).  The tool will then calculate the values needed. If any resistors  are negative then change VCM or VREF</t>
  </si>
  <si>
    <t>Step 2: If resistor(s) are negative then make both VCM and VREF greater than balanced VCM or less than balanced VCM.</t>
  </si>
  <si>
    <t>&lt;-- if VCM must be generated then use Analog Engineer's Calculator : Passive : Find Voltage Divider</t>
  </si>
  <si>
    <t>&lt;-- Chose accurate voltage (Cannot use zero)</t>
  </si>
  <si>
    <t>or sets that</t>
  </si>
  <si>
    <t>Must be same polarity as REF</t>
  </si>
  <si>
    <t>Summary for Circuit #6 , attenuating VIN and no offset</t>
  </si>
  <si>
    <t>k starting point</t>
  </si>
  <si>
    <t>matching j</t>
  </si>
  <si>
    <t>A  (defaults)</t>
  </si>
  <si>
    <t xml:space="preserve">final k </t>
  </si>
  <si>
    <t>-Z/V</t>
  </si>
  <si>
    <t>Circuit #6</t>
  </si>
  <si>
    <t>Op Gain</t>
  </si>
  <si>
    <t>Does It Work</t>
  </si>
  <si>
    <t>Circuit #6 pre-work to reduce VOUT range using [A, B] no [C, V] will trying to eliminate RG</t>
  </si>
  <si>
    <t>Yellow cells are for user inputs and important text</t>
  </si>
  <si>
    <t>Revision</t>
  </si>
  <si>
    <t>This spreadsheet is created to aid customers of Texas Instruments. No warranties, either expressed or implied, with respect to this spreadsheet or its fitness for any particular purpose is claimed by Texas Instruments or the author. This spreadsheet is useable on an "as is" basis. The entire risk as to its quality and performance is with the customer.</t>
  </si>
  <si>
    <t>ZOUT * C / VOUT</t>
  </si>
  <si>
    <t>VOUT * A / (C - VOUT)</t>
  </si>
  <si>
    <t>Ω</t>
  </si>
  <si>
    <t>1% E96 Table</t>
  </si>
  <si>
    <t>&lt;1% E192 Table</t>
  </si>
  <si>
    <t>Print me</t>
  </si>
  <si>
    <t>overwrite with real R value</t>
  </si>
  <si>
    <t>1, 1.1G, or VOUT/VCM</t>
  </si>
  <si>
    <t>Min op amp gain estimate (G')</t>
  </si>
  <si>
    <t>RF/(G'-1)</t>
  </si>
  <si>
    <t>RG*(G'-1)</t>
  </si>
  <si>
    <t>Make Standard R choice (round down!)</t>
  </si>
  <si>
    <t>Make Standard R choice (round up!)</t>
  </si>
  <si>
    <t>alternate Standard R choice</t>
  </si>
  <si>
    <t>alternate min value (round up to use)</t>
  </si>
  <si>
    <t>default used Standard R choice</t>
  </si>
  <si>
    <t>auto copied to Final RG</t>
  </si>
  <si>
    <t>Use Standard R choice</t>
  </si>
  <si>
    <t>See op amp VCM</t>
  </si>
  <si>
    <t>See user VIN</t>
  </si>
  <si>
    <t>RT tool, #### = DNP</t>
  </si>
  <si>
    <t>A/B</t>
  </si>
  <si>
    <t>copied to A by default</t>
  </si>
  <si>
    <t>alternate choice</t>
  </si>
  <si>
    <t>A[user] / j, copied to B</t>
  </si>
  <si>
    <t>B[user] * j, alternate</t>
  </si>
  <si>
    <t>A/j</t>
  </si>
  <si>
    <t>Round down real value</t>
  </si>
  <si>
    <t>B  max (based on A &amp; j)</t>
  </si>
  <si>
    <t>RF*(1/RI+1/RH)</t>
  </si>
  <si>
    <t>RF/RH</t>
  </si>
  <si>
    <t>RF/RI</t>
  </si>
  <si>
    <t>Unit</t>
  </si>
  <si>
    <t>Forward Thevenin Calculator Solution</t>
  </si>
  <si>
    <t>VOUT =</t>
  </si>
  <si>
    <t>ZOUT =</t>
  </si>
  <si>
    <t>If needed type over blue entries</t>
  </si>
  <si>
    <t>C * B / (A+B)</t>
  </si>
  <si>
    <t>1 / (1/A + 1/B)</t>
  </si>
  <si>
    <t>Defaults to yellow C</t>
  </si>
  <si>
    <t>Defaults to green A</t>
  </si>
  <si>
    <t>Defaults to green B</t>
  </si>
  <si>
    <t>Step 6: Pick standard values</t>
  </si>
  <si>
    <t>Defaults to green C</t>
  </si>
  <si>
    <t>Work cells</t>
  </si>
  <si>
    <t>Zero offset</t>
  </si>
  <si>
    <t>VIN Gain</t>
  </si>
  <si>
    <t>B||C</t>
  </si>
  <si>
    <t>A||B</t>
  </si>
  <si>
    <t>(B||C) / (A+B||C)</t>
  </si>
  <si>
    <t>V *(A||B) / (C + A||B)</t>
  </si>
  <si>
    <t>ZIN</t>
  </si>
  <si>
    <t>ZOUT</t>
  </si>
  <si>
    <t xml:space="preserve">V= </t>
  </si>
  <si>
    <t>Defaults to yelllow V</t>
  </si>
  <si>
    <t>1/(1/B+1/C)</t>
  </si>
  <si>
    <t>1/(1/A+1/B)</t>
  </si>
  <si>
    <t>Formala</t>
  </si>
  <si>
    <t>A+B||C</t>
  </si>
  <si>
    <t>A||B||C</t>
  </si>
  <si>
    <t xml:space="preserve">Nominal 'standard' results </t>
  </si>
  <si>
    <t>&lt;--close enough?</t>
  </si>
  <si>
    <t>Optional extra step and sanity check is below</t>
  </si>
  <si>
    <t>Type over blue cells with actual values</t>
  </si>
  <si>
    <t>Light blue cells are set by a formula, but can be changed to a standard value constant</t>
  </si>
  <si>
    <t xml:space="preserve">Circuit #4 Pre-work using [A, C] input. Use VREF to correct offset, only B is DNP </t>
  </si>
  <si>
    <t>&lt;-- Only positive gains have a solution</t>
  </si>
  <si>
    <t>Use this tool to scale your analog voltages with a non-inverting amplifier.  Select your desired input and output voltages.  Then add the VCM range of your amplifier and the reference voltage.  The tool will then calculate the values needed for the desired functionality with 6 different circuit possibilities.  The circuits are listed in increasing order of complexity (#1 = least complex, #5 &amp; #6 = most complex).  Not every configuration will work with every application, so the tool will tell you which configurations are valid for the given inputs.</t>
  </si>
  <si>
    <t>Pre-work resistance OK</t>
  </si>
  <si>
    <t>Circuit #2 pre-work for scaling with [A, C, V, RF, RG] only; no [B, RH, VREF]</t>
  </si>
  <si>
    <t>Circuit #3 pre-work for scaling with [A, B, C, V, RF, RG], No [RH, VREF]</t>
  </si>
  <si>
    <t>More circuit #5 pre-work to calculate RG and RH</t>
  </si>
  <si>
    <t>Note: Generally the lowest working "OP Gain" circuit will be the most accurate</t>
  </si>
  <si>
    <t>Step 3: Optional; change yellow and blue cells to change resistor values to standard values, VCM and VOUT will reflect these changes.</t>
  </si>
  <si>
    <t>Circuit #1 pre-work,  No input scaler</t>
  </si>
  <si>
    <t>Gain (G)</t>
  </si>
  <si>
    <t>Zero (Z)</t>
  </si>
  <si>
    <t>Goal: find [V]OUT and [Z]OUT values for given resistor values [A, B] and bias voltage [C]</t>
  </si>
  <si>
    <t>Blue cells default to top results values</t>
  </si>
  <si>
    <t>User input errors</t>
  </si>
  <si>
    <t>43 to 69</t>
  </si>
  <si>
    <t>73 to 100</t>
  </si>
  <si>
    <t>104 to 140</t>
  </si>
  <si>
    <t>Excel Rows</t>
  </si>
  <si>
    <t>144 to 188</t>
  </si>
  <si>
    <t>192 to 236</t>
  </si>
  <si>
    <t>240 to 275</t>
  </si>
  <si>
    <t>Yellow cells are for user inputs (default values setup same as 3 resistor blog values)</t>
  </si>
  <si>
    <t>Red cells mean an invalid value, either the VCM range is invalid or a calculated resistance is negative</t>
  </si>
  <si>
    <t>Yellow cells are for user inputs and important text (default values are non-inverting so they fail inverting circuit)</t>
  </si>
  <si>
    <t>If VCM needs to be made by V, A and B, then use the Analog Engineer’s Calculator. 
Passive Find Voltage Divider tool will pick the best standard resistor values for A &amp; B</t>
  </si>
  <si>
    <t>Reference voltage "V"</t>
  </si>
  <si>
    <t>(VCM*A)/(V-VCM)</t>
  </si>
  <si>
    <t>V*B/(A+B)</t>
  </si>
  <si>
    <t>Pre work, Chose resistors A and B first</t>
  </si>
  <si>
    <t>Final VCM based on A,B,V</t>
  </si>
  <si>
    <t>&lt;--user value or Voltage divider tool result</t>
  </si>
  <si>
    <t>&lt;--user rounded value or Voltage divider tool result</t>
  </si>
  <si>
    <t>User RF</t>
  </si>
  <si>
    <t>-RF/G</t>
  </si>
  <si>
    <t>Light blue cells are set by a formula, but can be changed to a constant</t>
  </si>
  <si>
    <t>Excess k</t>
  </si>
  <si>
    <t>k-G</t>
  </si>
  <si>
    <t>Note: Default VCM value makes RH and VREF 'do not populate' (usually the best setup)</t>
  </si>
  <si>
    <t>If VCM must be generated then use Analog Engineer's Calculator : Passive : Find Voltage Divider</t>
  </si>
  <si>
    <t>&lt;-- if ##### then RH is 'do not populate' , Enter 1e15 to force DNP</t>
  </si>
  <si>
    <t>RH to GND</t>
  </si>
  <si>
    <t>RH to VREF</t>
  </si>
  <si>
    <t>Should Vref be zero or not?</t>
  </si>
  <si>
    <t>VREF is</t>
  </si>
  <si>
    <t>VREF (may be V or 0)</t>
  </si>
  <si>
    <t>VREF or Zero (see H53)</t>
  </si>
  <si>
    <t>see H51 and H52 cells</t>
  </si>
  <si>
    <t>&lt;-- Choose this VCM value for no RH resistor</t>
  </si>
  <si>
    <t xml:space="preserve">Calculator decides if VREF should be zero or the "Reference Voltage" </t>
  </si>
  <si>
    <t>&lt;-- Choose accurate voltage (not zero, makes VCM voltage)</t>
  </si>
  <si>
    <t>&lt;-- Choose VCM , defaults to special balance point (Cell B42)</t>
  </si>
  <si>
    <t>IFERROR(A2/A3,0).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</si>
</sst>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00E+00"/>
    <numFmt numFmtId="165" formatCode="0.000"/>
    <numFmt numFmtId="166" formatCode="_(* #,##0_);_(* \(#,##0\);_(* &quot;-&quot;??_);_(@_)"/>
    <numFmt numFmtId="167" formatCode="_(* #,##0.000_);_(* \(#,##0.000\);_(* &quot;-&quot;??_);_(@_)"/>
    <numFmt numFmtId="168" formatCode="_(* #,##0_);_(* \(#,##0\);_(* &quot;-&quot;???_);_(@_)"/>
    <numFmt numFmtId="169" formatCode="_(* #,##0_);_(* \(#,##0\);_(* &quot;0&quot;_);_(@_)"/>
    <numFmt numFmtId="170" formatCode="#,##0.000"/>
  </numFmts>
  <fonts count="25"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color rgb="FFFF0000"/>
      <name val="Arial"/>
      <family val="2"/>
    </font>
    <font>
      <b/>
      <sz val="10"/>
      <color rgb="FFFF0000"/>
      <name val="Arial"/>
      <family val="2"/>
    </font>
    <font>
      <b/>
      <sz val="10"/>
      <color rgb="FF00B0F0"/>
      <name val="Arial"/>
      <family val="2"/>
    </font>
    <font>
      <b/>
      <sz val="10"/>
      <color rgb="FF7030A0"/>
      <name val="Arial"/>
      <family val="2"/>
    </font>
    <font>
      <sz val="10"/>
      <color theme="0" tint="-0.249977111117893"/>
      <name val="Arial"/>
      <family val="2"/>
    </font>
    <font>
      <sz val="10"/>
      <color theme="0" tint="-0.34998626667073579"/>
      <name val="Arial"/>
      <family val="2"/>
    </font>
    <font>
      <b/>
      <sz val="10"/>
      <color rgb="FF00B050"/>
      <name val="Arial"/>
      <family val="2"/>
    </font>
    <font>
      <sz val="10"/>
      <color rgb="FF00B0F0"/>
      <name val="Arial"/>
      <family val="2"/>
    </font>
    <font>
      <sz val="8"/>
      <name val="Arial"/>
      <family val="2"/>
    </font>
    <font>
      <b/>
      <sz val="11"/>
      <color rgb="FFFF0000"/>
      <name val="Arial"/>
      <family val="2"/>
    </font>
    <font>
      <b/>
      <sz val="18"/>
      <name val="Arial"/>
      <family val="2"/>
    </font>
    <font>
      <b/>
      <sz val="20"/>
      <name val="Arial"/>
      <family val="2"/>
    </font>
    <font>
      <sz val="10"/>
      <name val="Calibri"/>
      <family val="2"/>
    </font>
    <font>
      <u/>
      <sz val="10"/>
      <color theme="10"/>
      <name val="Arial"/>
      <family val="2"/>
    </font>
    <font>
      <sz val="26"/>
      <color theme="1"/>
      <name val="Calibri"/>
      <family val="2"/>
      <scheme val="minor"/>
    </font>
    <font>
      <sz val="12"/>
      <color theme="1"/>
      <name val="Calibri"/>
      <family val="2"/>
      <scheme val="minor"/>
    </font>
    <font>
      <sz val="9"/>
      <name val="Arial"/>
      <family val="2"/>
    </font>
    <font>
      <sz val="8"/>
      <color theme="0" tint="-0.34998626667073579"/>
      <name val="Arial"/>
      <family val="2"/>
    </font>
    <font>
      <sz val="10"/>
      <name val="Arial"/>
    </font>
  </fonts>
  <fills count="12">
    <fill>
      <patternFill patternType="none"/>
    </fill>
    <fill>
      <patternFill patternType="gray125"/>
    </fill>
    <fill>
      <patternFill patternType="solid">
        <fgColor theme="6" tint="0.59999389629810485"/>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C7CE"/>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39997558519241921"/>
        <bgColor indexed="64"/>
      </patternFill>
    </fill>
  </fills>
  <borders count="55">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top style="thick">
        <color indexed="64"/>
      </top>
      <bottom style="medium">
        <color indexed="64"/>
      </bottom>
      <diagonal/>
    </border>
    <border>
      <left/>
      <right style="thick">
        <color indexed="64"/>
      </right>
      <top style="thick">
        <color indexed="64"/>
      </top>
      <bottom/>
      <diagonal/>
    </border>
    <border>
      <left style="thick">
        <color indexed="64"/>
      </left>
      <right style="medium">
        <color indexed="64"/>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s>
  <cellStyleXfs count="6">
    <xf numFmtId="0" fontId="0" fillId="0" borderId="0"/>
    <xf numFmtId="43" fontId="5" fillId="0" borderId="0" applyFont="0" applyFill="0" applyBorder="0" applyAlignment="0" applyProtection="0"/>
    <xf numFmtId="0" fontId="3" fillId="0" borderId="0"/>
    <xf numFmtId="0" fontId="19" fillId="0" borderId="0" applyNumberFormat="0" applyFill="0" applyBorder="0" applyAlignment="0" applyProtection="0"/>
    <xf numFmtId="0" fontId="2" fillId="0" borderId="0"/>
    <xf numFmtId="44" fontId="24" fillId="0" borderId="0" applyFont="0" applyFill="0" applyBorder="0" applyAlignment="0" applyProtection="0"/>
  </cellStyleXfs>
  <cellXfs count="501">
    <xf numFmtId="0" fontId="0" fillId="0" borderId="0" xfId="0"/>
    <xf numFmtId="0" fontId="0" fillId="0" borderId="0" xfId="0" applyAlignment="1">
      <alignment horizontal="center"/>
    </xf>
    <xf numFmtId="0" fontId="0" fillId="0" borderId="0" xfId="0" applyAlignment="1">
      <alignment horizontal="left"/>
    </xf>
    <xf numFmtId="0" fontId="3" fillId="0" borderId="0" xfId="0" applyFont="1" applyFill="1" applyBorder="1" applyAlignment="1">
      <alignment horizontal="left"/>
    </xf>
    <xf numFmtId="0" fontId="3" fillId="2" borderId="2" xfId="0" applyFont="1" applyFill="1" applyBorder="1" applyAlignment="1">
      <alignment horizontal="right"/>
    </xf>
    <xf numFmtId="0" fontId="3" fillId="2" borderId="4" xfId="0" applyFont="1" applyFill="1" applyBorder="1" applyAlignment="1">
      <alignment horizontal="right"/>
    </xf>
    <xf numFmtId="0" fontId="3" fillId="2" borderId="6" xfId="0" applyFont="1" applyFill="1" applyBorder="1" applyAlignment="1">
      <alignment horizontal="right"/>
    </xf>
    <xf numFmtId="0" fontId="4" fillId="0" borderId="0" xfId="0" applyFont="1"/>
    <xf numFmtId="164" fontId="0" fillId="0" borderId="0" xfId="0" applyNumberFormat="1" applyAlignment="1">
      <alignment horizontal="center"/>
    </xf>
    <xf numFmtId="0" fontId="3" fillId="0" borderId="0" xfId="0" applyFont="1"/>
    <xf numFmtId="0" fontId="3" fillId="0" borderId="0" xfId="0" applyFont="1" applyAlignment="1">
      <alignment wrapText="1"/>
    </xf>
    <xf numFmtId="164" fontId="0" fillId="3" borderId="1" xfId="0" applyNumberFormat="1" applyFill="1" applyBorder="1" applyAlignment="1">
      <alignment horizontal="center"/>
    </xf>
    <xf numFmtId="164" fontId="0" fillId="0" borderId="7" xfId="0" applyNumberFormat="1" applyBorder="1" applyAlignment="1">
      <alignment horizontal="center"/>
    </xf>
    <xf numFmtId="164" fontId="0" fillId="3" borderId="3" xfId="0" applyNumberFormat="1" applyFill="1" applyBorder="1" applyAlignment="1">
      <alignment horizontal="center"/>
    </xf>
    <xf numFmtId="164" fontId="0" fillId="0" borderId="0" xfId="0" applyNumberFormat="1" applyBorder="1" applyAlignment="1">
      <alignment horizontal="center"/>
    </xf>
    <xf numFmtId="164" fontId="0" fillId="3" borderId="5" xfId="0" applyNumberFormat="1" applyFill="1"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0" fillId="3" borderId="7" xfId="0" applyNumberFormat="1" applyFill="1" applyBorder="1" applyAlignment="1">
      <alignment horizontal="center"/>
    </xf>
    <xf numFmtId="164" fontId="0" fillId="0" borderId="3" xfId="0" applyNumberFormat="1" applyBorder="1" applyAlignment="1">
      <alignment horizontal="center"/>
    </xf>
    <xf numFmtId="164" fontId="0" fillId="3" borderId="0" xfId="0" applyNumberFormat="1" applyFill="1" applyBorder="1" applyAlignment="1">
      <alignment horizontal="center"/>
    </xf>
    <xf numFmtId="164" fontId="0" fillId="0" borderId="5" xfId="0" applyNumberFormat="1" applyBorder="1" applyAlignment="1">
      <alignment horizontal="center"/>
    </xf>
    <xf numFmtId="164" fontId="0" fillId="3" borderId="8" xfId="0" applyNumberFormat="1" applyFill="1" applyBorder="1" applyAlignment="1">
      <alignment horizontal="center"/>
    </xf>
    <xf numFmtId="164" fontId="0" fillId="0" borderId="0" xfId="0" applyNumberFormat="1"/>
    <xf numFmtId="164" fontId="0" fillId="4" borderId="1" xfId="0" applyNumberFormat="1" applyFill="1" applyBorder="1"/>
    <xf numFmtId="0" fontId="0" fillId="4" borderId="7" xfId="0" applyNumberFormat="1" applyFill="1" applyBorder="1" applyAlignment="1">
      <alignment horizontal="center"/>
    </xf>
    <xf numFmtId="0" fontId="3" fillId="4" borderId="2" xfId="0" applyFont="1" applyFill="1" applyBorder="1"/>
    <xf numFmtId="0" fontId="0" fillId="0" borderId="0" xfId="0" quotePrefix="1"/>
    <xf numFmtId="164" fontId="0" fillId="0" borderId="3" xfId="0" applyNumberFormat="1" applyFill="1" applyBorder="1"/>
    <xf numFmtId="0" fontId="3" fillId="0" borderId="4" xfId="0" applyFont="1" applyBorder="1"/>
    <xf numFmtId="164" fontId="0" fillId="0" borderId="5" xfId="0" applyNumberFormat="1" applyFill="1" applyBorder="1"/>
    <xf numFmtId="0" fontId="3" fillId="0" borderId="6" xfId="0" quotePrefix="1" applyFont="1" applyBorder="1"/>
    <xf numFmtId="3" fontId="0" fillId="0" borderId="0" xfId="0" applyNumberFormat="1" applyFill="1"/>
    <xf numFmtId="3" fontId="0" fillId="0" borderId="0" xfId="0" applyNumberFormat="1"/>
    <xf numFmtId="0" fontId="3" fillId="0" borderId="0" xfId="0" applyFont="1" applyAlignment="1">
      <alignment horizontal="left"/>
    </xf>
    <xf numFmtId="0" fontId="0" fillId="0" borderId="0" xfId="0" applyFill="1" applyAlignment="1">
      <alignment horizontal="center"/>
    </xf>
    <xf numFmtId="0" fontId="4" fillId="0" borderId="0" xfId="0" applyFont="1" applyAlignment="1">
      <alignment horizontal="left"/>
    </xf>
    <xf numFmtId="0" fontId="3" fillId="0" borderId="0" xfId="0" applyFont="1" applyAlignment="1">
      <alignment horizontal="right"/>
    </xf>
    <xf numFmtId="0" fontId="3" fillId="0" borderId="0" xfId="0" applyFont="1" applyAlignment="1">
      <alignment horizontal="center"/>
    </xf>
    <xf numFmtId="0" fontId="0" fillId="5" borderId="0" xfId="0" applyFill="1"/>
    <xf numFmtId="3" fontId="0" fillId="0" borderId="0" xfId="0" applyNumberFormat="1" applyAlignment="1">
      <alignment horizontal="left"/>
    </xf>
    <xf numFmtId="0" fontId="6" fillId="0" borderId="0" xfId="0" applyNumberFormat="1" applyFont="1" applyAlignment="1">
      <alignment horizontal="center"/>
    </xf>
    <xf numFmtId="0" fontId="6" fillId="0" borderId="0" xfId="0" applyFont="1"/>
    <xf numFmtId="0" fontId="6" fillId="0" borderId="0" xfId="0" applyFont="1" applyAlignment="1">
      <alignment horizontal="left"/>
    </xf>
    <xf numFmtId="0" fontId="6" fillId="0" borderId="0" xfId="0" applyFont="1" applyFill="1" applyAlignment="1">
      <alignment horizontal="center"/>
    </xf>
    <xf numFmtId="0" fontId="0" fillId="0" borderId="0" xfId="0" applyFont="1" applyAlignment="1">
      <alignment horizontal="center"/>
    </xf>
    <xf numFmtId="0" fontId="0" fillId="0" borderId="0" xfId="0" applyBorder="1" applyAlignment="1">
      <alignment horizontal="center"/>
    </xf>
    <xf numFmtId="0" fontId="4" fillId="0" borderId="0" xfId="2" applyFont="1"/>
    <xf numFmtId="0" fontId="3" fillId="0" borderId="0" xfId="2"/>
    <xf numFmtId="0" fontId="3" fillId="0" borderId="0" xfId="2" applyAlignment="1">
      <alignment horizontal="center"/>
    </xf>
    <xf numFmtId="0" fontId="3" fillId="0" borderId="0" xfId="2" applyFont="1" applyAlignment="1">
      <alignment horizontal="center"/>
    </xf>
    <xf numFmtId="0" fontId="3" fillId="0" borderId="0" xfId="2" applyFont="1" applyAlignment="1">
      <alignment horizontal="right"/>
    </xf>
    <xf numFmtId="0" fontId="3" fillId="0" borderId="0" xfId="2" applyAlignment="1">
      <alignment horizontal="left"/>
    </xf>
    <xf numFmtId="0" fontId="3" fillId="0" borderId="0" xfId="2" applyFill="1" applyAlignment="1">
      <alignment horizontal="center"/>
    </xf>
    <xf numFmtId="0" fontId="0" fillId="0" borderId="0" xfId="0" applyFill="1"/>
    <xf numFmtId="0" fontId="4" fillId="2" borderId="9" xfId="0" applyFont="1" applyFill="1" applyBorder="1"/>
    <xf numFmtId="0" fontId="3" fillId="0" borderId="12" xfId="0" applyFont="1" applyBorder="1"/>
    <xf numFmtId="0" fontId="0" fillId="0" borderId="13" xfId="0" applyBorder="1" applyAlignment="1">
      <alignment horizontal="center"/>
    </xf>
    <xf numFmtId="166" fontId="3" fillId="0" borderId="0" xfId="0" applyNumberFormat="1" applyFont="1" applyBorder="1" applyAlignment="1">
      <alignment horizontal="center"/>
    </xf>
    <xf numFmtId="166" fontId="0" fillId="0" borderId="0" xfId="0" applyNumberFormat="1" applyFill="1" applyBorder="1" applyAlignment="1">
      <alignment horizontal="center"/>
    </xf>
    <xf numFmtId="166" fontId="3" fillId="2" borderId="10" xfId="0" applyNumberFormat="1" applyFont="1" applyFill="1" applyBorder="1" applyAlignment="1">
      <alignment horizontal="center"/>
    </xf>
    <xf numFmtId="0" fontId="0" fillId="2" borderId="10" xfId="0" applyFill="1" applyBorder="1" applyAlignment="1">
      <alignment horizontal="center"/>
    </xf>
    <xf numFmtId="0" fontId="0" fillId="2" borderId="11" xfId="0" applyFont="1" applyFill="1" applyBorder="1" applyAlignment="1">
      <alignment horizontal="center"/>
    </xf>
    <xf numFmtId="0" fontId="0" fillId="2" borderId="0" xfId="0" applyFill="1" applyBorder="1" applyAlignment="1">
      <alignment horizontal="center"/>
    </xf>
    <xf numFmtId="0" fontId="0" fillId="2" borderId="13" xfId="0" applyFill="1" applyBorder="1" applyAlignment="1">
      <alignment horizontal="center"/>
    </xf>
    <xf numFmtId="0" fontId="3" fillId="0" borderId="12" xfId="0" applyFont="1" applyFill="1" applyBorder="1"/>
    <xf numFmtId="165" fontId="0" fillId="0" borderId="0" xfId="0" applyNumberFormat="1" applyBorder="1" applyAlignment="1">
      <alignment horizontal="center"/>
    </xf>
    <xf numFmtId="0" fontId="4" fillId="2" borderId="12" xfId="0" applyFont="1" applyFill="1" applyBorder="1"/>
    <xf numFmtId="0" fontId="0" fillId="0" borderId="7" xfId="0" applyBorder="1" applyAlignment="1">
      <alignment horizontal="center"/>
    </xf>
    <xf numFmtId="0" fontId="3" fillId="0" borderId="7" xfId="0" applyFont="1" applyBorder="1" applyAlignment="1">
      <alignment horizontal="center"/>
    </xf>
    <xf numFmtId="0" fontId="3" fillId="0" borderId="17" xfId="0" applyFont="1" applyBorder="1"/>
    <xf numFmtId="0" fontId="0" fillId="0" borderId="18" xfId="0" applyBorder="1" applyAlignment="1">
      <alignment horizontal="center"/>
    </xf>
    <xf numFmtId="0" fontId="3" fillId="2" borderId="12" xfId="0" applyFont="1" applyFill="1" applyBorder="1"/>
    <xf numFmtId="0" fontId="3" fillId="2" borderId="0" xfId="0" applyFont="1" applyFill="1" applyBorder="1" applyAlignment="1">
      <alignment horizontal="center"/>
    </xf>
    <xf numFmtId="0" fontId="11" fillId="0" borderId="9" xfId="0" applyFont="1" applyFill="1" applyBorder="1"/>
    <xf numFmtId="165" fontId="11" fillId="0" borderId="10" xfId="0" applyNumberFormat="1" applyFont="1" applyBorder="1" applyAlignment="1">
      <alignment horizontal="center"/>
    </xf>
    <xf numFmtId="0" fontId="11" fillId="0" borderId="10" xfId="0" applyFont="1" applyBorder="1" applyAlignment="1">
      <alignment horizontal="center"/>
    </xf>
    <xf numFmtId="0" fontId="11" fillId="0" borderId="12" xfId="0" applyFont="1" applyFill="1" applyBorder="1"/>
    <xf numFmtId="165" fontId="11" fillId="0" borderId="0" xfId="0" applyNumberFormat="1" applyFont="1" applyBorder="1" applyAlignment="1">
      <alignment horizontal="center"/>
    </xf>
    <xf numFmtId="0" fontId="11" fillId="0" borderId="0" xfId="0" applyFont="1" applyBorder="1" applyAlignment="1">
      <alignment horizontal="center"/>
    </xf>
    <xf numFmtId="0" fontId="11" fillId="0" borderId="14" xfId="0" applyFont="1" applyFill="1" applyBorder="1"/>
    <xf numFmtId="0" fontId="11" fillId="0" borderId="15" xfId="0" applyFont="1" applyBorder="1" applyAlignment="1">
      <alignment horizontal="center"/>
    </xf>
    <xf numFmtId="0" fontId="3" fillId="2" borderId="13" xfId="0" applyFont="1" applyFill="1" applyBorder="1" applyAlignment="1">
      <alignment horizontal="center"/>
    </xf>
    <xf numFmtId="0" fontId="10" fillId="0" borderId="11" xfId="0" applyFont="1" applyBorder="1" applyAlignment="1">
      <alignment horizontal="center"/>
    </xf>
    <xf numFmtId="0" fontId="10" fillId="0" borderId="13" xfId="0" applyFont="1" applyBorder="1" applyAlignment="1">
      <alignment horizontal="center"/>
    </xf>
    <xf numFmtId="0" fontId="10" fillId="0" borderId="16" xfId="0" applyFont="1" applyBorder="1" applyAlignment="1">
      <alignment horizontal="center"/>
    </xf>
    <xf numFmtId="0" fontId="12" fillId="0" borderId="0" xfId="0" applyFont="1"/>
    <xf numFmtId="0" fontId="12" fillId="0" borderId="0" xfId="0" applyFont="1" applyAlignment="1">
      <alignment horizontal="center"/>
    </xf>
    <xf numFmtId="0" fontId="0" fillId="0" borderId="0" xfId="0" applyFill="1" applyBorder="1" applyAlignment="1">
      <alignment horizontal="center"/>
    </xf>
    <xf numFmtId="0" fontId="6" fillId="0" borderId="0" xfId="0" applyFont="1" applyAlignment="1">
      <alignment horizontal="right"/>
    </xf>
    <xf numFmtId="0" fontId="0" fillId="0" borderId="0" xfId="0" applyFill="1" applyBorder="1" applyAlignment="1">
      <alignment horizontal="left"/>
    </xf>
    <xf numFmtId="0" fontId="8" fillId="0" borderId="9" xfId="0" applyFont="1" applyBorder="1" applyAlignment="1">
      <alignment horizontal="left"/>
    </xf>
    <xf numFmtId="0" fontId="13" fillId="0" borderId="10" xfId="0" applyFont="1" applyFill="1" applyBorder="1" applyAlignment="1">
      <alignment horizontal="center"/>
    </xf>
    <xf numFmtId="0" fontId="13" fillId="0" borderId="10" xfId="0" applyFont="1" applyBorder="1" applyAlignment="1">
      <alignment horizontal="left"/>
    </xf>
    <xf numFmtId="0" fontId="13" fillId="0" borderId="10" xfId="0" applyFont="1" applyBorder="1" applyAlignment="1">
      <alignment horizontal="center"/>
    </xf>
    <xf numFmtId="0" fontId="13" fillId="0" borderId="11" xfId="0" applyFont="1" applyBorder="1"/>
    <xf numFmtId="0" fontId="13" fillId="0" borderId="12" xfId="0" applyFont="1" applyBorder="1"/>
    <xf numFmtId="0" fontId="13" fillId="0" borderId="0" xfId="0" applyFont="1" applyFill="1" applyBorder="1" applyAlignment="1">
      <alignment horizontal="center"/>
    </xf>
    <xf numFmtId="0" fontId="13" fillId="0" borderId="0" xfId="0" applyFont="1" applyBorder="1" applyAlignment="1">
      <alignment horizontal="left"/>
    </xf>
    <xf numFmtId="0" fontId="13" fillId="0" borderId="0" xfId="0" applyFont="1" applyBorder="1" applyAlignment="1">
      <alignment horizontal="center"/>
    </xf>
    <xf numFmtId="0" fontId="13" fillId="0" borderId="13" xfId="0" applyFont="1" applyBorder="1"/>
    <xf numFmtId="0" fontId="13" fillId="0" borderId="12" xfId="0" applyFont="1" applyBorder="1" applyAlignment="1">
      <alignment horizontal="right"/>
    </xf>
    <xf numFmtId="0" fontId="13" fillId="0" borderId="13" xfId="0" applyFont="1" applyBorder="1" applyAlignment="1">
      <alignment horizontal="center"/>
    </xf>
    <xf numFmtId="0" fontId="13" fillId="0" borderId="19" xfId="0" quotePrefix="1" applyFont="1" applyBorder="1"/>
    <xf numFmtId="164" fontId="13" fillId="0" borderId="8" xfId="0" applyNumberFormat="1" applyFont="1" applyBorder="1" applyAlignment="1">
      <alignment horizontal="center"/>
    </xf>
    <xf numFmtId="164" fontId="13" fillId="0" borderId="20" xfId="0" applyNumberFormat="1" applyFont="1" applyFill="1" applyBorder="1"/>
    <xf numFmtId="164" fontId="13" fillId="0" borderId="0" xfId="0" applyNumberFormat="1" applyFont="1" applyBorder="1" applyAlignment="1">
      <alignment horizontal="center"/>
    </xf>
    <xf numFmtId="164" fontId="13" fillId="0" borderId="13" xfId="0" applyNumberFormat="1" applyFont="1" applyFill="1" applyBorder="1"/>
    <xf numFmtId="0" fontId="13" fillId="0" borderId="17" xfId="0" applyFont="1" applyFill="1" applyBorder="1"/>
    <xf numFmtId="0" fontId="13" fillId="0" borderId="7" xfId="0" applyNumberFormat="1" applyFont="1" applyFill="1" applyBorder="1" applyAlignment="1">
      <alignment horizontal="center"/>
    </xf>
    <xf numFmtId="164" fontId="13" fillId="3" borderId="8" xfId="0" applyNumberFormat="1" applyFont="1" applyFill="1" applyBorder="1" applyAlignment="1">
      <alignment horizontal="center"/>
    </xf>
    <xf numFmtId="164" fontId="13" fillId="0" borderId="5" xfId="0" applyNumberFormat="1" applyFont="1" applyBorder="1" applyAlignment="1">
      <alignment horizontal="center"/>
    </xf>
    <xf numFmtId="164" fontId="13" fillId="3" borderId="0" xfId="0" applyNumberFormat="1" applyFont="1" applyFill="1" applyBorder="1" applyAlignment="1">
      <alignment horizontal="center"/>
    </xf>
    <xf numFmtId="164" fontId="13" fillId="0" borderId="3" xfId="0" applyNumberFormat="1" applyFont="1" applyBorder="1" applyAlignment="1">
      <alignment horizontal="center"/>
    </xf>
    <xf numFmtId="164" fontId="13" fillId="3" borderId="7" xfId="0" applyNumberFormat="1" applyFont="1" applyFill="1" applyBorder="1" applyAlignment="1">
      <alignment horizontal="center"/>
    </xf>
    <xf numFmtId="164" fontId="13" fillId="0" borderId="7" xfId="0" applyNumberFormat="1" applyFont="1" applyBorder="1" applyAlignment="1">
      <alignment horizontal="center"/>
    </xf>
    <xf numFmtId="164" fontId="13" fillId="0" borderId="1" xfId="0" applyNumberFormat="1" applyFont="1" applyBorder="1" applyAlignment="1">
      <alignment horizontal="center"/>
    </xf>
    <xf numFmtId="164" fontId="13" fillId="3" borderId="5" xfId="0" applyNumberFormat="1" applyFont="1" applyFill="1" applyBorder="1" applyAlignment="1">
      <alignment horizontal="center"/>
    </xf>
    <xf numFmtId="164" fontId="13" fillId="3" borderId="3" xfId="0" applyNumberFormat="1" applyFont="1" applyFill="1" applyBorder="1" applyAlignment="1">
      <alignment horizontal="center"/>
    </xf>
    <xf numFmtId="164" fontId="13" fillId="3" borderId="1" xfId="0" applyNumberFormat="1" applyFont="1" applyFill="1" applyBorder="1" applyAlignment="1">
      <alignment horizontal="center"/>
    </xf>
    <xf numFmtId="0" fontId="13" fillId="0" borderId="19" xfId="0" applyFont="1" applyBorder="1"/>
    <xf numFmtId="0" fontId="13" fillId="0" borderId="21" xfId="0" applyFont="1" applyBorder="1" applyAlignment="1">
      <alignment horizontal="center"/>
    </xf>
    <xf numFmtId="0" fontId="13" fillId="0" borderId="22" xfId="0" applyFont="1" applyBorder="1" applyAlignment="1">
      <alignment horizontal="center"/>
    </xf>
    <xf numFmtId="0" fontId="13" fillId="0" borderId="14" xfId="0" applyFont="1" applyBorder="1"/>
    <xf numFmtId="0" fontId="13" fillId="0" borderId="15" xfId="0" applyFont="1" applyBorder="1"/>
    <xf numFmtId="0" fontId="13" fillId="0" borderId="16" xfId="0" applyFont="1" applyBorder="1"/>
    <xf numFmtId="0" fontId="8" fillId="0" borderId="9" xfId="2" applyFont="1" applyFill="1" applyBorder="1"/>
    <xf numFmtId="0" fontId="13" fillId="0" borderId="10" xfId="2" applyFont="1" applyFill="1" applyBorder="1" applyAlignment="1">
      <alignment horizontal="center"/>
    </xf>
    <xf numFmtId="3" fontId="13" fillId="0" borderId="11" xfId="2" applyNumberFormat="1" applyFont="1" applyFill="1" applyBorder="1" applyAlignment="1">
      <alignment horizontal="left"/>
    </xf>
    <xf numFmtId="0" fontId="13" fillId="0" borderId="12" xfId="2" applyFont="1" applyFill="1" applyBorder="1" applyAlignment="1">
      <alignment horizontal="right"/>
    </xf>
    <xf numFmtId="0" fontId="13" fillId="0" borderId="0" xfId="2" applyFont="1" applyFill="1" applyBorder="1" applyAlignment="1">
      <alignment horizontal="left"/>
    </xf>
    <xf numFmtId="0" fontId="13" fillId="0" borderId="13" xfId="2" applyFont="1" applyFill="1" applyBorder="1" applyAlignment="1">
      <alignment horizontal="right"/>
    </xf>
    <xf numFmtId="0" fontId="13" fillId="0" borderId="13" xfId="2" applyFont="1" applyFill="1" applyBorder="1" applyAlignment="1">
      <alignment horizontal="center"/>
    </xf>
    <xf numFmtId="0" fontId="13" fillId="0" borderId="0" xfId="2" applyFont="1" applyFill="1" applyBorder="1" applyAlignment="1">
      <alignment horizontal="center"/>
    </xf>
    <xf numFmtId="164" fontId="13" fillId="0" borderId="13" xfId="2" applyNumberFormat="1" applyFont="1" applyFill="1" applyBorder="1" applyAlignment="1">
      <alignment horizontal="center"/>
    </xf>
    <xf numFmtId="0" fontId="13" fillId="0" borderId="12" xfId="2" applyFont="1" applyFill="1" applyBorder="1" applyAlignment="1">
      <alignment horizontal="center"/>
    </xf>
    <xf numFmtId="0" fontId="13" fillId="0" borderId="14" xfId="2" applyFont="1" applyFill="1" applyBorder="1" applyAlignment="1">
      <alignment horizontal="center"/>
    </xf>
    <xf numFmtId="0" fontId="13" fillId="0" borderId="15" xfId="2" applyFont="1" applyFill="1" applyBorder="1" applyAlignment="1">
      <alignment horizontal="center"/>
    </xf>
    <xf numFmtId="164" fontId="13" fillId="0" borderId="16" xfId="2" applyNumberFormat="1" applyFont="1" applyFill="1" applyBorder="1" applyAlignment="1">
      <alignment horizontal="center"/>
    </xf>
    <xf numFmtId="0" fontId="3" fillId="0" borderId="7" xfId="0" applyFont="1" applyFill="1" applyBorder="1" applyAlignment="1">
      <alignment horizontal="center"/>
    </xf>
    <xf numFmtId="0" fontId="3" fillId="0" borderId="18" xfId="0" applyFont="1" applyBorder="1" applyAlignment="1">
      <alignment horizontal="center"/>
    </xf>
    <xf numFmtId="0" fontId="4" fillId="0" borderId="0" xfId="2" applyFont="1" applyFill="1" applyBorder="1" applyAlignment="1">
      <alignment horizontal="center"/>
    </xf>
    <xf numFmtId="168" fontId="4" fillId="0" borderId="0" xfId="2" applyNumberFormat="1" applyFont="1" applyFill="1" applyBorder="1" applyAlignment="1">
      <alignment horizontal="center"/>
    </xf>
    <xf numFmtId="165" fontId="4" fillId="0" borderId="0" xfId="2" applyNumberFormat="1" applyFont="1" applyFill="1" applyBorder="1" applyAlignment="1">
      <alignment horizontal="center"/>
    </xf>
    <xf numFmtId="164" fontId="4" fillId="0" borderId="0" xfId="1" applyNumberFormat="1" applyFont="1" applyFill="1" applyBorder="1" applyAlignment="1">
      <alignment horizontal="center"/>
    </xf>
    <xf numFmtId="164" fontId="4" fillId="0" borderId="15" xfId="1" applyNumberFormat="1" applyFont="1" applyFill="1" applyBorder="1" applyAlignment="1">
      <alignment horizontal="center"/>
    </xf>
    <xf numFmtId="164" fontId="4" fillId="0" borderId="5" xfId="0" applyNumberFormat="1" applyFont="1" applyBorder="1" applyAlignment="1">
      <alignment horizontal="center"/>
    </xf>
    <xf numFmtId="164" fontId="4" fillId="0" borderId="3" xfId="0" applyNumberFormat="1" applyFont="1" applyBorder="1" applyAlignment="1">
      <alignment horizontal="center"/>
    </xf>
    <xf numFmtId="164" fontId="4" fillId="0" borderId="23" xfId="0" applyNumberFormat="1" applyFont="1" applyBorder="1" applyAlignment="1">
      <alignment horizontal="center"/>
    </xf>
    <xf numFmtId="0" fontId="4" fillId="0" borderId="0" xfId="0" applyFont="1" applyFill="1" applyBorder="1" applyAlignment="1">
      <alignment horizontal="center"/>
    </xf>
    <xf numFmtId="164" fontId="4" fillId="0" borderId="18" xfId="0" applyNumberFormat="1" applyFont="1" applyFill="1" applyBorder="1"/>
    <xf numFmtId="0" fontId="3" fillId="0" borderId="0" xfId="0" applyFont="1" applyAlignment="1">
      <alignment horizontal="left"/>
    </xf>
    <xf numFmtId="0" fontId="0" fillId="0" borderId="0" xfId="0" applyAlignment="1">
      <alignment horizontal="left"/>
    </xf>
    <xf numFmtId="11" fontId="0" fillId="0" borderId="0" xfId="0" applyNumberFormat="1"/>
    <xf numFmtId="165" fontId="0" fillId="0" borderId="15" xfId="0" applyNumberFormat="1" applyBorder="1" applyAlignment="1">
      <alignment horizontal="center"/>
    </xf>
    <xf numFmtId="0" fontId="9" fillId="0" borderId="12" xfId="0" applyFont="1" applyBorder="1"/>
    <xf numFmtId="0" fontId="3" fillId="0" borderId="14" xfId="0" applyFont="1" applyBorder="1"/>
    <xf numFmtId="165" fontId="3" fillId="0" borderId="15" xfId="0" applyNumberFormat="1"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4" fillId="6" borderId="9" xfId="0" applyFont="1" applyFill="1" applyBorder="1"/>
    <xf numFmtId="0" fontId="0" fillId="6" borderId="10" xfId="0" applyFill="1" applyBorder="1" applyAlignment="1">
      <alignment horizontal="center"/>
    </xf>
    <xf numFmtId="0" fontId="10" fillId="0" borderId="12" xfId="0" applyFont="1" applyBorder="1"/>
    <xf numFmtId="165" fontId="10" fillId="0" borderId="0" xfId="0" applyNumberFormat="1" applyFont="1" applyBorder="1" applyAlignment="1">
      <alignment horizontal="center"/>
    </xf>
    <xf numFmtId="0" fontId="10" fillId="0" borderId="0" xfId="0" applyFont="1" applyBorder="1" applyAlignment="1">
      <alignment horizontal="center"/>
    </xf>
    <xf numFmtId="0" fontId="10" fillId="0" borderId="14" xfId="0" applyFont="1" applyBorder="1"/>
    <xf numFmtId="165" fontId="10" fillId="0" borderId="15" xfId="0" applyNumberFormat="1" applyFont="1" applyBorder="1" applyAlignment="1">
      <alignment horizontal="center"/>
    </xf>
    <xf numFmtId="0" fontId="10" fillId="0" borderId="15" xfId="0" applyFont="1" applyBorder="1" applyAlignment="1">
      <alignment horizontal="center"/>
    </xf>
    <xf numFmtId="165" fontId="3" fillId="0" borderId="0" xfId="0" applyNumberFormat="1" applyFont="1" applyBorder="1" applyAlignment="1">
      <alignment horizontal="center"/>
    </xf>
    <xf numFmtId="0" fontId="0" fillId="0" borderId="0" xfId="0" applyBorder="1"/>
    <xf numFmtId="0" fontId="0" fillId="0" borderId="13" xfId="0" applyBorder="1"/>
    <xf numFmtId="0" fontId="3" fillId="0" borderId="0" xfId="0" applyFont="1" applyBorder="1"/>
    <xf numFmtId="0" fontId="0" fillId="0" borderId="15" xfId="0" applyBorder="1"/>
    <xf numFmtId="0" fontId="0" fillId="0" borderId="16" xfId="0" applyBorder="1"/>
    <xf numFmtId="0" fontId="0" fillId="6" borderId="10" xfId="0" applyFill="1" applyBorder="1" applyAlignment="1">
      <alignment horizontal="left"/>
    </xf>
    <xf numFmtId="0" fontId="0" fillId="6" borderId="11" xfId="0" applyFill="1" applyBorder="1" applyAlignment="1">
      <alignment horizontal="center"/>
    </xf>
    <xf numFmtId="0" fontId="3" fillId="6" borderId="10" xfId="0" applyFont="1" applyFill="1" applyBorder="1" applyAlignment="1">
      <alignment horizontal="center"/>
    </xf>
    <xf numFmtId="0" fontId="14" fillId="0" borderId="13" xfId="0" applyFont="1" applyBorder="1" applyAlignment="1">
      <alignment horizontal="left"/>
    </xf>
    <xf numFmtId="0" fontId="3" fillId="6" borderId="10" xfId="0" applyNumberFormat="1" applyFont="1" applyFill="1" applyBorder="1" applyAlignment="1">
      <alignment horizontal="center"/>
    </xf>
    <xf numFmtId="0" fontId="0" fillId="6" borderId="11" xfId="0" applyFont="1" applyFill="1" applyBorder="1" applyAlignment="1">
      <alignment horizontal="center"/>
    </xf>
    <xf numFmtId="0" fontId="0" fillId="0" borderId="13" xfId="0" applyFont="1" applyBorder="1" applyAlignment="1">
      <alignment horizontal="center"/>
    </xf>
    <xf numFmtId="0" fontId="0" fillId="0" borderId="13" xfId="0" applyFont="1" applyBorder="1" applyAlignment="1">
      <alignment horizontal="left"/>
    </xf>
    <xf numFmtId="0" fontId="0" fillId="0" borderId="0" xfId="0" applyFont="1" applyBorder="1" applyAlignment="1">
      <alignment horizontal="center"/>
    </xf>
    <xf numFmtId="165" fontId="0" fillId="0" borderId="15" xfId="0" applyNumberFormat="1" applyFill="1" applyBorder="1" applyAlignment="1">
      <alignment horizontal="center"/>
    </xf>
    <xf numFmtId="0" fontId="0" fillId="2" borderId="10" xfId="0" applyFill="1" applyBorder="1" applyAlignment="1">
      <alignment horizontal="left"/>
    </xf>
    <xf numFmtId="0" fontId="0" fillId="2" borderId="11" xfId="0" applyFill="1" applyBorder="1" applyAlignment="1">
      <alignment horizontal="center"/>
    </xf>
    <xf numFmtId="0" fontId="11" fillId="0" borderId="9" xfId="0" applyFont="1" applyBorder="1"/>
    <xf numFmtId="0" fontId="11" fillId="0" borderId="13" xfId="0" applyFont="1" applyBorder="1" applyAlignment="1">
      <alignment horizontal="center"/>
    </xf>
    <xf numFmtId="0" fontId="3" fillId="0" borderId="0" xfId="0" applyFont="1" applyAlignment="1">
      <alignment horizontal="left"/>
    </xf>
    <xf numFmtId="0" fontId="4" fillId="0" borderId="0" xfId="0" applyFont="1" applyAlignment="1">
      <alignment horizontal="left"/>
    </xf>
    <xf numFmtId="0" fontId="0" fillId="0" borderId="11" xfId="0" applyBorder="1"/>
    <xf numFmtId="0" fontId="4" fillId="0" borderId="31" xfId="0" applyFont="1" applyFill="1" applyBorder="1"/>
    <xf numFmtId="0" fontId="3" fillId="0" borderId="31" xfId="0" applyFont="1" applyFill="1" applyBorder="1" applyAlignment="1">
      <alignment horizontal="center"/>
    </xf>
    <xf numFmtId="0" fontId="3" fillId="0" borderId="31" xfId="0" applyFont="1" applyBorder="1" applyAlignment="1">
      <alignment horizontal="right"/>
    </xf>
    <xf numFmtId="0" fontId="0" fillId="5" borderId="31" xfId="0" applyFill="1" applyBorder="1" applyAlignment="1">
      <alignment horizontal="center"/>
    </xf>
    <xf numFmtId="0" fontId="0" fillId="5" borderId="31" xfId="0" applyNumberFormat="1" applyFill="1" applyBorder="1" applyAlignment="1">
      <alignment horizontal="center"/>
    </xf>
    <xf numFmtId="0" fontId="0" fillId="0" borderId="31" xfId="0" applyBorder="1" applyAlignment="1">
      <alignment horizontal="center"/>
    </xf>
    <xf numFmtId="0" fontId="0" fillId="0" borderId="10" xfId="0" applyBorder="1"/>
    <xf numFmtId="165" fontId="4" fillId="0" borderId="0" xfId="0" applyNumberFormat="1" applyFont="1" applyFill="1" applyBorder="1" applyAlignment="1">
      <alignment horizontal="center"/>
    </xf>
    <xf numFmtId="0" fontId="3" fillId="0" borderId="0" xfId="0" applyFont="1" applyFill="1" applyBorder="1" applyAlignment="1">
      <alignment horizontal="center"/>
    </xf>
    <xf numFmtId="0" fontId="6" fillId="0" borderId="0" xfId="0" applyNumberFormat="1" applyFont="1" applyBorder="1" applyAlignment="1">
      <alignment horizontal="center"/>
    </xf>
    <xf numFmtId="0" fontId="0" fillId="0" borderId="0" xfId="0" applyBorder="1" applyAlignment="1">
      <alignment horizontal="left"/>
    </xf>
    <xf numFmtId="0" fontId="15" fillId="0" borderId="0" xfId="0" applyFont="1" applyBorder="1"/>
    <xf numFmtId="0" fontId="4" fillId="0" borderId="9" xfId="0" applyFont="1" applyFill="1" applyBorder="1" applyAlignment="1">
      <alignment horizontal="left"/>
    </xf>
    <xf numFmtId="0" fontId="0" fillId="0" borderId="12" xfId="0" applyBorder="1"/>
    <xf numFmtId="0" fontId="9" fillId="0" borderId="0" xfId="0" applyFont="1" applyBorder="1"/>
    <xf numFmtId="0" fontId="0" fillId="0" borderId="10" xfId="0" applyBorder="1" applyAlignment="1">
      <alignment horizontal="left"/>
    </xf>
    <xf numFmtId="165" fontId="4" fillId="0" borderId="15" xfId="0" applyNumberFormat="1" applyFont="1" applyFill="1" applyBorder="1" applyAlignment="1">
      <alignment horizontal="center"/>
    </xf>
    <xf numFmtId="0" fontId="0" fillId="0" borderId="10" xfId="0" applyFill="1" applyBorder="1" applyAlignment="1">
      <alignment horizontal="center"/>
    </xf>
    <xf numFmtId="0" fontId="0" fillId="0" borderId="10" xfId="0" applyFill="1" applyBorder="1" applyAlignment="1">
      <alignment horizontal="left"/>
    </xf>
    <xf numFmtId="0" fontId="0" fillId="0" borderId="10" xfId="0" applyFill="1" applyBorder="1"/>
    <xf numFmtId="0" fontId="4" fillId="0" borderId="9" xfId="0" applyFont="1" applyFill="1" applyBorder="1"/>
    <xf numFmtId="0" fontId="0" fillId="0" borderId="11" xfId="0" applyFill="1" applyBorder="1"/>
    <xf numFmtId="0" fontId="0" fillId="0" borderId="13" xfId="0" applyFont="1" applyFill="1" applyBorder="1" applyAlignment="1">
      <alignment horizontal="center"/>
    </xf>
    <xf numFmtId="0" fontId="3" fillId="0" borderId="10" xfId="0" applyFont="1" applyFill="1" applyBorder="1" applyAlignment="1">
      <alignment horizontal="center"/>
    </xf>
    <xf numFmtId="0" fontId="0" fillId="0" borderId="11" xfId="0" applyFill="1" applyBorder="1" applyAlignment="1">
      <alignment horizontal="center"/>
    </xf>
    <xf numFmtId="0" fontId="3" fillId="0" borderId="13" xfId="0" applyFont="1" applyFill="1" applyBorder="1" applyAlignment="1">
      <alignment horizontal="center"/>
    </xf>
    <xf numFmtId="0" fontId="3" fillId="0" borderId="0" xfId="0" applyFont="1" applyBorder="1" applyAlignment="1"/>
    <xf numFmtId="0" fontId="0" fillId="0" borderId="27" xfId="0" applyBorder="1" applyAlignment="1">
      <alignment horizontal="center" vertical="center"/>
    </xf>
    <xf numFmtId="0" fontId="0" fillId="0" borderId="29" xfId="0" applyBorder="1" applyAlignment="1">
      <alignment horizontal="center" vertical="center"/>
    </xf>
    <xf numFmtId="0" fontId="0" fillId="9" borderId="0" xfId="0" applyFill="1" applyBorder="1" applyAlignment="1">
      <alignment horizontal="center"/>
    </xf>
    <xf numFmtId="165" fontId="3" fillId="9" borderId="0" xfId="0" applyNumberFormat="1" applyFont="1" applyFill="1" applyBorder="1" applyAlignment="1">
      <alignment horizontal="center"/>
    </xf>
    <xf numFmtId="165" fontId="0" fillId="9" borderId="0" xfId="1" applyNumberFormat="1" applyFont="1" applyFill="1" applyBorder="1" applyAlignment="1">
      <alignment horizontal="center"/>
    </xf>
    <xf numFmtId="0" fontId="0" fillId="5" borderId="32" xfId="0" applyFill="1" applyBorder="1" applyAlignment="1">
      <alignment horizontal="center"/>
    </xf>
    <xf numFmtId="165" fontId="0" fillId="9" borderId="32" xfId="0" applyNumberFormat="1" applyFill="1" applyBorder="1" applyAlignment="1">
      <alignment horizontal="center"/>
    </xf>
    <xf numFmtId="0" fontId="0" fillId="5" borderId="32" xfId="0" applyNumberFormat="1" applyFill="1" applyBorder="1" applyAlignment="1">
      <alignment horizontal="center"/>
    </xf>
    <xf numFmtId="0" fontId="3" fillId="0" borderId="39" xfId="0" applyFont="1" applyBorder="1" applyAlignment="1">
      <alignment horizontal="right"/>
    </xf>
    <xf numFmtId="0" fontId="3" fillId="0" borderId="41" xfId="0" applyFont="1" applyBorder="1" applyAlignment="1">
      <alignment horizontal="right"/>
    </xf>
    <xf numFmtId="0" fontId="3" fillId="0" borderId="13" xfId="0" applyFont="1" applyBorder="1" applyAlignment="1"/>
    <xf numFmtId="0" fontId="3" fillId="0" borderId="36" xfId="0" applyFont="1" applyBorder="1" applyAlignment="1"/>
    <xf numFmtId="1" fontId="0" fillId="0" borderId="0" xfId="0" applyNumberFormat="1"/>
    <xf numFmtId="0" fontId="3" fillId="0" borderId="47" xfId="0" applyFont="1" applyBorder="1" applyAlignment="1">
      <alignment horizontal="center" vertical="center"/>
    </xf>
    <xf numFmtId="0" fontId="3" fillId="0" borderId="48" xfId="0" applyFont="1" applyBorder="1" applyAlignment="1">
      <alignment horizontal="center" vertical="center"/>
    </xf>
    <xf numFmtId="2" fontId="0" fillId="0" borderId="24" xfId="0" applyNumberFormat="1" applyBorder="1" applyAlignment="1">
      <alignment horizontal="center" vertical="center"/>
    </xf>
    <xf numFmtId="2" fontId="6" fillId="0" borderId="0" xfId="0" applyNumberFormat="1" applyFont="1"/>
    <xf numFmtId="3" fontId="18" fillId="2" borderId="5" xfId="2" applyNumberFormat="1" applyFont="1" applyFill="1" applyBorder="1" applyAlignment="1">
      <alignment horizontal="center"/>
    </xf>
    <xf numFmtId="3" fontId="18" fillId="2" borderId="3" xfId="2" applyNumberFormat="1" applyFont="1" applyFill="1" applyBorder="1" applyAlignment="1">
      <alignment horizontal="center"/>
    </xf>
    <xf numFmtId="3" fontId="18" fillId="2" borderId="1" xfId="2" applyNumberFormat="1" applyFont="1" applyFill="1" applyBorder="1" applyAlignment="1">
      <alignment horizontal="center"/>
    </xf>
    <xf numFmtId="0" fontId="2" fillId="0" borderId="0" xfId="4" applyAlignment="1">
      <alignment horizontal="center" vertical="center"/>
    </xf>
    <xf numFmtId="0" fontId="21" fillId="0" borderId="24" xfId="4" applyFont="1" applyBorder="1" applyAlignment="1">
      <alignment horizontal="center" vertical="center"/>
    </xf>
    <xf numFmtId="0" fontId="2" fillId="0" borderId="24" xfId="4" applyBorder="1" applyAlignment="1">
      <alignment horizontal="center" vertical="center"/>
    </xf>
    <xf numFmtId="0" fontId="21" fillId="0" borderId="27" xfId="4" applyFont="1" applyBorder="1" applyAlignment="1">
      <alignment horizontal="center" vertical="center"/>
    </xf>
    <xf numFmtId="0" fontId="21" fillId="0" borderId="28" xfId="4" applyFont="1" applyBorder="1" applyAlignment="1">
      <alignment horizontal="center" vertical="center"/>
    </xf>
    <xf numFmtId="0" fontId="21" fillId="0" borderId="29" xfId="4" applyFont="1" applyBorder="1" applyAlignment="1">
      <alignment horizontal="center" vertical="center"/>
    </xf>
    <xf numFmtId="0" fontId="21" fillId="0" borderId="50" xfId="4" applyFont="1" applyBorder="1" applyAlignment="1">
      <alignment horizontal="center" vertical="center"/>
    </xf>
    <xf numFmtId="0" fontId="21" fillId="0" borderId="30" xfId="4" applyFont="1" applyBorder="1" applyAlignment="1">
      <alignment horizontal="center" vertical="center"/>
    </xf>
    <xf numFmtId="0" fontId="2" fillId="0" borderId="27" xfId="4" applyBorder="1" applyAlignment="1">
      <alignment horizontal="center" vertical="center"/>
    </xf>
    <xf numFmtId="0" fontId="2" fillId="0" borderId="28" xfId="4" applyBorder="1" applyAlignment="1">
      <alignment horizontal="center" vertical="center"/>
    </xf>
    <xf numFmtId="0" fontId="2" fillId="0" borderId="29" xfId="4" applyBorder="1" applyAlignment="1">
      <alignment horizontal="center" vertical="center"/>
    </xf>
    <xf numFmtId="0" fontId="2" fillId="0" borderId="50" xfId="4" applyBorder="1" applyAlignment="1">
      <alignment horizontal="center" vertical="center"/>
    </xf>
    <xf numFmtId="0" fontId="2" fillId="0" borderId="30" xfId="4" applyBorder="1" applyAlignment="1">
      <alignment horizontal="center" vertical="center"/>
    </xf>
    <xf numFmtId="0" fontId="1" fillId="0" borderId="0" xfId="4" applyFont="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left"/>
    </xf>
    <xf numFmtId="165" fontId="0" fillId="9" borderId="0" xfId="0" applyNumberFormat="1" applyFill="1" applyBorder="1" applyAlignment="1">
      <alignment horizontal="center"/>
    </xf>
    <xf numFmtId="0" fontId="3" fillId="0" borderId="13" xfId="0" applyFont="1" applyBorder="1" applyAlignment="1">
      <alignment horizontal="left"/>
    </xf>
    <xf numFmtId="0" fontId="3" fillId="0" borderId="16" xfId="0" applyFont="1" applyBorder="1" applyAlignment="1">
      <alignment horizontal="left"/>
    </xf>
    <xf numFmtId="0" fontId="0" fillId="0" borderId="15" xfId="0" applyBorder="1" applyAlignment="1">
      <alignment horizontal="center"/>
    </xf>
    <xf numFmtId="0" fontId="0" fillId="0" borderId="0" xfId="0" applyFont="1" applyFill="1" applyBorder="1" applyAlignment="1">
      <alignment horizontal="left"/>
    </xf>
    <xf numFmtId="0" fontId="0" fillId="0" borderId="13" xfId="0" applyFill="1" applyBorder="1" applyAlignment="1">
      <alignment horizontal="left"/>
    </xf>
    <xf numFmtId="0" fontId="0" fillId="0" borderId="13" xfId="0" applyBorder="1" applyAlignment="1">
      <alignment horizontal="left"/>
    </xf>
    <xf numFmtId="0" fontId="3" fillId="0" borderId="18" xfId="0" applyFont="1" applyBorder="1" applyAlignment="1">
      <alignment horizontal="left"/>
    </xf>
    <xf numFmtId="0" fontId="22" fillId="0" borderId="0" xfId="0" applyFont="1" applyBorder="1" applyAlignment="1">
      <alignment horizontal="center"/>
    </xf>
    <xf numFmtId="165" fontId="3" fillId="6" borderId="0" xfId="0" applyNumberFormat="1" applyFont="1" applyFill="1" applyBorder="1" applyAlignment="1">
      <alignment horizontal="center"/>
    </xf>
    <xf numFmtId="165" fontId="0" fillId="0" borderId="0" xfId="0" applyNumberFormat="1" applyFill="1" applyBorder="1" applyAlignment="1">
      <alignment horizontal="center"/>
    </xf>
    <xf numFmtId="0" fontId="0" fillId="0" borderId="15" xfId="0" applyFont="1" applyBorder="1" applyAlignment="1">
      <alignment horizontal="center"/>
    </xf>
    <xf numFmtId="0" fontId="0" fillId="6" borderId="11" xfId="0" applyFill="1" applyBorder="1"/>
    <xf numFmtId="0" fontId="0" fillId="0" borderId="0" xfId="0" quotePrefix="1" applyBorder="1" applyAlignment="1">
      <alignment horizontal="center"/>
    </xf>
    <xf numFmtId="165" fontId="0" fillId="0" borderId="15" xfId="1" applyNumberFormat="1" applyFont="1" applyFill="1" applyBorder="1" applyAlignment="1">
      <alignment horizontal="center"/>
    </xf>
    <xf numFmtId="0" fontId="3" fillId="0" borderId="15" xfId="0" applyFont="1" applyBorder="1" applyAlignment="1">
      <alignment horizontal="left"/>
    </xf>
    <xf numFmtId="0" fontId="0" fillId="0" borderId="16" xfId="0" applyFont="1" applyBorder="1" applyAlignment="1">
      <alignment horizontal="center"/>
    </xf>
    <xf numFmtId="0" fontId="23" fillId="0" borderId="11" xfId="0" applyFont="1" applyBorder="1" applyAlignment="1">
      <alignment horizontal="center"/>
    </xf>
    <xf numFmtId="0" fontId="4" fillId="5" borderId="9" xfId="0" applyFont="1" applyFill="1" applyBorder="1"/>
    <xf numFmtId="0" fontId="3" fillId="0" borderId="10" xfId="0" applyFont="1" applyBorder="1" applyAlignment="1">
      <alignment horizontal="center"/>
    </xf>
    <xf numFmtId="0" fontId="3" fillId="0" borderId="12" xfId="0" applyFont="1" applyBorder="1" applyAlignment="1">
      <alignment horizontal="right"/>
    </xf>
    <xf numFmtId="0" fontId="0" fillId="5" borderId="0" xfId="0" applyFill="1" applyBorder="1" applyAlignment="1">
      <alignment horizontal="center"/>
    </xf>
    <xf numFmtId="0" fontId="3" fillId="0" borderId="14" xfId="0" applyFont="1" applyBorder="1" applyAlignment="1">
      <alignment horizontal="right"/>
    </xf>
    <xf numFmtId="0" fontId="0" fillId="5" borderId="15" xfId="0" applyFill="1" applyBorder="1" applyAlignment="1">
      <alignment horizontal="center"/>
    </xf>
    <xf numFmtId="0" fontId="4" fillId="5" borderId="9" xfId="2" applyFont="1" applyFill="1" applyBorder="1"/>
    <xf numFmtId="0" fontId="3" fillId="0" borderId="10" xfId="2" applyFont="1" applyBorder="1" applyAlignment="1">
      <alignment horizontal="center"/>
    </xf>
    <xf numFmtId="0" fontId="3" fillId="0" borderId="11" xfId="2" applyFont="1" applyBorder="1" applyAlignment="1">
      <alignment horizontal="center"/>
    </xf>
    <xf numFmtId="0" fontId="3" fillId="0" borderId="12" xfId="2" applyFont="1" applyBorder="1" applyAlignment="1">
      <alignment horizontal="right"/>
    </xf>
    <xf numFmtId="0" fontId="3" fillId="0" borderId="14" xfId="2" applyFont="1" applyBorder="1" applyAlignment="1">
      <alignment horizontal="right"/>
    </xf>
    <xf numFmtId="0" fontId="3" fillId="2" borderId="19" xfId="2" applyFont="1" applyFill="1" applyBorder="1" applyAlignment="1">
      <alignment horizontal="right"/>
    </xf>
    <xf numFmtId="3" fontId="18" fillId="2" borderId="0" xfId="2" applyNumberFormat="1" applyFont="1" applyFill="1" applyBorder="1" applyAlignment="1">
      <alignment horizontal="center"/>
    </xf>
    <xf numFmtId="0" fontId="3" fillId="2" borderId="14" xfId="2" applyFont="1" applyFill="1" applyBorder="1" applyAlignment="1">
      <alignment horizontal="right"/>
    </xf>
    <xf numFmtId="0" fontId="3" fillId="0" borderId="0" xfId="2" applyFont="1"/>
    <xf numFmtId="0" fontId="3" fillId="5" borderId="0" xfId="2" applyFont="1" applyFill="1"/>
    <xf numFmtId="0" fontId="3" fillId="0" borderId="0" xfId="2" applyFont="1" applyFill="1"/>
    <xf numFmtId="0" fontId="3" fillId="5" borderId="0" xfId="2" applyFont="1" applyFill="1" applyBorder="1" applyAlignment="1">
      <alignment horizontal="center"/>
    </xf>
    <xf numFmtId="0" fontId="3" fillId="0" borderId="13" xfId="2" applyFont="1" applyFill="1" applyBorder="1" applyAlignment="1">
      <alignment horizontal="center"/>
    </xf>
    <xf numFmtId="0" fontId="3" fillId="5" borderId="15" xfId="2" applyFont="1" applyFill="1" applyBorder="1" applyAlignment="1">
      <alignment horizontal="center"/>
    </xf>
    <xf numFmtId="0" fontId="3" fillId="0" borderId="16" xfId="2" applyFont="1" applyBorder="1" applyAlignment="1">
      <alignment horizontal="center"/>
    </xf>
    <xf numFmtId="0" fontId="3" fillId="2" borderId="11" xfId="2" applyFont="1" applyFill="1" applyBorder="1" applyAlignment="1">
      <alignment horizontal="center"/>
    </xf>
    <xf numFmtId="3" fontId="3" fillId="2" borderId="0" xfId="2" applyNumberFormat="1" applyFont="1" applyFill="1" applyBorder="1" applyAlignment="1">
      <alignment horizontal="center"/>
    </xf>
    <xf numFmtId="0" fontId="3" fillId="2" borderId="13" xfId="2" applyFont="1" applyFill="1" applyBorder="1" applyAlignment="1">
      <alignment horizontal="center"/>
    </xf>
    <xf numFmtId="3" fontId="3" fillId="2" borderId="15" xfId="2" applyNumberFormat="1" applyFont="1" applyFill="1" applyBorder="1" applyAlignment="1">
      <alignment horizontal="center"/>
    </xf>
    <xf numFmtId="0" fontId="3" fillId="2" borderId="16" xfId="2" applyFont="1" applyFill="1" applyBorder="1" applyAlignment="1">
      <alignment horizontal="center"/>
    </xf>
    <xf numFmtId="0" fontId="3" fillId="9" borderId="0" xfId="2" applyFont="1" applyFill="1" applyBorder="1" applyAlignment="1">
      <alignment horizontal="center"/>
    </xf>
    <xf numFmtId="0" fontId="3" fillId="0" borderId="13" xfId="2" applyFont="1" applyBorder="1" applyAlignment="1">
      <alignment horizontal="center"/>
    </xf>
    <xf numFmtId="0" fontId="3" fillId="2" borderId="5" xfId="2" applyNumberFormat="1" applyFont="1" applyFill="1" applyBorder="1" applyAlignment="1">
      <alignment horizontal="center"/>
    </xf>
    <xf numFmtId="0" fontId="3" fillId="0" borderId="12" xfId="0" applyFont="1" applyFill="1" applyBorder="1" applyAlignment="1">
      <alignment horizontal="right"/>
    </xf>
    <xf numFmtId="0" fontId="3" fillId="0" borderId="14" xfId="0" applyFont="1" applyFill="1" applyBorder="1" applyAlignment="1">
      <alignment horizontal="right"/>
    </xf>
    <xf numFmtId="0" fontId="0" fillId="2" borderId="11" xfId="0" applyFill="1" applyBorder="1"/>
    <xf numFmtId="0" fontId="3" fillId="2" borderId="12" xfId="0" applyFont="1" applyFill="1" applyBorder="1" applyAlignment="1">
      <alignment horizontal="right"/>
    </xf>
    <xf numFmtId="0" fontId="0" fillId="2" borderId="13" xfId="0" applyFill="1" applyBorder="1"/>
    <xf numFmtId="165" fontId="0" fillId="2" borderId="0" xfId="0" applyNumberFormat="1" applyFill="1" applyBorder="1" applyAlignment="1">
      <alignment horizontal="center"/>
    </xf>
    <xf numFmtId="0" fontId="0" fillId="9" borderId="15" xfId="0" applyFill="1" applyBorder="1" applyAlignment="1">
      <alignment horizontal="center"/>
    </xf>
    <xf numFmtId="0" fontId="3" fillId="0" borderId="9" xfId="0" applyFont="1" applyFill="1" applyBorder="1" applyAlignment="1">
      <alignment horizontal="right"/>
    </xf>
    <xf numFmtId="3" fontId="18" fillId="0" borderId="11" xfId="2" applyNumberFormat="1" applyFont="1" applyFill="1" applyBorder="1" applyAlignment="1">
      <alignment horizontal="center"/>
    </xf>
    <xf numFmtId="3" fontId="18" fillId="0" borderId="13" xfId="2" applyNumberFormat="1" applyFont="1" applyFill="1" applyBorder="1" applyAlignment="1">
      <alignment horizontal="center"/>
    </xf>
    <xf numFmtId="3" fontId="18" fillId="0" borderId="16" xfId="2" applyNumberFormat="1" applyFont="1" applyFill="1" applyBorder="1" applyAlignment="1">
      <alignment horizontal="center"/>
    </xf>
    <xf numFmtId="0" fontId="23" fillId="0" borderId="0" xfId="0" applyFont="1" applyBorder="1" applyAlignment="1">
      <alignment horizontal="center"/>
    </xf>
    <xf numFmtId="0" fontId="0" fillId="2" borderId="13" xfId="0" applyFill="1" applyBorder="1" applyAlignment="1"/>
    <xf numFmtId="0" fontId="11" fillId="0" borderId="12" xfId="0" applyFont="1" applyFill="1" applyBorder="1" applyAlignment="1">
      <alignment horizontal="right"/>
    </xf>
    <xf numFmtId="0" fontId="11" fillId="0" borderId="14" xfId="0" applyFont="1" applyFill="1" applyBorder="1" applyAlignment="1">
      <alignment horizontal="right"/>
    </xf>
    <xf numFmtId="165" fontId="4" fillId="2" borderId="0" xfId="0" applyNumberFormat="1" applyFont="1" applyFill="1" applyBorder="1" applyAlignment="1">
      <alignment horizontal="center"/>
    </xf>
    <xf numFmtId="0" fontId="4" fillId="2" borderId="0" xfId="0" applyFont="1" applyFill="1" applyBorder="1" applyAlignment="1">
      <alignment horizontal="center"/>
    </xf>
    <xf numFmtId="0" fontId="4" fillId="2" borderId="10" xfId="0" applyFont="1" applyFill="1" applyBorder="1" applyAlignment="1">
      <alignment horizontal="center"/>
    </xf>
    <xf numFmtId="0" fontId="14" fillId="2" borderId="13" xfId="0" applyFont="1" applyFill="1" applyBorder="1"/>
    <xf numFmtId="0" fontId="0" fillId="9" borderId="0" xfId="0" applyFill="1" applyAlignment="1">
      <alignment horizontal="left"/>
    </xf>
    <xf numFmtId="0" fontId="0" fillId="9" borderId="0" xfId="0" applyFill="1" applyAlignment="1">
      <alignment horizontal="center"/>
    </xf>
    <xf numFmtId="0" fontId="0" fillId="0" borderId="0" xfId="0" applyFill="1" applyBorder="1"/>
    <xf numFmtId="0" fontId="12" fillId="0" borderId="0" xfId="0" applyFont="1" applyBorder="1" applyAlignment="1">
      <alignment horizontal="center"/>
    </xf>
    <xf numFmtId="166" fontId="0" fillId="0" borderId="0" xfId="0" applyNumberFormat="1" applyBorder="1" applyAlignment="1">
      <alignment horizontal="center"/>
    </xf>
    <xf numFmtId="0" fontId="3" fillId="0" borderId="12" xfId="0" quotePrefix="1" applyFont="1" applyBorder="1" applyAlignment="1">
      <alignment horizontal="right"/>
    </xf>
    <xf numFmtId="0" fontId="7" fillId="0" borderId="12" xfId="0" applyFont="1" applyBorder="1" applyAlignment="1">
      <alignment horizontal="left"/>
    </xf>
    <xf numFmtId="0" fontId="6" fillId="0" borderId="0" xfId="0" applyFont="1" applyFill="1" applyBorder="1" applyAlignment="1">
      <alignment horizontal="center"/>
    </xf>
    <xf numFmtId="167" fontId="3" fillId="0" borderId="0" xfId="0" applyNumberFormat="1" applyFont="1" applyBorder="1" applyAlignment="1">
      <alignment horizontal="center"/>
    </xf>
    <xf numFmtId="0" fontId="0" fillId="0" borderId="0" xfId="0" applyFont="1" applyBorder="1" applyAlignment="1">
      <alignment horizontal="left"/>
    </xf>
    <xf numFmtId="3" fontId="0" fillId="0" borderId="0" xfId="0" applyNumberFormat="1" applyBorder="1" applyAlignment="1">
      <alignment horizontal="left"/>
    </xf>
    <xf numFmtId="0" fontId="6" fillId="0" borderId="12" xfId="0" applyFont="1" applyBorder="1" applyAlignment="1">
      <alignment horizontal="right"/>
    </xf>
    <xf numFmtId="0" fontId="4" fillId="0" borderId="12" xfId="0" applyFont="1" applyBorder="1"/>
    <xf numFmtId="166" fontId="0" fillId="0" borderId="0" xfId="1" applyNumberFormat="1" applyFont="1" applyFill="1" applyBorder="1" applyAlignment="1"/>
    <xf numFmtId="0" fontId="4" fillId="7" borderId="12" xfId="0" applyFont="1" applyFill="1" applyBorder="1" applyAlignment="1">
      <alignment horizontal="left"/>
    </xf>
    <xf numFmtId="0" fontId="0" fillId="7" borderId="0" xfId="0" applyFill="1" applyBorder="1" applyAlignment="1">
      <alignment horizontal="center"/>
    </xf>
    <xf numFmtId="0" fontId="0" fillId="7" borderId="0" xfId="0" applyFill="1" applyBorder="1" applyAlignment="1">
      <alignment horizontal="left"/>
    </xf>
    <xf numFmtId="0" fontId="0" fillId="7" borderId="0" xfId="0" applyFill="1" applyBorder="1"/>
    <xf numFmtId="0" fontId="3" fillId="5" borderId="12" xfId="0" applyFont="1" applyFill="1" applyBorder="1"/>
    <xf numFmtId="0" fontId="3" fillId="0" borderId="12" xfId="0" applyFont="1" applyFill="1" applyBorder="1" applyAlignment="1">
      <alignment horizontal="left"/>
    </xf>
    <xf numFmtId="0" fontId="3" fillId="0" borderId="14" xfId="0" applyFont="1" applyFill="1" applyBorder="1" applyAlignment="1">
      <alignment horizontal="left"/>
    </xf>
    <xf numFmtId="0" fontId="22" fillId="0" borderId="0" xfId="0" applyFont="1" applyBorder="1"/>
    <xf numFmtId="0" fontId="3" fillId="0" borderId="0" xfId="0" applyFont="1" applyBorder="1" applyAlignment="1">
      <alignment horizontal="center"/>
    </xf>
    <xf numFmtId="0" fontId="3" fillId="0" borderId="13" xfId="0" applyFont="1" applyBorder="1" applyAlignment="1">
      <alignment horizontal="center"/>
    </xf>
    <xf numFmtId="0" fontId="6"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3" fillId="0" borderId="13" xfId="0" applyFont="1" applyBorder="1" applyAlignment="1">
      <alignment horizontal="center"/>
    </xf>
    <xf numFmtId="0" fontId="3" fillId="0" borderId="0" xfId="0" applyFont="1" applyFill="1" applyBorder="1" applyAlignment="1">
      <alignment horizontal="left"/>
    </xf>
    <xf numFmtId="0" fontId="0" fillId="0" borderId="15" xfId="0" applyBorder="1" applyAlignment="1">
      <alignment horizontal="left"/>
    </xf>
    <xf numFmtId="0" fontId="11" fillId="0" borderId="0" xfId="0" applyFont="1" applyFill="1" applyBorder="1"/>
    <xf numFmtId="169" fontId="11" fillId="0" borderId="0" xfId="1" applyNumberFormat="1"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center"/>
    </xf>
    <xf numFmtId="0" fontId="3" fillId="0" borderId="13" xfId="0" applyFont="1" applyBorder="1" applyAlignment="1">
      <alignment horizontal="center"/>
    </xf>
    <xf numFmtId="0" fontId="11" fillId="11" borderId="0" xfId="0" applyFont="1" applyFill="1" applyBorder="1"/>
    <xf numFmtId="169" fontId="11" fillId="11" borderId="0" xfId="1" applyNumberFormat="1" applyFont="1" applyFill="1" applyBorder="1" applyAlignment="1">
      <alignment horizontal="center"/>
    </xf>
    <xf numFmtId="0" fontId="11" fillId="11" borderId="0" xfId="0" applyFont="1" applyFill="1" applyBorder="1" applyAlignment="1">
      <alignment horizontal="center"/>
    </xf>
    <xf numFmtId="0" fontId="10" fillId="11" borderId="0" xfId="0" applyFont="1" applyFill="1" applyBorder="1" applyAlignment="1">
      <alignment horizontal="center"/>
    </xf>
    <xf numFmtId="0" fontId="0" fillId="11" borderId="0" xfId="0" applyFill="1" applyBorder="1" applyAlignment="1">
      <alignment horizontal="left"/>
    </xf>
    <xf numFmtId="0" fontId="0" fillId="11" borderId="0" xfId="0" applyFill="1" applyBorder="1"/>
    <xf numFmtId="0" fontId="0" fillId="11" borderId="0" xfId="0" applyFont="1" applyFill="1" applyBorder="1" applyAlignment="1">
      <alignment horizontal="center"/>
    </xf>
    <xf numFmtId="0" fontId="0" fillId="11" borderId="0" xfId="0" applyFill="1"/>
    <xf numFmtId="0" fontId="0" fillId="11" borderId="0" xfId="0" applyFill="1" applyAlignment="1">
      <alignment horizontal="center"/>
    </xf>
    <xf numFmtId="0" fontId="6" fillId="0" borderId="10" xfId="0" applyNumberFormat="1" applyFont="1" applyBorder="1" applyAlignment="1">
      <alignment horizontal="center"/>
    </xf>
    <xf numFmtId="0" fontId="0" fillId="0" borderId="0" xfId="0" applyBorder="1" applyAlignment="1">
      <alignment vertical="center"/>
    </xf>
    <xf numFmtId="0" fontId="4" fillId="0" borderId="49" xfId="0" applyFont="1" applyBorder="1" applyAlignment="1">
      <alignment horizontal="center" vertical="center"/>
    </xf>
    <xf numFmtId="0" fontId="4" fillId="0" borderId="26" xfId="0" applyFont="1" applyBorder="1" applyAlignment="1">
      <alignment horizontal="center" vertical="center"/>
    </xf>
    <xf numFmtId="0" fontId="0" fillId="0" borderId="28" xfId="0" applyBorder="1" applyAlignment="1">
      <alignment horizontal="center" vertical="center"/>
    </xf>
    <xf numFmtId="2" fontId="0" fillId="0" borderId="50" xfId="0" applyNumberFormat="1" applyBorder="1" applyAlignment="1">
      <alignment horizontal="center" vertical="center"/>
    </xf>
    <xf numFmtId="0" fontId="0" fillId="0" borderId="30" xfId="0" applyBorder="1" applyAlignment="1">
      <alignment horizontal="center" vertical="center"/>
    </xf>
    <xf numFmtId="3" fontId="0" fillId="9" borderId="0" xfId="1" applyNumberFormat="1" applyFont="1" applyFill="1" applyBorder="1" applyAlignment="1">
      <alignment horizontal="center"/>
    </xf>
    <xf numFmtId="3" fontId="11" fillId="0" borderId="0" xfId="0" applyNumberFormat="1" applyFont="1" applyBorder="1" applyAlignment="1">
      <alignment horizontal="center"/>
    </xf>
    <xf numFmtId="3" fontId="3" fillId="5" borderId="0" xfId="0" applyNumberFormat="1" applyFont="1" applyFill="1" applyBorder="1" applyAlignment="1">
      <alignment horizontal="center"/>
    </xf>
    <xf numFmtId="3" fontId="3" fillId="0" borderId="0" xfId="0" applyNumberFormat="1" applyFont="1" applyBorder="1" applyAlignment="1">
      <alignment horizontal="center"/>
    </xf>
    <xf numFmtId="3" fontId="0" fillId="5" borderId="0" xfId="1" applyNumberFormat="1" applyFont="1" applyFill="1" applyBorder="1" applyAlignment="1">
      <alignment horizontal="center"/>
    </xf>
    <xf numFmtId="3" fontId="11" fillId="0" borderId="15" xfId="1" applyNumberFormat="1" applyFont="1" applyBorder="1" applyAlignment="1">
      <alignment horizontal="center"/>
    </xf>
    <xf numFmtId="3" fontId="0" fillId="0" borderId="0" xfId="0" applyNumberFormat="1" applyBorder="1" applyAlignment="1">
      <alignment horizontal="center"/>
    </xf>
    <xf numFmtId="3" fontId="0" fillId="0" borderId="0" xfId="1" applyNumberFormat="1" applyFont="1" applyBorder="1" applyAlignment="1">
      <alignment horizontal="center"/>
    </xf>
    <xf numFmtId="3" fontId="3" fillId="9" borderId="0" xfId="0" applyNumberFormat="1" applyFont="1" applyFill="1" applyBorder="1" applyAlignment="1">
      <alignment horizontal="center"/>
    </xf>
    <xf numFmtId="3" fontId="0" fillId="9" borderId="0" xfId="0" applyNumberFormat="1" applyFill="1" applyBorder="1" applyAlignment="1">
      <alignment horizontal="center"/>
    </xf>
    <xf numFmtId="3" fontId="0" fillId="0" borderId="15" xfId="0" applyNumberFormat="1" applyBorder="1" applyAlignment="1">
      <alignment horizontal="center"/>
    </xf>
    <xf numFmtId="3" fontId="0" fillId="0" borderId="0" xfId="0" applyNumberFormat="1" applyFill="1" applyBorder="1" applyAlignment="1">
      <alignment horizontal="center"/>
    </xf>
    <xf numFmtId="3" fontId="0" fillId="0" borderId="15" xfId="0" applyNumberFormat="1" applyFill="1" applyBorder="1" applyAlignment="1">
      <alignment horizontal="center"/>
    </xf>
    <xf numFmtId="3" fontId="3" fillId="0" borderId="15" xfId="0" applyNumberFormat="1" applyFont="1" applyBorder="1" applyAlignment="1">
      <alignment horizontal="center"/>
    </xf>
    <xf numFmtId="3" fontId="0" fillId="0" borderId="0" xfId="1" applyNumberFormat="1" applyFont="1" applyFill="1" applyBorder="1" applyAlignment="1">
      <alignment horizontal="center"/>
    </xf>
    <xf numFmtId="3" fontId="3" fillId="0" borderId="15" xfId="0" applyNumberFormat="1" applyFont="1" applyFill="1" applyBorder="1" applyAlignment="1">
      <alignment horizontal="center"/>
    </xf>
    <xf numFmtId="3" fontId="0" fillId="9" borderId="15" xfId="1" applyNumberFormat="1" applyFont="1" applyFill="1" applyBorder="1" applyAlignment="1">
      <alignment horizontal="center"/>
    </xf>
    <xf numFmtId="0" fontId="3" fillId="2" borderId="10" xfId="0" applyFont="1" applyFill="1" applyBorder="1" applyAlignment="1">
      <alignment horizontal="center"/>
    </xf>
    <xf numFmtId="0" fontId="3" fillId="0" borderId="10" xfId="0" applyFont="1" applyFill="1" applyBorder="1" applyAlignment="1">
      <alignment horizontal="left"/>
    </xf>
    <xf numFmtId="0" fontId="3" fillId="11" borderId="0" xfId="0" applyFont="1" applyFill="1" applyAlignment="1">
      <alignment horizontal="center"/>
    </xf>
    <xf numFmtId="3" fontId="0" fillId="5" borderId="32" xfId="1" applyNumberFormat="1" applyFont="1" applyFill="1" applyBorder="1" applyAlignment="1">
      <alignment horizontal="center"/>
    </xf>
    <xf numFmtId="3" fontId="3" fillId="2" borderId="8" xfId="5" applyNumberFormat="1" applyFont="1" applyFill="1" applyBorder="1" applyAlignment="1">
      <alignment horizontal="center"/>
    </xf>
    <xf numFmtId="3" fontId="3" fillId="2" borderId="0" xfId="0" applyNumberFormat="1" applyFont="1" applyFill="1" applyBorder="1" applyAlignment="1">
      <alignment horizontal="center"/>
    </xf>
    <xf numFmtId="3" fontId="3" fillId="2" borderId="7" xfId="0" applyNumberFormat="1" applyFont="1" applyFill="1" applyBorder="1" applyAlignment="1">
      <alignment horizontal="center"/>
    </xf>
    <xf numFmtId="3" fontId="3" fillId="9" borderId="10" xfId="0" applyNumberFormat="1" applyFont="1" applyFill="1" applyBorder="1" applyAlignment="1">
      <alignment horizontal="center"/>
    </xf>
    <xf numFmtId="3" fontId="0" fillId="2" borderId="0" xfId="0" applyNumberFormat="1" applyFill="1" applyBorder="1" applyAlignment="1">
      <alignment horizontal="center"/>
    </xf>
    <xf numFmtId="3" fontId="11" fillId="0" borderId="15" xfId="0" applyNumberFormat="1" applyFont="1" applyBorder="1" applyAlignment="1">
      <alignment horizontal="center"/>
    </xf>
    <xf numFmtId="170" fontId="11" fillId="0" borderId="0" xfId="0" applyNumberFormat="1" applyFont="1" applyBorder="1" applyAlignment="1">
      <alignment horizontal="center"/>
    </xf>
    <xf numFmtId="3" fontId="3" fillId="2" borderId="5" xfId="2" applyNumberFormat="1" applyFont="1" applyFill="1" applyBorder="1" applyAlignment="1">
      <alignment horizontal="center"/>
    </xf>
    <xf numFmtId="3" fontId="3" fillId="2" borderId="23" xfId="2" applyNumberFormat="1" applyFont="1" applyFill="1" applyBorder="1" applyAlignment="1">
      <alignment horizontal="center"/>
    </xf>
    <xf numFmtId="3" fontId="3" fillId="9" borderId="0" xfId="2" applyNumberFormat="1" applyFont="1" applyFill="1" applyBorder="1" applyAlignment="1">
      <alignment horizontal="center"/>
    </xf>
    <xf numFmtId="3" fontId="3" fillId="9" borderId="15" xfId="2" applyNumberFormat="1" applyFont="1" applyFill="1" applyBorder="1" applyAlignment="1">
      <alignment horizontal="center"/>
    </xf>
    <xf numFmtId="0" fontId="14" fillId="0" borderId="13" xfId="0" applyFont="1" applyBorder="1" applyAlignment="1">
      <alignment horizontal="center"/>
    </xf>
    <xf numFmtId="0" fontId="14" fillId="0" borderId="16" xfId="0" applyFont="1" applyBorder="1" applyAlignment="1">
      <alignment horizontal="center"/>
    </xf>
    <xf numFmtId="0" fontId="3" fillId="2" borderId="11" xfId="0" applyFont="1" applyFill="1" applyBorder="1" applyAlignment="1">
      <alignment horizontal="center"/>
    </xf>
    <xf numFmtId="0" fontId="22" fillId="0" borderId="13" xfId="0" applyFont="1" applyBorder="1" applyAlignment="1">
      <alignment horizontal="center"/>
    </xf>
    <xf numFmtId="0" fontId="22" fillId="0" borderId="13" xfId="0" quotePrefix="1" applyFont="1" applyBorder="1" applyAlignment="1">
      <alignment horizontal="center"/>
    </xf>
    <xf numFmtId="0" fontId="0" fillId="2" borderId="12" xfId="0" applyFill="1" applyBorder="1"/>
    <xf numFmtId="164" fontId="0" fillId="2" borderId="13" xfId="0" applyNumberFormat="1" applyFill="1" applyBorder="1"/>
    <xf numFmtId="0" fontId="3" fillId="2" borderId="12" xfId="0" applyFont="1" applyFill="1" applyBorder="1" applyAlignment="1">
      <alignment horizontal="center"/>
    </xf>
    <xf numFmtId="0" fontId="0" fillId="0" borderId="14" xfId="0" applyFill="1" applyBorder="1"/>
    <xf numFmtId="0" fontId="4" fillId="0" borderId="53" xfId="0" applyFont="1" applyFill="1" applyBorder="1"/>
    <xf numFmtId="0" fontId="3" fillId="0" borderId="36" xfId="0" applyFont="1" applyFill="1"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54" xfId="0" applyFill="1" applyBorder="1" applyAlignment="1">
      <alignment horizontal="center"/>
    </xf>
    <xf numFmtId="0" fontId="0" fillId="0" borderId="37" xfId="0" applyFill="1" applyBorder="1" applyAlignment="1">
      <alignment horizontal="center"/>
    </xf>
    <xf numFmtId="0" fontId="0" fillId="0" borderId="38" xfId="0" applyFill="1" applyBorder="1" applyAlignment="1">
      <alignment horizontal="center"/>
    </xf>
    <xf numFmtId="0" fontId="4" fillId="0" borderId="6" xfId="0" applyFont="1" applyBorder="1" applyAlignment="1">
      <alignment horizontal="center"/>
    </xf>
    <xf numFmtId="0" fontId="4" fillId="0" borderId="8" xfId="0" applyFont="1" applyBorder="1" applyAlignment="1">
      <alignment horizontal="center"/>
    </xf>
    <xf numFmtId="0" fontId="4" fillId="0" borderId="5" xfId="0" applyFont="1" applyBorder="1" applyAlignment="1">
      <alignment horizontal="center"/>
    </xf>
    <xf numFmtId="0" fontId="19" fillId="10" borderId="0" xfId="3" applyFill="1" applyAlignment="1">
      <alignment horizontal="center" wrapText="1"/>
    </xf>
    <xf numFmtId="0" fontId="3" fillId="0" borderId="42" xfId="0" applyFont="1" applyBorder="1" applyAlignment="1">
      <alignment horizontal="left"/>
    </xf>
    <xf numFmtId="0" fontId="3" fillId="0" borderId="33" xfId="0" applyFont="1" applyBorder="1" applyAlignment="1">
      <alignment horizontal="left"/>
    </xf>
    <xf numFmtId="0" fontId="3" fillId="0" borderId="43" xfId="0" applyFont="1" applyBorder="1" applyAlignment="1">
      <alignment horizontal="left"/>
    </xf>
    <xf numFmtId="0" fontId="16" fillId="0" borderId="12" xfId="0" applyFont="1" applyBorder="1" applyAlignment="1">
      <alignment horizontal="center"/>
    </xf>
    <xf numFmtId="0" fontId="16" fillId="0" borderId="0" xfId="0" applyFont="1" applyBorder="1" applyAlignment="1">
      <alignment horizontal="center"/>
    </xf>
    <xf numFmtId="0" fontId="3" fillId="0" borderId="35" xfId="0" applyFont="1" applyBorder="1" applyAlignment="1">
      <alignment horizontal="left"/>
    </xf>
    <xf numFmtId="0" fontId="3" fillId="0" borderId="44" xfId="0" applyFont="1" applyBorder="1" applyAlignment="1">
      <alignment horizontal="left"/>
    </xf>
    <xf numFmtId="0" fontId="3" fillId="0" borderId="45" xfId="0" applyFont="1" applyBorder="1" applyAlignment="1">
      <alignment horizontal="left"/>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6" fillId="0" borderId="0" xfId="0" applyFont="1" applyAlignment="1">
      <alignment horizontal="left" wrapText="1"/>
    </xf>
    <xf numFmtId="0" fontId="3" fillId="5" borderId="0" xfId="0" applyFont="1" applyFill="1" applyBorder="1" applyAlignment="1">
      <alignment horizontal="left"/>
    </xf>
    <xf numFmtId="0" fontId="0" fillId="5" borderId="0" xfId="0" applyFill="1" applyBorder="1" applyAlignment="1">
      <alignment horizontal="left"/>
    </xf>
    <xf numFmtId="0" fontId="4" fillId="0" borderId="0" xfId="0" applyFont="1" applyBorder="1" applyAlignment="1">
      <alignment horizontal="left"/>
    </xf>
    <xf numFmtId="0" fontId="17" fillId="0" borderId="0" xfId="0" applyFont="1" applyAlignment="1">
      <alignment horizontal="center"/>
    </xf>
    <xf numFmtId="0" fontId="4" fillId="2" borderId="0" xfId="0" applyFont="1" applyFill="1" applyAlignment="1">
      <alignment horizontal="left" vertical="top" wrapText="1"/>
    </xf>
    <xf numFmtId="0" fontId="4" fillId="0" borderId="0" xfId="0" applyFont="1" applyAlignment="1">
      <alignment horizontal="left"/>
    </xf>
    <xf numFmtId="0" fontId="3" fillId="5" borderId="24" xfId="0" applyFont="1" applyFill="1" applyBorder="1" applyAlignment="1">
      <alignment horizontal="left"/>
    </xf>
    <xf numFmtId="0" fontId="3" fillId="9" borderId="24" xfId="0" applyFont="1" applyFill="1" applyBorder="1" applyAlignment="1">
      <alignment horizontal="left"/>
    </xf>
    <xf numFmtId="0" fontId="3" fillId="0" borderId="24" xfId="0" applyFont="1" applyBorder="1" applyAlignment="1">
      <alignment horizontal="left"/>
    </xf>
    <xf numFmtId="0" fontId="3" fillId="8" borderId="47" xfId="0" applyFont="1" applyFill="1" applyBorder="1" applyAlignment="1">
      <alignment horizontal="left"/>
    </xf>
    <xf numFmtId="0" fontId="3" fillId="8" borderId="51" xfId="0" applyFont="1" applyFill="1" applyBorder="1" applyAlignment="1">
      <alignment horizontal="left"/>
    </xf>
    <xf numFmtId="0" fontId="3" fillId="8" borderId="52" xfId="0" applyFont="1" applyFill="1" applyBorder="1" applyAlignment="1">
      <alignment horizontal="left"/>
    </xf>
    <xf numFmtId="0" fontId="3" fillId="0" borderId="0" xfId="0" applyFont="1" applyFill="1" applyAlignment="1">
      <alignment horizontal="left"/>
    </xf>
    <xf numFmtId="0" fontId="3" fillId="0" borderId="0" xfId="0" applyFont="1" applyFill="1" applyAlignment="1">
      <alignment horizontal="left" wrapText="1"/>
    </xf>
    <xf numFmtId="0" fontId="16" fillId="0" borderId="9" xfId="0" applyFont="1" applyBorder="1" applyAlignment="1">
      <alignment horizontal="center"/>
    </xf>
    <xf numFmtId="0" fontId="16" fillId="0" borderId="10" xfId="0" applyFont="1" applyBorder="1" applyAlignment="1">
      <alignment horizontal="center"/>
    </xf>
    <xf numFmtId="0" fontId="4" fillId="5" borderId="12" xfId="0" applyFont="1" applyFill="1" applyBorder="1" applyAlignment="1">
      <alignment horizontal="left"/>
    </xf>
    <xf numFmtId="0" fontId="4" fillId="5" borderId="0" xfId="0" applyFont="1" applyFill="1" applyBorder="1" applyAlignment="1">
      <alignment horizontal="left"/>
    </xf>
    <xf numFmtId="0" fontId="3" fillId="0" borderId="34" xfId="0" applyFont="1" applyBorder="1" applyAlignment="1">
      <alignment horizontal="left"/>
    </xf>
    <xf numFmtId="0" fontId="0" fillId="0" borderId="31" xfId="0" applyBorder="1" applyAlignment="1">
      <alignment horizontal="left"/>
    </xf>
    <xf numFmtId="0" fontId="0" fillId="0" borderId="40" xfId="0"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6" fillId="0" borderId="0" xfId="0" applyFont="1" applyBorder="1" applyAlignment="1">
      <alignment horizontal="left"/>
    </xf>
    <xf numFmtId="0" fontId="6" fillId="0" borderId="13" xfId="0" applyFont="1" applyBorder="1" applyAlignment="1">
      <alignment horizontal="left"/>
    </xf>
    <xf numFmtId="0" fontId="3" fillId="0" borderId="0" xfId="0" applyFont="1" applyBorder="1" applyAlignment="1">
      <alignment horizontal="left"/>
    </xf>
    <xf numFmtId="0" fontId="3" fillId="0" borderId="13" xfId="0" applyFont="1" applyBorder="1" applyAlignment="1">
      <alignment horizontal="left"/>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2"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0" fontId="4" fillId="0" borderId="25" xfId="0" applyFont="1" applyBorder="1" applyAlignment="1">
      <alignment horizontal="center"/>
    </xf>
    <xf numFmtId="0" fontId="4" fillId="0" borderId="46" xfId="0" applyFont="1" applyBorder="1" applyAlignment="1">
      <alignment horizontal="center"/>
    </xf>
    <xf numFmtId="0" fontId="13" fillId="0" borderId="19" xfId="0" applyFont="1" applyBorder="1" applyAlignment="1">
      <alignment horizontal="center" vertical="center" wrapText="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3" fillId="0" borderId="31" xfId="0" applyFont="1" applyBorder="1" applyAlignment="1">
      <alignment horizontal="left"/>
    </xf>
    <xf numFmtId="0" fontId="3" fillId="0" borderId="0" xfId="0" applyFont="1" applyFill="1" applyBorder="1" applyAlignment="1">
      <alignment horizontal="left"/>
    </xf>
    <xf numFmtId="0" fontId="3" fillId="0" borderId="13" xfId="0" applyFont="1" applyFill="1" applyBorder="1" applyAlignment="1">
      <alignment horizontal="left"/>
    </xf>
    <xf numFmtId="0" fontId="16" fillId="0" borderId="0" xfId="0" applyFont="1" applyAlignment="1">
      <alignment horizontal="center"/>
    </xf>
    <xf numFmtId="0" fontId="4" fillId="5" borderId="9" xfId="0" applyFont="1" applyFill="1" applyBorder="1" applyAlignment="1">
      <alignment horizontal="left"/>
    </xf>
    <xf numFmtId="0" fontId="4" fillId="5" borderId="10" xfId="0" applyFont="1" applyFill="1" applyBorder="1" applyAlignment="1">
      <alignment horizontal="left"/>
    </xf>
    <xf numFmtId="0" fontId="4" fillId="5" borderId="11" xfId="0" applyFont="1" applyFill="1" applyBorder="1" applyAlignment="1">
      <alignment horizontal="left"/>
    </xf>
    <xf numFmtId="0" fontId="4" fillId="5" borderId="14" xfId="0" applyFont="1" applyFill="1" applyBorder="1" applyAlignment="1">
      <alignment horizontal="left"/>
    </xf>
    <xf numFmtId="0" fontId="4" fillId="5" borderId="15" xfId="0" applyFont="1" applyFill="1" applyBorder="1" applyAlignment="1">
      <alignment horizontal="left"/>
    </xf>
    <xf numFmtId="0" fontId="4" fillId="5" borderId="16" xfId="0" applyFont="1" applyFill="1" applyBorder="1" applyAlignment="1">
      <alignment horizontal="left"/>
    </xf>
    <xf numFmtId="0" fontId="0" fillId="0" borderId="31" xfId="0" applyFill="1" applyBorder="1" applyAlignment="1">
      <alignment horizontal="center"/>
    </xf>
    <xf numFmtId="0" fontId="3" fillId="5" borderId="0" xfId="0" applyFont="1" applyFill="1" applyBorder="1" applyAlignment="1">
      <alignment horizontal="center"/>
    </xf>
    <xf numFmtId="0" fontId="3" fillId="0" borderId="6" xfId="0" applyFont="1"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left"/>
    </xf>
    <xf numFmtId="0" fontId="0" fillId="0" borderId="16" xfId="0" applyBorder="1" applyAlignment="1">
      <alignment horizontal="left"/>
    </xf>
    <xf numFmtId="3" fontId="3" fillId="2" borderId="9" xfId="2" applyNumberFormat="1" applyFont="1" applyFill="1" applyBorder="1" applyAlignment="1">
      <alignment horizontal="center"/>
    </xf>
    <xf numFmtId="3" fontId="3" fillId="2" borderId="10" xfId="2" applyNumberFormat="1" applyFont="1" applyFill="1" applyBorder="1" applyAlignment="1">
      <alignment horizontal="center"/>
    </xf>
    <xf numFmtId="0" fontId="3" fillId="9" borderId="0" xfId="2" applyFont="1" applyFill="1" applyBorder="1" applyAlignment="1">
      <alignment horizontal="left"/>
    </xf>
    <xf numFmtId="0" fontId="20" fillId="0" borderId="25" xfId="4" applyFont="1" applyBorder="1" applyAlignment="1">
      <alignment horizontal="center" vertical="center"/>
    </xf>
    <xf numFmtId="0" fontId="20" fillId="0" borderId="49" xfId="4" applyFont="1" applyBorder="1" applyAlignment="1">
      <alignment horizontal="center" vertical="center"/>
    </xf>
    <xf numFmtId="0" fontId="20" fillId="0" borderId="26" xfId="4" applyFont="1" applyBorder="1" applyAlignment="1">
      <alignment horizontal="center" vertical="center"/>
    </xf>
  </cellXfs>
  <cellStyles count="6">
    <cellStyle name="Comma" xfId="1" builtinId="3"/>
    <cellStyle name="Currency" xfId="5" builtinId="4"/>
    <cellStyle name="Hyperlink" xfId="3" builtinId="8"/>
    <cellStyle name="Normal" xfId="0" builtinId="0"/>
    <cellStyle name="Normal 2" xfId="2" xr:uid="{00000000-0005-0000-0000-000004000000}"/>
    <cellStyle name="Normal 3" xfId="4" xr:uid="{00000000-0005-0000-0000-000005000000}"/>
  </cellStyles>
  <dxfs count="80">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CE"/>
      <color rgb="FFFFFFCC"/>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63499</xdr:colOff>
      <xdr:row>7</xdr:row>
      <xdr:rowOff>61613</xdr:rowOff>
    </xdr:from>
    <xdr:to>
      <xdr:col>2</xdr:col>
      <xdr:colOff>796192</xdr:colOff>
      <xdr:row>23</xdr:row>
      <xdr:rowOff>96230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499" y="1189959"/>
          <a:ext cx="3404578" cy="2618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115957</xdr:colOff>
      <xdr:row>49</xdr:row>
      <xdr:rowOff>16566</xdr:rowOff>
    </xdr:from>
    <xdr:to>
      <xdr:col>7</xdr:col>
      <xdr:colOff>75373</xdr:colOff>
      <xdr:row>60</xdr:row>
      <xdr:rowOff>135708</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5157" y="8106466"/>
          <a:ext cx="2740715" cy="1917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88348</xdr:colOff>
      <xdr:row>82</xdr:row>
      <xdr:rowOff>77303</xdr:rowOff>
    </xdr:from>
    <xdr:to>
      <xdr:col>7</xdr:col>
      <xdr:colOff>47764</xdr:colOff>
      <xdr:row>94</xdr:row>
      <xdr:rowOff>62395</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17548" y="13475803"/>
          <a:ext cx="2740715" cy="19160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182217</xdr:colOff>
      <xdr:row>122</xdr:row>
      <xdr:rowOff>127000</xdr:rowOff>
    </xdr:from>
    <xdr:to>
      <xdr:col>7</xdr:col>
      <xdr:colOff>141633</xdr:colOff>
      <xdr:row>134</xdr:row>
      <xdr:rowOff>90296</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11417" y="20129500"/>
          <a:ext cx="2740715" cy="19168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298174</xdr:colOff>
      <xdr:row>170</xdr:row>
      <xdr:rowOff>115957</xdr:rowOff>
    </xdr:from>
    <xdr:to>
      <xdr:col>7</xdr:col>
      <xdr:colOff>257590</xdr:colOff>
      <xdr:row>182</xdr:row>
      <xdr:rowOff>96281</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27374" y="27840057"/>
          <a:ext cx="2740715" cy="1918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182216</xdr:colOff>
      <xdr:row>218</xdr:row>
      <xdr:rowOff>115956</xdr:rowOff>
    </xdr:from>
    <xdr:to>
      <xdr:col>7</xdr:col>
      <xdr:colOff>141632</xdr:colOff>
      <xdr:row>230</xdr:row>
      <xdr:rowOff>102878</xdr:rowOff>
    </xdr:to>
    <xdr:pic>
      <xdr:nvPicPr>
        <xdr:cNvPr id="6" name="Picture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211416" y="35555306"/>
          <a:ext cx="2740715" cy="1918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77304</xdr:colOff>
      <xdr:row>7</xdr:row>
      <xdr:rowOff>107567</xdr:rowOff>
    </xdr:from>
    <xdr:to>
      <xdr:col>2</xdr:col>
      <xdr:colOff>811696</xdr:colOff>
      <xdr:row>22</xdr:row>
      <xdr:rowOff>108536</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304" y="1250567"/>
          <a:ext cx="3412435" cy="2408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88348</xdr:colOff>
      <xdr:row>82</xdr:row>
      <xdr:rowOff>77303</xdr:rowOff>
    </xdr:from>
    <xdr:to>
      <xdr:col>7</xdr:col>
      <xdr:colOff>47764</xdr:colOff>
      <xdr:row>94</xdr:row>
      <xdr:rowOff>62395</xdr:rowOff>
    </xdr:to>
    <xdr:pic>
      <xdr:nvPicPr>
        <xdr:cNvPr id="8" name="Picture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84248" y="12516953"/>
          <a:ext cx="2740716" cy="19185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182217</xdr:colOff>
      <xdr:row>122</xdr:row>
      <xdr:rowOff>127000</xdr:rowOff>
    </xdr:from>
    <xdr:to>
      <xdr:col>7</xdr:col>
      <xdr:colOff>141633</xdr:colOff>
      <xdr:row>134</xdr:row>
      <xdr:rowOff>90296</xdr:rowOff>
    </xdr:to>
    <xdr:pic>
      <xdr:nvPicPr>
        <xdr:cNvPr id="9" name="Picture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78117" y="18719800"/>
          <a:ext cx="2740716" cy="1922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298174</xdr:colOff>
      <xdr:row>170</xdr:row>
      <xdr:rowOff>115957</xdr:rowOff>
    </xdr:from>
    <xdr:to>
      <xdr:col>7</xdr:col>
      <xdr:colOff>257590</xdr:colOff>
      <xdr:row>182</xdr:row>
      <xdr:rowOff>96281</xdr:rowOff>
    </xdr:to>
    <xdr:pic>
      <xdr:nvPicPr>
        <xdr:cNvPr id="10" name="Picture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4074" y="26176357"/>
          <a:ext cx="2740716" cy="1925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182216</xdr:colOff>
      <xdr:row>218</xdr:row>
      <xdr:rowOff>115956</xdr:rowOff>
    </xdr:from>
    <xdr:to>
      <xdr:col>7</xdr:col>
      <xdr:colOff>141632</xdr:colOff>
      <xdr:row>230</xdr:row>
      <xdr:rowOff>102878</xdr:rowOff>
    </xdr:to>
    <xdr:pic>
      <xdr:nvPicPr>
        <xdr:cNvPr id="11" name="Picture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78116" y="33599506"/>
          <a:ext cx="2740716" cy="192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182216</xdr:colOff>
      <xdr:row>257</xdr:row>
      <xdr:rowOff>115956</xdr:rowOff>
    </xdr:from>
    <xdr:ext cx="2736851" cy="1930952"/>
    <xdr:pic>
      <xdr:nvPicPr>
        <xdr:cNvPr id="12" name="Picture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328477" y="34080173"/>
          <a:ext cx="2736851" cy="193095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182216</xdr:colOff>
      <xdr:row>257</xdr:row>
      <xdr:rowOff>115956</xdr:rowOff>
    </xdr:from>
    <xdr:ext cx="2736851" cy="1930952"/>
    <xdr:pic>
      <xdr:nvPicPr>
        <xdr:cNvPr id="13" name="Picture 1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328477" y="34080173"/>
          <a:ext cx="2736851" cy="193095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195384</xdr:colOff>
      <xdr:row>2</xdr:row>
      <xdr:rowOff>4885</xdr:rowOff>
    </xdr:from>
    <xdr:to>
      <xdr:col>2</xdr:col>
      <xdr:colOff>857349</xdr:colOff>
      <xdr:row>13</xdr:row>
      <xdr:rowOff>24423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5384" y="332154"/>
          <a:ext cx="3333850" cy="1792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151423</xdr:colOff>
      <xdr:row>1</xdr:row>
      <xdr:rowOff>73269</xdr:rowOff>
    </xdr:from>
    <xdr:to>
      <xdr:col>1</xdr:col>
      <xdr:colOff>770829</xdr:colOff>
      <xdr:row>14</xdr:row>
      <xdr:rowOff>19538</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1423" y="239346"/>
          <a:ext cx="2255752" cy="2066192"/>
        </a:xfrm>
        <a:prstGeom prst="rect">
          <a:avLst/>
        </a:prstGeom>
      </xdr:spPr>
    </xdr:pic>
    <xdr:clientData/>
  </xdr:twoCellAnchor>
  <xdr:twoCellAnchor editAs="oneCell">
    <xdr:from>
      <xdr:col>0</xdr:col>
      <xdr:colOff>167055</xdr:colOff>
      <xdr:row>18</xdr:row>
      <xdr:rowOff>49824</xdr:rowOff>
    </xdr:from>
    <xdr:to>
      <xdr:col>1</xdr:col>
      <xdr:colOff>786461</xdr:colOff>
      <xdr:row>30</xdr:row>
      <xdr:rowOff>162170</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055" y="2985478"/>
          <a:ext cx="2255752" cy="2066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3"/>
  <sheetViews>
    <sheetView tabSelected="1" zoomScaleNormal="100" workbookViewId="0">
      <selection activeCell="H1" sqref="H1"/>
    </sheetView>
  </sheetViews>
  <sheetFormatPr defaultRowHeight="12.5" x14ac:dyDescent="0.25"/>
  <cols>
    <col min="1" max="1" width="25.81640625" customWidth="1"/>
    <col min="2" max="3" width="12.453125" style="1" customWidth="1"/>
    <col min="4" max="4" width="18.1796875" style="1" customWidth="1"/>
    <col min="5" max="5" width="12.453125" customWidth="1"/>
    <col min="6" max="7" width="10.453125" bestFit="1" customWidth="1"/>
    <col min="8" max="9" width="14.36328125" customWidth="1"/>
  </cols>
  <sheetData>
    <row r="1" spans="1:16" ht="12.5" customHeight="1" x14ac:dyDescent="0.25">
      <c r="A1" s="443" t="s">
        <v>217</v>
      </c>
      <c r="B1" s="443"/>
      <c r="C1" s="443"/>
      <c r="D1" s="443"/>
      <c r="E1" s="443"/>
      <c r="F1" s="443"/>
      <c r="L1" s="42" t="s">
        <v>239</v>
      </c>
      <c r="M1" s="234">
        <v>1.02</v>
      </c>
    </row>
    <row r="2" spans="1:16" ht="12.5" customHeight="1" x14ac:dyDescent="0.25">
      <c r="A2" s="443"/>
      <c r="B2" s="443"/>
      <c r="C2" s="443"/>
      <c r="D2" s="443"/>
      <c r="E2" s="443"/>
      <c r="F2" s="443"/>
      <c r="G2" s="54"/>
      <c r="H2" s="42"/>
      <c r="L2" s="439" t="s">
        <v>240</v>
      </c>
      <c r="M2" s="439"/>
      <c r="N2" s="439"/>
      <c r="O2" s="439"/>
      <c r="P2" s="439"/>
    </row>
    <row r="3" spans="1:16" x14ac:dyDescent="0.25">
      <c r="L3" s="439"/>
      <c r="M3" s="439"/>
      <c r="N3" s="439"/>
      <c r="O3" s="439"/>
      <c r="P3" s="439"/>
    </row>
    <row r="4" spans="1:16" x14ac:dyDescent="0.25">
      <c r="A4" s="444" t="s">
        <v>222</v>
      </c>
      <c r="B4" s="444"/>
      <c r="C4" s="444"/>
      <c r="D4" s="444"/>
      <c r="E4" s="444"/>
      <c r="F4" s="444"/>
      <c r="G4" s="444"/>
      <c r="H4" s="444"/>
      <c r="I4" s="444"/>
      <c r="J4" s="444"/>
      <c r="L4" s="439"/>
      <c r="M4" s="439"/>
      <c r="N4" s="439"/>
      <c r="O4" s="439"/>
      <c r="P4" s="439"/>
    </row>
    <row r="5" spans="1:16" x14ac:dyDescent="0.25">
      <c r="A5" s="444"/>
      <c r="B5" s="444"/>
      <c r="C5" s="444"/>
      <c r="D5" s="444"/>
      <c r="E5" s="444"/>
      <c r="F5" s="444"/>
      <c r="G5" s="444"/>
      <c r="H5" s="444"/>
      <c r="I5" s="444"/>
      <c r="J5" s="444"/>
      <c r="K5" s="54"/>
      <c r="L5" s="439"/>
      <c r="M5" s="439"/>
      <c r="N5" s="439"/>
      <c r="O5" s="439"/>
      <c r="P5" s="439"/>
    </row>
    <row r="6" spans="1:16" x14ac:dyDescent="0.25">
      <c r="A6" s="444"/>
      <c r="B6" s="444"/>
      <c r="C6" s="444"/>
      <c r="D6" s="444"/>
      <c r="E6" s="444"/>
      <c r="F6" s="444"/>
      <c r="G6" s="444"/>
      <c r="H6" s="444"/>
      <c r="I6" s="444"/>
      <c r="J6" s="444"/>
      <c r="L6" s="439"/>
      <c r="M6" s="439"/>
      <c r="N6" s="439"/>
      <c r="O6" s="439"/>
      <c r="P6" s="439"/>
    </row>
    <row r="7" spans="1:16" x14ac:dyDescent="0.25">
      <c r="A7" s="444"/>
      <c r="B7" s="444"/>
      <c r="C7" s="444"/>
      <c r="D7" s="444"/>
      <c r="E7" s="444"/>
      <c r="F7" s="444"/>
      <c r="G7" s="444"/>
      <c r="H7" s="444"/>
      <c r="I7" s="444"/>
      <c r="J7" s="444"/>
      <c r="L7" s="439"/>
      <c r="M7" s="439"/>
      <c r="N7" s="439"/>
      <c r="O7" s="439"/>
      <c r="P7" s="439"/>
    </row>
    <row r="8" spans="1:16" x14ac:dyDescent="0.25">
      <c r="B8"/>
      <c r="C8"/>
      <c r="D8"/>
      <c r="L8" s="439"/>
      <c r="M8" s="439"/>
      <c r="N8" s="439"/>
      <c r="O8" s="439"/>
      <c r="P8" s="439"/>
    </row>
    <row r="9" spans="1:16" ht="13" x14ac:dyDescent="0.3">
      <c r="B9"/>
      <c r="C9"/>
      <c r="D9" s="445" t="s">
        <v>194</v>
      </c>
      <c r="E9" s="445"/>
      <c r="F9" s="445"/>
      <c r="G9" s="445"/>
      <c r="H9" s="445"/>
      <c r="I9" s="445"/>
      <c r="J9" s="445"/>
      <c r="K9" s="445"/>
    </row>
    <row r="10" spans="1:16" x14ac:dyDescent="0.25">
      <c r="B10"/>
      <c r="C10"/>
      <c r="D10" s="446" t="s">
        <v>330</v>
      </c>
      <c r="E10" s="446"/>
      <c r="F10" s="446"/>
      <c r="G10" s="446"/>
      <c r="H10" s="446"/>
      <c r="I10" s="446"/>
      <c r="J10" s="446"/>
      <c r="K10" s="446"/>
    </row>
    <row r="11" spans="1:16" x14ac:dyDescent="0.25">
      <c r="B11"/>
      <c r="C11"/>
      <c r="D11" s="447" t="s">
        <v>341</v>
      </c>
      <c r="E11" s="447"/>
      <c r="F11" s="447"/>
      <c r="G11" s="447"/>
      <c r="H11" s="447"/>
      <c r="I11" s="447"/>
      <c r="J11" s="447"/>
      <c r="K11" s="447"/>
    </row>
    <row r="12" spans="1:16" x14ac:dyDescent="0.25">
      <c r="B12"/>
      <c r="C12"/>
      <c r="D12" s="448" t="s">
        <v>208</v>
      </c>
      <c r="E12" s="448"/>
      <c r="F12" s="448"/>
      <c r="G12" s="448"/>
      <c r="H12" s="448"/>
      <c r="I12" s="448"/>
      <c r="J12" s="448"/>
      <c r="K12" s="448"/>
    </row>
    <row r="13" spans="1:16" x14ac:dyDescent="0.25">
      <c r="B13"/>
      <c r="C13"/>
      <c r="D13" s="449" t="s">
        <v>195</v>
      </c>
      <c r="E13" s="450"/>
      <c r="F13" s="450"/>
      <c r="G13" s="450"/>
      <c r="H13" s="450"/>
      <c r="I13" s="450"/>
      <c r="J13" s="450"/>
      <c r="K13" s="451"/>
    </row>
    <row r="14" spans="1:16" x14ac:dyDescent="0.25">
      <c r="B14"/>
      <c r="C14"/>
      <c r="D14" s="217"/>
      <c r="E14" s="217"/>
      <c r="F14" s="217"/>
      <c r="G14" s="217"/>
      <c r="H14" s="217"/>
      <c r="I14" s="217"/>
      <c r="J14" s="217"/>
      <c r="K14" s="217"/>
    </row>
    <row r="15" spans="1:16" x14ac:dyDescent="0.25">
      <c r="B15"/>
      <c r="C15"/>
      <c r="D15"/>
    </row>
    <row r="16" spans="1:16" x14ac:dyDescent="0.25">
      <c r="B16"/>
      <c r="C16"/>
      <c r="D16" s="452" t="s">
        <v>221</v>
      </c>
      <c r="E16" s="452"/>
      <c r="F16" s="452"/>
      <c r="G16" s="452"/>
      <c r="H16" s="452"/>
      <c r="I16" s="452"/>
    </row>
    <row r="17" spans="1:11" x14ac:dyDescent="0.25">
      <c r="B17"/>
      <c r="C17"/>
      <c r="D17" s="453" t="s">
        <v>197</v>
      </c>
      <c r="E17" s="453"/>
      <c r="F17" s="453"/>
      <c r="G17" s="453"/>
      <c r="H17" s="453"/>
      <c r="I17" s="453"/>
    </row>
    <row r="18" spans="1:11" x14ac:dyDescent="0.25">
      <c r="B18"/>
      <c r="C18"/>
      <c r="D18" s="453"/>
      <c r="E18" s="453"/>
      <c r="F18" s="453"/>
      <c r="G18" s="453"/>
      <c r="H18" s="453"/>
      <c r="I18" s="453"/>
    </row>
    <row r="19" spans="1:11" x14ac:dyDescent="0.25">
      <c r="B19"/>
      <c r="C19"/>
      <c r="D19" s="9" t="s">
        <v>344</v>
      </c>
      <c r="E19" s="9"/>
    </row>
    <row r="20" spans="1:11" x14ac:dyDescent="0.25">
      <c r="B20"/>
      <c r="C20"/>
      <c r="D20" s="9" t="s">
        <v>355</v>
      </c>
    </row>
    <row r="21" spans="1:11" ht="12.5" customHeight="1" x14ac:dyDescent="0.25">
      <c r="B21"/>
      <c r="C21"/>
      <c r="D21"/>
      <c r="E21" s="424" t="s">
        <v>331</v>
      </c>
      <c r="F21" s="424"/>
      <c r="G21" s="424"/>
      <c r="H21" s="424"/>
      <c r="I21" s="424"/>
      <c r="J21" s="424"/>
    </row>
    <row r="22" spans="1:11" x14ac:dyDescent="0.25">
      <c r="B22"/>
      <c r="C22"/>
      <c r="D22"/>
      <c r="E22" s="424"/>
      <c r="F22" s="424"/>
      <c r="G22" s="424"/>
      <c r="H22" s="424"/>
      <c r="I22" s="424"/>
      <c r="J22" s="424"/>
    </row>
    <row r="23" spans="1:11" x14ac:dyDescent="0.25">
      <c r="B23"/>
      <c r="C23"/>
      <c r="D23"/>
    </row>
    <row r="24" spans="1:11" ht="13" thickBot="1" x14ac:dyDescent="0.3">
      <c r="B24"/>
      <c r="C24"/>
      <c r="D24"/>
    </row>
    <row r="25" spans="1:11" x14ac:dyDescent="0.25">
      <c r="A25" s="454" t="s">
        <v>196</v>
      </c>
      <c r="B25" s="455"/>
      <c r="C25" s="455"/>
      <c r="D25" s="197"/>
      <c r="E25" s="197"/>
      <c r="F25" s="197"/>
      <c r="G25" s="197"/>
      <c r="H25" s="197"/>
      <c r="I25" s="197"/>
      <c r="J25" s="197"/>
      <c r="K25" s="190"/>
    </row>
    <row r="26" spans="1:11" ht="13" thickBot="1" x14ac:dyDescent="0.3">
      <c r="A26" s="428"/>
      <c r="B26" s="429"/>
      <c r="C26" s="429"/>
      <c r="D26" s="169"/>
      <c r="E26" s="169"/>
      <c r="F26" s="169"/>
      <c r="G26" s="169"/>
      <c r="H26" s="169"/>
      <c r="I26" s="169"/>
      <c r="J26" s="169"/>
      <c r="K26" s="170"/>
    </row>
    <row r="27" spans="1:11" ht="13.5" thickBot="1" x14ac:dyDescent="0.35">
      <c r="A27" s="414" t="s">
        <v>36</v>
      </c>
      <c r="B27" s="415" t="s">
        <v>35</v>
      </c>
      <c r="C27" s="415" t="s">
        <v>34</v>
      </c>
      <c r="D27" s="418"/>
      <c r="E27" s="419"/>
      <c r="F27" s="420"/>
      <c r="G27" s="169"/>
      <c r="H27" s="421" t="s">
        <v>320</v>
      </c>
      <c r="I27" s="422"/>
      <c r="J27" s="423"/>
      <c r="K27" s="170"/>
    </row>
    <row r="28" spans="1:11" ht="14" thickTop="1" thickBot="1" x14ac:dyDescent="0.3">
      <c r="A28" s="226" t="s">
        <v>33</v>
      </c>
      <c r="B28" s="223">
        <v>-1</v>
      </c>
      <c r="C28" s="223">
        <v>1</v>
      </c>
      <c r="D28" s="458" t="s">
        <v>156</v>
      </c>
      <c r="E28" s="459"/>
      <c r="F28" s="460"/>
      <c r="G28" s="169"/>
      <c r="H28" s="433" t="str">
        <f>IF(OR(B28=C28,B29=C29),"Both VIN or VOUT are same","")</f>
        <v/>
      </c>
      <c r="I28" s="434"/>
      <c r="J28" s="435"/>
      <c r="K28" s="170"/>
    </row>
    <row r="29" spans="1:11" ht="14" thickTop="1" thickBot="1" x14ac:dyDescent="0.3">
      <c r="A29" s="226" t="s">
        <v>32</v>
      </c>
      <c r="B29" s="223">
        <v>2.5</v>
      </c>
      <c r="C29" s="223">
        <v>0</v>
      </c>
      <c r="D29" s="425" t="s">
        <v>107</v>
      </c>
      <c r="E29" s="426"/>
      <c r="F29" s="427"/>
      <c r="G29" s="201"/>
      <c r="H29" s="433" t="str">
        <f>IF(B40&lt;0,"","VIN &amp; VOUT points are not inverting G&gt;0")</f>
        <v/>
      </c>
      <c r="I29" s="434"/>
      <c r="J29" s="435"/>
      <c r="K29" s="170"/>
    </row>
    <row r="30" spans="1:11" ht="14" thickTop="1" thickBot="1" x14ac:dyDescent="0.3">
      <c r="A30" s="226" t="s">
        <v>40</v>
      </c>
      <c r="B30" s="224">
        <f>B42</f>
        <v>0.55555555555555558</v>
      </c>
      <c r="C30" s="430" t="s">
        <v>357</v>
      </c>
      <c r="D30" s="431"/>
      <c r="E30" s="431"/>
      <c r="F30" s="432"/>
      <c r="G30" s="201"/>
      <c r="H30" s="433" t="str">
        <f>IF(AND(B40&lt;0,B61&gt;B40*-2),"Op amp gain (k) is higher than needed","")</f>
        <v/>
      </c>
      <c r="I30" s="434"/>
      <c r="J30" s="435"/>
      <c r="K30" s="170"/>
    </row>
    <row r="31" spans="1:11" ht="14" thickTop="1" thickBot="1" x14ac:dyDescent="0.3">
      <c r="A31" s="226" t="s">
        <v>202</v>
      </c>
      <c r="B31" s="225">
        <v>2.5</v>
      </c>
      <c r="C31" s="229" t="s">
        <v>356</v>
      </c>
      <c r="D31" s="217"/>
      <c r="E31" s="217"/>
      <c r="F31" s="228"/>
      <c r="G31" s="201"/>
      <c r="H31" s="433" t="str">
        <f>IF(AND(B54&lt;0,B54&gt;-100000000000,H29=""),"RI bad, see step 2","")</f>
        <v/>
      </c>
      <c r="I31" s="434"/>
      <c r="J31" s="435"/>
      <c r="K31" s="170"/>
    </row>
    <row r="32" spans="1:11" ht="14" customHeight="1" thickTop="1" thickBot="1" x14ac:dyDescent="0.3">
      <c r="A32" s="227" t="s">
        <v>219</v>
      </c>
      <c r="B32" s="393">
        <v>100000</v>
      </c>
      <c r="C32" s="430" t="s">
        <v>220</v>
      </c>
      <c r="D32" s="431"/>
      <c r="E32" s="431"/>
      <c r="F32" s="432"/>
      <c r="G32" s="332"/>
      <c r="H32" s="436" t="str">
        <f>IF(AND(B55&lt;0,B55&gt;-100000000000,H29=""),"RH bad, see step 2","")</f>
        <v/>
      </c>
      <c r="I32" s="437"/>
      <c r="J32" s="438"/>
      <c r="K32" s="170"/>
    </row>
    <row r="33" spans="1:11" x14ac:dyDescent="0.25">
      <c r="A33" s="333"/>
      <c r="B33" s="329"/>
      <c r="C33" s="346"/>
      <c r="D33" s="46"/>
      <c r="E33" s="169"/>
      <c r="F33" s="169"/>
      <c r="G33" s="169"/>
      <c r="H33" s="367"/>
      <c r="I33" s="367"/>
      <c r="J33" s="169"/>
      <c r="K33" s="170"/>
    </row>
    <row r="34" spans="1:11" x14ac:dyDescent="0.25">
      <c r="A34" s="428" t="s">
        <v>218</v>
      </c>
      <c r="B34" s="429"/>
      <c r="C34" s="429"/>
      <c r="D34" s="169"/>
      <c r="E34" s="169"/>
      <c r="F34" s="169"/>
      <c r="G34" s="169"/>
      <c r="H34" s="169" t="str">
        <f>IF(H14&gt;D33,"Not a valid full-scale range for the selected part!","")</f>
        <v/>
      </c>
      <c r="I34" s="169"/>
      <c r="J34" s="169"/>
      <c r="K34" s="170"/>
    </row>
    <row r="35" spans="1:11" x14ac:dyDescent="0.25">
      <c r="A35" s="428"/>
      <c r="B35" s="429"/>
      <c r="C35" s="429"/>
      <c r="D35" s="169"/>
      <c r="E35" s="169"/>
      <c r="F35" s="169"/>
      <c r="G35" s="169"/>
      <c r="H35" s="169"/>
      <c r="I35" s="169"/>
      <c r="J35" s="169"/>
      <c r="K35" s="170"/>
    </row>
    <row r="36" spans="1:11" ht="12.5" customHeight="1" x14ac:dyDescent="0.3">
      <c r="A36" s="456" t="s">
        <v>223</v>
      </c>
      <c r="B36" s="457"/>
      <c r="C36" s="457"/>
      <c r="D36" s="457"/>
      <c r="E36" s="457"/>
      <c r="F36" s="457"/>
      <c r="G36" s="457"/>
      <c r="H36" s="457"/>
      <c r="I36" s="457"/>
      <c r="J36" s="169"/>
      <c r="K36" s="170"/>
    </row>
    <row r="37" spans="1:11" ht="12.5" customHeight="1" x14ac:dyDescent="0.3">
      <c r="A37" s="456" t="s">
        <v>189</v>
      </c>
      <c r="B37" s="457"/>
      <c r="C37" s="457"/>
      <c r="D37" s="457"/>
      <c r="E37" s="457"/>
      <c r="F37" s="457"/>
      <c r="G37" s="457"/>
      <c r="H37" s="457"/>
      <c r="I37" s="457"/>
      <c r="J37" s="169"/>
      <c r="K37" s="170"/>
    </row>
    <row r="38" spans="1:11" ht="12.5" customHeight="1" x14ac:dyDescent="0.3">
      <c r="A38" s="334"/>
      <c r="B38" s="335"/>
      <c r="C38" s="269"/>
      <c r="D38" s="46"/>
      <c r="E38" s="169"/>
      <c r="F38" s="169"/>
      <c r="G38" s="169"/>
      <c r="H38" s="169"/>
      <c r="I38" s="169"/>
      <c r="J38" s="169"/>
      <c r="K38" s="170"/>
    </row>
    <row r="39" spans="1:11" ht="12.5" customHeight="1" x14ac:dyDescent="0.3">
      <c r="A39" s="336" t="s">
        <v>181</v>
      </c>
      <c r="B39" s="337"/>
      <c r="C39" s="338"/>
      <c r="D39" s="337"/>
      <c r="E39" s="339"/>
      <c r="F39" s="169"/>
      <c r="G39" s="169"/>
      <c r="H39" s="169"/>
      <c r="I39" s="169"/>
      <c r="J39" s="169"/>
      <c r="K39" s="170"/>
    </row>
    <row r="40" spans="1:11" ht="12.5" customHeight="1" x14ac:dyDescent="0.3">
      <c r="A40" s="56" t="s">
        <v>316</v>
      </c>
      <c r="B40" s="266">
        <f>(B29-C29)/(B28-C28)</f>
        <v>-1.25</v>
      </c>
      <c r="C40" s="442" t="s">
        <v>161</v>
      </c>
      <c r="D40" s="442"/>
      <c r="E40" s="442"/>
      <c r="F40" s="442"/>
      <c r="G40" s="442"/>
      <c r="H40" s="169"/>
      <c r="I40" s="169"/>
      <c r="J40" s="169"/>
      <c r="K40" s="170"/>
    </row>
    <row r="41" spans="1:11" ht="12.5" customHeight="1" x14ac:dyDescent="0.25">
      <c r="A41" s="56" t="s">
        <v>317</v>
      </c>
      <c r="B41" s="266">
        <f>B29-B40*B28</f>
        <v>1.25</v>
      </c>
      <c r="C41" s="355" t="s">
        <v>46</v>
      </c>
      <c r="D41" s="217"/>
      <c r="E41" s="217"/>
      <c r="F41" s="217"/>
      <c r="G41" s="217"/>
      <c r="H41" s="169"/>
      <c r="I41" s="169"/>
      <c r="J41" s="169"/>
      <c r="K41" s="170"/>
    </row>
    <row r="42" spans="1:11" ht="12.5" customHeight="1" x14ac:dyDescent="0.3">
      <c r="A42" s="340" t="s">
        <v>183</v>
      </c>
      <c r="B42" s="318">
        <f>B41/(1-B40)</f>
        <v>0.55555555555555558</v>
      </c>
      <c r="C42" s="440" t="s">
        <v>354</v>
      </c>
      <c r="D42" s="441"/>
      <c r="E42" s="441"/>
      <c r="F42" s="441"/>
      <c r="G42" s="441"/>
      <c r="H42" s="169"/>
      <c r="I42" s="169"/>
      <c r="J42" s="169"/>
      <c r="K42" s="170"/>
    </row>
    <row r="43" spans="1:11" ht="12.5" customHeight="1" thickBot="1" x14ac:dyDescent="0.3">
      <c r="A43" s="204"/>
      <c r="B43" s="46"/>
      <c r="C43" s="46"/>
      <c r="D43" s="46"/>
      <c r="E43" s="169"/>
      <c r="F43" s="169"/>
      <c r="G43" s="169"/>
      <c r="H43" s="169"/>
      <c r="I43" s="169"/>
      <c r="J43" s="169"/>
      <c r="K43" s="170"/>
    </row>
    <row r="44" spans="1:11" ht="12.5" customHeight="1" x14ac:dyDescent="0.3">
      <c r="A44" s="55" t="s">
        <v>335</v>
      </c>
      <c r="B44" s="390"/>
      <c r="C44" s="390"/>
      <c r="D44" s="407"/>
      <c r="E44" s="169"/>
      <c r="F44" s="169"/>
      <c r="G44" s="169"/>
      <c r="H44" s="169"/>
      <c r="I44" s="169"/>
      <c r="J44" s="169"/>
      <c r="K44" s="170"/>
    </row>
    <row r="45" spans="1:11" ht="12.5" customHeight="1" x14ac:dyDescent="0.25">
      <c r="A45" s="72" t="s">
        <v>58</v>
      </c>
      <c r="B45" s="73" t="s">
        <v>116</v>
      </c>
      <c r="C45" s="73" t="s">
        <v>59</v>
      </c>
      <c r="D45" s="82" t="s">
        <v>45</v>
      </c>
      <c r="E45" s="169"/>
      <c r="F45" s="169"/>
      <c r="G45" s="169"/>
      <c r="H45" s="169"/>
      <c r="I45" s="169"/>
      <c r="J45" s="169"/>
      <c r="K45" s="170"/>
    </row>
    <row r="46" spans="1:11" ht="12.5" customHeight="1" x14ac:dyDescent="0.25">
      <c r="A46" s="56" t="s">
        <v>332</v>
      </c>
      <c r="B46" s="220">
        <f>B31</f>
        <v>2.5</v>
      </c>
      <c r="C46" s="355" t="s">
        <v>46</v>
      </c>
      <c r="D46" s="408" t="s">
        <v>47</v>
      </c>
      <c r="E46" s="343" t="s">
        <v>345</v>
      </c>
      <c r="F46" s="169"/>
      <c r="G46" s="169"/>
      <c r="H46" s="169"/>
      <c r="I46" s="169"/>
      <c r="J46" s="169"/>
      <c r="K46" s="170"/>
    </row>
    <row r="47" spans="1:11" ht="12.5" customHeight="1" x14ac:dyDescent="0.25">
      <c r="A47" s="56" t="s">
        <v>51</v>
      </c>
      <c r="B47" s="377">
        <v>100000</v>
      </c>
      <c r="C47" s="355" t="s">
        <v>201</v>
      </c>
      <c r="D47" s="356" t="s">
        <v>139</v>
      </c>
      <c r="E47" s="171" t="s">
        <v>337</v>
      </c>
      <c r="F47" s="169"/>
      <c r="G47" s="169"/>
      <c r="H47" s="169"/>
      <c r="I47" s="169"/>
      <c r="J47" s="169"/>
      <c r="K47" s="170"/>
    </row>
    <row r="48" spans="1:11" ht="12.5" customHeight="1" x14ac:dyDescent="0.25">
      <c r="A48" s="56" t="s">
        <v>63</v>
      </c>
      <c r="B48" s="373">
        <f>IFERROR((B30*B47)/(B46-B30),1000000000000000)</f>
        <v>28571.428571428572</v>
      </c>
      <c r="C48" s="355" t="s">
        <v>201</v>
      </c>
      <c r="D48" s="405" t="s">
        <v>333</v>
      </c>
      <c r="E48" s="171" t="s">
        <v>338</v>
      </c>
      <c r="F48" s="169"/>
      <c r="G48" s="169"/>
      <c r="H48" s="169"/>
      <c r="I48" s="169"/>
      <c r="J48" s="169"/>
      <c r="K48" s="170"/>
    </row>
    <row r="49" spans="1:14" ht="12.5" customHeight="1" thickBot="1" x14ac:dyDescent="0.3">
      <c r="A49" s="156" t="s">
        <v>336</v>
      </c>
      <c r="B49" s="154">
        <f>B46*B48/(B47+B48)</f>
        <v>0.55555555555555558</v>
      </c>
      <c r="C49" s="158" t="s">
        <v>46</v>
      </c>
      <c r="D49" s="406" t="s">
        <v>334</v>
      </c>
      <c r="E49" s="169"/>
      <c r="F49" s="169"/>
      <c r="G49" s="169"/>
      <c r="H49" s="169"/>
      <c r="I49" s="169"/>
      <c r="J49" s="169"/>
      <c r="K49" s="170"/>
    </row>
    <row r="50" spans="1:14" ht="12.5" customHeight="1" thickBot="1" x14ac:dyDescent="0.3">
      <c r="A50" s="204"/>
      <c r="B50" s="46"/>
      <c r="C50" s="46"/>
      <c r="D50" s="46"/>
      <c r="E50" s="169"/>
      <c r="F50" s="169"/>
      <c r="G50" s="416" t="s">
        <v>349</v>
      </c>
      <c r="H50" s="417"/>
      <c r="I50" s="169"/>
      <c r="J50" s="169"/>
      <c r="K50" s="170"/>
    </row>
    <row r="51" spans="1:14" ht="12.5" customHeight="1" x14ac:dyDescent="0.3">
      <c r="A51" s="55" t="s">
        <v>184</v>
      </c>
      <c r="B51" s="61"/>
      <c r="C51" s="184"/>
      <c r="D51" s="185"/>
      <c r="E51" s="169"/>
      <c r="F51" s="169"/>
      <c r="G51" s="410" t="s">
        <v>347</v>
      </c>
      <c r="H51" s="411">
        <f>IFERROR(1/(1/(B53/(B41/B49-1))-1/B54),-1000000000000000)</f>
        <v>-1000000000000000</v>
      </c>
      <c r="I51" s="169"/>
      <c r="J51" s="169"/>
      <c r="K51" s="170"/>
      <c r="N51" t="s">
        <v>358</v>
      </c>
    </row>
    <row r="52" spans="1:14" ht="12.5" customHeight="1" x14ac:dyDescent="0.25">
      <c r="A52" s="72" t="s">
        <v>58</v>
      </c>
      <c r="B52" s="73" t="s">
        <v>116</v>
      </c>
      <c r="C52" s="73" t="s">
        <v>59</v>
      </c>
      <c r="D52" s="82" t="s">
        <v>45</v>
      </c>
      <c r="E52" s="169"/>
      <c r="F52" s="169"/>
      <c r="G52" s="412" t="s">
        <v>348</v>
      </c>
      <c r="H52" s="411">
        <f>IFERROR(B53*(B56-B31)/(B56*(B40-1)+B41),-1000000000000000)</f>
        <v>-1000000000000000</v>
      </c>
      <c r="I52" s="169"/>
      <c r="J52" s="169"/>
      <c r="K52" s="170"/>
    </row>
    <row r="53" spans="1:14" ht="12.5" customHeight="1" thickBot="1" x14ac:dyDescent="0.3">
      <c r="A53" s="56" t="s">
        <v>41</v>
      </c>
      <c r="B53" s="373">
        <f>B32</f>
        <v>100000</v>
      </c>
      <c r="C53" s="355" t="s">
        <v>201</v>
      </c>
      <c r="D53" s="345" t="s">
        <v>339</v>
      </c>
      <c r="E53" s="169"/>
      <c r="F53" s="169"/>
      <c r="G53" s="413" t="s">
        <v>350</v>
      </c>
      <c r="H53" s="173">
        <f>IF(H51&gt;H52,0,B31)</f>
        <v>2.5</v>
      </c>
      <c r="I53" s="169"/>
      <c r="J53" s="169"/>
      <c r="K53" s="170"/>
    </row>
    <row r="54" spans="1:14" ht="12.5" customHeight="1" x14ac:dyDescent="0.25">
      <c r="A54" s="56" t="s">
        <v>42</v>
      </c>
      <c r="B54" s="373">
        <f>-B53/B40</f>
        <v>80000</v>
      </c>
      <c r="C54" s="355" t="s">
        <v>201</v>
      </c>
      <c r="D54" s="409" t="s">
        <v>340</v>
      </c>
      <c r="E54" s="169"/>
      <c r="F54" s="169"/>
      <c r="G54" s="169"/>
      <c r="H54" s="169"/>
      <c r="I54" s="169"/>
      <c r="J54" s="169"/>
      <c r="K54" s="170"/>
    </row>
    <row r="55" spans="1:14" ht="12.5" customHeight="1" x14ac:dyDescent="0.25">
      <c r="A55" s="56" t="s">
        <v>93</v>
      </c>
      <c r="B55" s="373">
        <f>IFERROR(B53*(B56-B57)/(B56*(B40-1)+B41),1000000000000000)</f>
        <v>1000000000000000</v>
      </c>
      <c r="C55" s="355" t="s">
        <v>201</v>
      </c>
      <c r="D55" s="405" t="s">
        <v>353</v>
      </c>
      <c r="E55" s="343" t="s">
        <v>346</v>
      </c>
      <c r="F55" s="169"/>
      <c r="G55" s="169"/>
      <c r="H55" s="169"/>
      <c r="I55" s="169"/>
      <c r="J55" s="169"/>
      <c r="K55" s="170"/>
    </row>
    <row r="56" spans="1:14" ht="12.5" customHeight="1" x14ac:dyDescent="0.25">
      <c r="A56" s="56" t="s">
        <v>39</v>
      </c>
      <c r="B56" s="221">
        <f>B49</f>
        <v>0.55555555555555558</v>
      </c>
      <c r="C56" s="344" t="s">
        <v>46</v>
      </c>
      <c r="D56" s="408" t="s">
        <v>334</v>
      </c>
      <c r="E56" s="343" t="s">
        <v>224</v>
      </c>
      <c r="F56" s="169"/>
      <c r="G56" s="169"/>
      <c r="H56" s="169"/>
      <c r="I56" s="169"/>
      <c r="J56" s="169"/>
      <c r="K56" s="170"/>
    </row>
    <row r="57" spans="1:14" ht="12.5" customHeight="1" x14ac:dyDescent="0.25">
      <c r="A57" s="56" t="s">
        <v>351</v>
      </c>
      <c r="B57" s="222">
        <f>H53</f>
        <v>2.5</v>
      </c>
      <c r="C57" s="46" t="s">
        <v>46</v>
      </c>
      <c r="D57" s="405" t="s">
        <v>352</v>
      </c>
      <c r="E57" s="171"/>
      <c r="F57" s="169"/>
      <c r="G57" s="169"/>
      <c r="H57" s="169"/>
      <c r="I57" s="169"/>
      <c r="J57" s="169"/>
      <c r="K57" s="170"/>
    </row>
    <row r="58" spans="1:14" ht="12.5" customHeight="1" x14ac:dyDescent="0.3">
      <c r="A58" s="67" t="s">
        <v>182</v>
      </c>
      <c r="B58" s="63" t="s">
        <v>35</v>
      </c>
      <c r="C58" s="63" t="s">
        <v>34</v>
      </c>
      <c r="D58" s="82" t="s">
        <v>59</v>
      </c>
      <c r="E58" s="169"/>
      <c r="F58" s="169"/>
      <c r="G58" s="169"/>
      <c r="H58" s="169"/>
      <c r="I58" s="169"/>
      <c r="J58" s="169"/>
      <c r="K58" s="170"/>
    </row>
    <row r="59" spans="1:14" ht="12.5" customHeight="1" x14ac:dyDescent="0.25">
      <c r="A59" s="65" t="s">
        <v>104</v>
      </c>
      <c r="B59" s="66">
        <f>B28</f>
        <v>-1</v>
      </c>
      <c r="C59" s="66">
        <f>C28</f>
        <v>1</v>
      </c>
      <c r="D59" s="57" t="s">
        <v>61</v>
      </c>
      <c r="E59" s="169"/>
      <c r="F59" s="169"/>
      <c r="G59" s="169"/>
      <c r="H59" s="169"/>
      <c r="I59" s="169"/>
      <c r="J59" s="169"/>
      <c r="K59" s="170"/>
    </row>
    <row r="60" spans="1:14" ht="12.5" customHeight="1" thickBot="1" x14ac:dyDescent="0.3">
      <c r="A60" s="65" t="s">
        <v>79</v>
      </c>
      <c r="B60" s="66">
        <f>$B56*(1+$B61)-$B31*$B62-B59*$B63</f>
        <v>2.4999999998055555</v>
      </c>
      <c r="C60" s="66">
        <f>$B56*(1+$B61)-$B31*$B62-C59*$B63</f>
        <v>-1.9444446053284992E-10</v>
      </c>
      <c r="D60" s="57" t="s">
        <v>61</v>
      </c>
      <c r="E60" s="169"/>
      <c r="F60" s="169"/>
      <c r="G60" s="169"/>
      <c r="H60" s="169"/>
      <c r="I60" s="169"/>
      <c r="J60" s="169"/>
      <c r="K60" s="170"/>
    </row>
    <row r="61" spans="1:14" ht="12.5" customHeight="1" x14ac:dyDescent="0.25">
      <c r="A61" s="186" t="s">
        <v>187</v>
      </c>
      <c r="B61" s="75">
        <f>B53*(1/B54+1/B55)</f>
        <v>1.2500000001</v>
      </c>
      <c r="C61" s="76" t="s">
        <v>158</v>
      </c>
      <c r="D61" s="273" t="s">
        <v>270</v>
      </c>
      <c r="E61" s="171" t="s">
        <v>185</v>
      </c>
      <c r="F61" s="169"/>
      <c r="G61" s="169"/>
      <c r="H61" s="169"/>
      <c r="I61" s="169"/>
      <c r="J61" s="169"/>
      <c r="K61" s="170"/>
    </row>
    <row r="62" spans="1:14" ht="12.5" customHeight="1" x14ac:dyDescent="0.25">
      <c r="A62" s="77" t="s">
        <v>188</v>
      </c>
      <c r="B62" s="78">
        <f>B53/B55</f>
        <v>1E-10</v>
      </c>
      <c r="C62" s="79" t="s">
        <v>159</v>
      </c>
      <c r="D62" s="187" t="s">
        <v>271</v>
      </c>
      <c r="E62" s="169"/>
      <c r="F62" s="169"/>
      <c r="G62" s="169"/>
      <c r="H62" s="169"/>
      <c r="I62" s="169"/>
      <c r="J62" s="169"/>
      <c r="K62" s="170"/>
    </row>
    <row r="63" spans="1:14" ht="12.5" customHeight="1" x14ac:dyDescent="0.25">
      <c r="A63" s="77" t="s">
        <v>157</v>
      </c>
      <c r="B63" s="78">
        <f>B53/B54</f>
        <v>1.25</v>
      </c>
      <c r="C63" s="79" t="s">
        <v>160</v>
      </c>
      <c r="D63" s="187" t="s">
        <v>272</v>
      </c>
      <c r="E63" s="169"/>
      <c r="F63" s="169"/>
      <c r="G63" s="169"/>
      <c r="H63" s="169"/>
      <c r="I63" s="169"/>
      <c r="J63" s="169"/>
      <c r="K63" s="170"/>
    </row>
    <row r="64" spans="1:14" ht="12.5" customHeight="1" thickBot="1" x14ac:dyDescent="0.3">
      <c r="A64" s="156" t="s">
        <v>342</v>
      </c>
      <c r="B64" s="154">
        <f>B61+B40</f>
        <v>1.000000082740371E-10</v>
      </c>
      <c r="C64" s="259"/>
      <c r="D64" s="159" t="s">
        <v>343</v>
      </c>
      <c r="E64" s="171" t="s">
        <v>185</v>
      </c>
      <c r="F64" s="169"/>
      <c r="G64" s="169"/>
      <c r="H64" s="169"/>
      <c r="I64" s="169"/>
      <c r="J64" s="169"/>
      <c r="K64" s="170"/>
    </row>
    <row r="65" spans="1:11" ht="12.5" customHeight="1" x14ac:dyDescent="0.25">
      <c r="A65" s="341" t="s">
        <v>49</v>
      </c>
      <c r="B65" s="46"/>
      <c r="C65" s="46"/>
      <c r="D65" s="46"/>
      <c r="E65" s="46"/>
      <c r="F65" s="46"/>
      <c r="G65" s="46"/>
      <c r="H65" s="169"/>
      <c r="I65" s="169"/>
      <c r="J65" s="169"/>
      <c r="K65" s="170"/>
    </row>
    <row r="66" spans="1:11" ht="12.5" customHeight="1" thickBot="1" x14ac:dyDescent="0.3">
      <c r="A66" s="342" t="s">
        <v>216</v>
      </c>
      <c r="B66" s="259"/>
      <c r="C66" s="259"/>
      <c r="D66" s="259"/>
      <c r="E66" s="172"/>
      <c r="F66" s="172"/>
      <c r="G66" s="172"/>
      <c r="H66" s="259"/>
      <c r="I66" s="259"/>
      <c r="J66" s="172"/>
      <c r="K66" s="173"/>
    </row>
    <row r="67" spans="1:11" ht="12.5" customHeight="1" x14ac:dyDescent="0.25">
      <c r="C67" s="2"/>
      <c r="E67" s="1"/>
      <c r="F67" s="1"/>
      <c r="G67" s="1"/>
    </row>
    <row r="68" spans="1:11" ht="12.5" customHeight="1" x14ac:dyDescent="0.25">
      <c r="A68" s="1"/>
      <c r="E68" s="1"/>
      <c r="F68" s="1"/>
      <c r="G68" s="1"/>
      <c r="H68" s="1"/>
      <c r="I68" s="1"/>
    </row>
    <row r="69" spans="1:11" ht="12.5" customHeight="1" x14ac:dyDescent="0.25">
      <c r="A69" s="1"/>
      <c r="E69" s="1"/>
      <c r="F69" s="1"/>
      <c r="G69" s="1"/>
      <c r="H69" s="1"/>
      <c r="I69" s="1"/>
    </row>
    <row r="70" spans="1:11" ht="12.5" customHeight="1" x14ac:dyDescent="0.25">
      <c r="E70" s="1"/>
      <c r="F70" s="1"/>
      <c r="G70" s="1"/>
      <c r="H70" s="1"/>
      <c r="I70" s="1"/>
    </row>
    <row r="71" spans="1:11" ht="12.5" customHeight="1" x14ac:dyDescent="0.25">
      <c r="H71" s="1"/>
      <c r="I71" s="1"/>
    </row>
    <row r="72" spans="1:11" ht="12.5" customHeight="1" x14ac:dyDescent="0.25"/>
    <row r="73" spans="1:11" ht="12.5" customHeight="1" x14ac:dyDescent="0.25"/>
  </sheetData>
  <mergeCells count="29">
    <mergeCell ref="L2:P8"/>
    <mergeCell ref="C42:G42"/>
    <mergeCell ref="C40:G40"/>
    <mergeCell ref="A1:F2"/>
    <mergeCell ref="A4:J7"/>
    <mergeCell ref="D9:K9"/>
    <mergeCell ref="D10:K10"/>
    <mergeCell ref="D11:K11"/>
    <mergeCell ref="D12:K12"/>
    <mergeCell ref="D13:K13"/>
    <mergeCell ref="D16:I16"/>
    <mergeCell ref="D17:I18"/>
    <mergeCell ref="A25:C26"/>
    <mergeCell ref="A36:I36"/>
    <mergeCell ref="A37:I37"/>
    <mergeCell ref="D28:F28"/>
    <mergeCell ref="A34:C35"/>
    <mergeCell ref="C30:F30"/>
    <mergeCell ref="C32:F32"/>
    <mergeCell ref="H28:J28"/>
    <mergeCell ref="H29:J29"/>
    <mergeCell ref="H30:J30"/>
    <mergeCell ref="H31:J31"/>
    <mergeCell ref="H32:J32"/>
    <mergeCell ref="G50:H50"/>
    <mergeCell ref="D27:F27"/>
    <mergeCell ref="H27:J27"/>
    <mergeCell ref="E21:J22"/>
    <mergeCell ref="D29:F29"/>
  </mergeCells>
  <conditionalFormatting sqref="B38 B32">
    <cfRule type="cellIs" dxfId="79" priority="9" operator="lessThan">
      <formula>0</formula>
    </cfRule>
  </conditionalFormatting>
  <conditionalFormatting sqref="B53:B55">
    <cfRule type="cellIs" dxfId="78" priority="7" operator="lessThan">
      <formula>0</formula>
    </cfRule>
  </conditionalFormatting>
  <conditionalFormatting sqref="B40">
    <cfRule type="cellIs" dxfId="77" priority="6" operator="greaterThan">
      <formula>0</formula>
    </cfRule>
  </conditionalFormatting>
  <conditionalFormatting sqref="B61">
    <cfRule type="cellIs" dxfId="76" priority="3" operator="greaterThan">
      <formula>-B40*2</formula>
    </cfRule>
  </conditionalFormatting>
  <conditionalFormatting sqref="B47">
    <cfRule type="cellIs" dxfId="75" priority="2" operator="lessThan">
      <formula>0</formula>
    </cfRule>
  </conditionalFormatting>
  <conditionalFormatting sqref="B48">
    <cfRule type="cellIs" dxfId="74" priority="1" operator="lessThan">
      <formula>0</formula>
    </cfRule>
  </conditionalFormatting>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82"/>
  <sheetViews>
    <sheetView zoomScaleNormal="100" workbookViewId="0">
      <selection activeCell="L1" sqref="L1:P8"/>
    </sheetView>
  </sheetViews>
  <sheetFormatPr defaultRowHeight="12.5" x14ac:dyDescent="0.25"/>
  <cols>
    <col min="1" max="1" width="25.81640625" customWidth="1"/>
    <col min="2" max="2" width="12.453125" style="1" customWidth="1"/>
    <col min="3" max="3" width="12.81640625" style="1" customWidth="1"/>
    <col min="4" max="4" width="22.81640625" style="1" customWidth="1"/>
    <col min="5" max="5" width="18.90625" customWidth="1"/>
    <col min="6" max="7" width="10.453125" bestFit="1" customWidth="1"/>
    <col min="8" max="8" width="10.1796875" bestFit="1" customWidth="1"/>
    <col min="9" max="10" width="10.1796875" customWidth="1"/>
    <col min="11" max="11" width="11.54296875" customWidth="1"/>
    <col min="12" max="19" width="10.1796875" customWidth="1"/>
    <col min="20" max="20" width="24" customWidth="1"/>
    <col min="21" max="21" width="12.1796875" bestFit="1" customWidth="1"/>
    <col min="22" max="22" width="10.36328125" bestFit="1" customWidth="1"/>
    <col min="23" max="23" width="10.453125" bestFit="1" customWidth="1"/>
    <col min="24" max="24" width="10" customWidth="1"/>
  </cols>
  <sheetData>
    <row r="1" spans="1:16" ht="13.25" customHeight="1" x14ac:dyDescent="0.25">
      <c r="A1" s="443" t="s">
        <v>193</v>
      </c>
      <c r="B1" s="443"/>
      <c r="C1" s="443"/>
      <c r="D1" s="443"/>
      <c r="E1" s="443"/>
      <c r="F1" s="443"/>
      <c r="L1" s="42" t="s">
        <v>239</v>
      </c>
      <c r="M1" s="234">
        <v>1</v>
      </c>
    </row>
    <row r="2" spans="1:16" ht="13.25" customHeight="1" x14ac:dyDescent="0.25">
      <c r="A2" s="443"/>
      <c r="B2" s="443"/>
      <c r="C2" s="443"/>
      <c r="D2" s="443"/>
      <c r="E2" s="443"/>
      <c r="F2" s="443"/>
      <c r="G2" s="54"/>
      <c r="H2" s="42"/>
      <c r="L2" s="439" t="s">
        <v>240</v>
      </c>
      <c r="M2" s="439"/>
      <c r="N2" s="439"/>
      <c r="O2" s="439"/>
      <c r="P2" s="439"/>
    </row>
    <row r="3" spans="1:16" ht="13.25" customHeight="1" x14ac:dyDescent="0.25">
      <c r="L3" s="439"/>
      <c r="M3" s="439"/>
      <c r="N3" s="439"/>
      <c r="O3" s="439"/>
      <c r="P3" s="439"/>
    </row>
    <row r="4" spans="1:16" ht="13.25" customHeight="1" x14ac:dyDescent="0.25">
      <c r="A4" s="444" t="s">
        <v>308</v>
      </c>
      <c r="B4" s="444"/>
      <c r="C4" s="444"/>
      <c r="D4" s="444"/>
      <c r="E4" s="444"/>
      <c r="F4" s="444"/>
      <c r="G4" s="444"/>
      <c r="H4" s="444"/>
      <c r="I4" s="444"/>
      <c r="J4" s="444"/>
      <c r="L4" s="439"/>
      <c r="M4" s="439"/>
      <c r="N4" s="439"/>
      <c r="O4" s="439"/>
      <c r="P4" s="439"/>
    </row>
    <row r="5" spans="1:16" s="54" customFormat="1" x14ac:dyDescent="0.25">
      <c r="A5" s="444"/>
      <c r="B5" s="444"/>
      <c r="C5" s="444"/>
      <c r="D5" s="444"/>
      <c r="E5" s="444"/>
      <c r="F5" s="444"/>
      <c r="G5" s="444"/>
      <c r="H5" s="444"/>
      <c r="I5" s="444"/>
      <c r="J5" s="444"/>
      <c r="L5" s="439"/>
      <c r="M5" s="439"/>
      <c r="N5" s="439"/>
      <c r="O5" s="439"/>
      <c r="P5" s="439"/>
    </row>
    <row r="6" spans="1:16" x14ac:dyDescent="0.25">
      <c r="A6" s="444"/>
      <c r="B6" s="444"/>
      <c r="C6" s="444"/>
      <c r="D6" s="444"/>
      <c r="E6" s="444"/>
      <c r="F6" s="444"/>
      <c r="G6" s="444"/>
      <c r="H6" s="444"/>
      <c r="I6" s="444"/>
      <c r="J6" s="444"/>
      <c r="L6" s="439"/>
      <c r="M6" s="439"/>
      <c r="N6" s="439"/>
      <c r="O6" s="439"/>
      <c r="P6" s="439"/>
    </row>
    <row r="7" spans="1:16" x14ac:dyDescent="0.25">
      <c r="A7" s="444"/>
      <c r="B7" s="444"/>
      <c r="C7" s="444"/>
      <c r="D7" s="444"/>
      <c r="E7" s="444"/>
      <c r="F7" s="444"/>
      <c r="G7" s="444"/>
      <c r="H7" s="444"/>
      <c r="I7" s="444"/>
      <c r="J7" s="444"/>
      <c r="L7" s="439"/>
      <c r="M7" s="439"/>
      <c r="N7" s="439"/>
      <c r="O7" s="439"/>
      <c r="P7" s="439"/>
    </row>
    <row r="8" spans="1:16" x14ac:dyDescent="0.25">
      <c r="B8"/>
      <c r="C8"/>
      <c r="D8"/>
      <c r="L8" s="439"/>
      <c r="M8" s="439"/>
      <c r="N8" s="439"/>
      <c r="O8" s="439"/>
      <c r="P8" s="439"/>
    </row>
    <row r="9" spans="1:16" ht="13" x14ac:dyDescent="0.3">
      <c r="B9"/>
      <c r="C9"/>
      <c r="D9" s="445" t="s">
        <v>194</v>
      </c>
      <c r="E9" s="445"/>
      <c r="F9" s="445"/>
      <c r="G9" s="445"/>
      <c r="H9" s="445"/>
      <c r="I9" s="445"/>
      <c r="J9" s="445"/>
      <c r="K9" s="445"/>
    </row>
    <row r="10" spans="1:16" x14ac:dyDescent="0.25">
      <c r="B10"/>
      <c r="C10"/>
      <c r="D10" s="446" t="s">
        <v>328</v>
      </c>
      <c r="E10" s="446"/>
      <c r="F10" s="446"/>
      <c r="G10" s="446"/>
      <c r="H10" s="446"/>
      <c r="I10" s="446"/>
      <c r="J10" s="446"/>
      <c r="K10" s="446"/>
    </row>
    <row r="11" spans="1:16" x14ac:dyDescent="0.25">
      <c r="B11"/>
      <c r="C11"/>
      <c r="D11" s="447" t="s">
        <v>305</v>
      </c>
      <c r="E11" s="447"/>
      <c r="F11" s="447"/>
      <c r="G11" s="447"/>
      <c r="H11" s="447"/>
      <c r="I11" s="447"/>
      <c r="J11" s="447"/>
      <c r="K11" s="447"/>
    </row>
    <row r="12" spans="1:16" x14ac:dyDescent="0.25">
      <c r="B12"/>
      <c r="C12"/>
      <c r="D12" s="448" t="s">
        <v>208</v>
      </c>
      <c r="E12" s="448"/>
      <c r="F12" s="448"/>
      <c r="G12" s="448"/>
      <c r="H12" s="448"/>
      <c r="I12" s="448"/>
      <c r="J12" s="448"/>
      <c r="K12" s="448"/>
    </row>
    <row r="13" spans="1:16" x14ac:dyDescent="0.25">
      <c r="B13"/>
      <c r="C13"/>
      <c r="D13" s="449" t="s">
        <v>329</v>
      </c>
      <c r="E13" s="450"/>
      <c r="F13" s="450"/>
      <c r="G13" s="450"/>
      <c r="H13" s="450"/>
      <c r="I13" s="450"/>
      <c r="J13" s="450"/>
      <c r="K13" s="451"/>
    </row>
    <row r="14" spans="1:16" x14ac:dyDescent="0.25">
      <c r="B14"/>
      <c r="C14"/>
      <c r="D14" s="217"/>
      <c r="E14" s="217"/>
      <c r="F14" s="217"/>
      <c r="G14" s="217"/>
      <c r="H14" s="217"/>
      <c r="I14" s="217"/>
      <c r="J14" s="217"/>
      <c r="K14" s="217"/>
    </row>
    <row r="15" spans="1:16" x14ac:dyDescent="0.25">
      <c r="B15"/>
      <c r="C15"/>
      <c r="D15"/>
    </row>
    <row r="16" spans="1:16" x14ac:dyDescent="0.25">
      <c r="B16"/>
      <c r="C16"/>
      <c r="D16" s="452" t="s">
        <v>221</v>
      </c>
      <c r="E16" s="452"/>
      <c r="F16" s="452"/>
      <c r="G16" s="452"/>
      <c r="H16" s="452"/>
      <c r="I16" s="452"/>
    </row>
    <row r="17" spans="1:11" x14ac:dyDescent="0.25">
      <c r="B17"/>
      <c r="C17"/>
      <c r="D17" s="453" t="s">
        <v>197</v>
      </c>
      <c r="E17" s="453"/>
      <c r="F17" s="453"/>
      <c r="G17" s="453"/>
      <c r="H17" s="453"/>
      <c r="I17" s="453"/>
    </row>
    <row r="18" spans="1:11" x14ac:dyDescent="0.25">
      <c r="B18"/>
      <c r="C18"/>
      <c r="D18" s="453"/>
      <c r="E18" s="453"/>
      <c r="F18" s="453"/>
      <c r="G18" s="453"/>
      <c r="H18" s="453"/>
      <c r="I18" s="453"/>
    </row>
    <row r="19" spans="1:11" x14ac:dyDescent="0.25">
      <c r="B19"/>
      <c r="C19"/>
      <c r="D19" s="9" t="s">
        <v>313</v>
      </c>
      <c r="E19" s="9"/>
    </row>
    <row r="20" spans="1:11" ht="12.5" customHeight="1" x14ac:dyDescent="0.25">
      <c r="B20"/>
      <c r="C20"/>
      <c r="D20"/>
    </row>
    <row r="21" spans="1:11" ht="12.5" customHeight="1" x14ac:dyDescent="0.25">
      <c r="B21"/>
      <c r="C21"/>
      <c r="D21"/>
    </row>
    <row r="22" spans="1:11" x14ac:dyDescent="0.25">
      <c r="B22"/>
      <c r="C22"/>
      <c r="D22"/>
    </row>
    <row r="23" spans="1:11" x14ac:dyDescent="0.25">
      <c r="B23"/>
      <c r="C23"/>
      <c r="D23"/>
    </row>
    <row r="24" spans="1:11" ht="13" thickBot="1" x14ac:dyDescent="0.3">
      <c r="A24" s="481" t="s">
        <v>196</v>
      </c>
      <c r="B24" s="481"/>
      <c r="C24" s="481"/>
      <c r="D24"/>
    </row>
    <row r="25" spans="1:11" ht="13.5" thickBot="1" x14ac:dyDescent="0.35">
      <c r="A25" s="481"/>
      <c r="B25" s="481"/>
      <c r="C25" s="481"/>
      <c r="D25"/>
      <c r="H25" s="473" t="s">
        <v>213</v>
      </c>
      <c r="I25" s="474"/>
      <c r="J25" s="368" t="s">
        <v>235</v>
      </c>
      <c r="K25" s="369" t="s">
        <v>324</v>
      </c>
    </row>
    <row r="26" spans="1:11" ht="14" thickTop="1" thickBot="1" x14ac:dyDescent="0.35">
      <c r="A26" s="191" t="s">
        <v>36</v>
      </c>
      <c r="B26" s="192" t="s">
        <v>35</v>
      </c>
      <c r="C26" s="192" t="s">
        <v>34</v>
      </c>
      <c r="D26" s="488"/>
      <c r="E26" s="488"/>
      <c r="F26" s="488"/>
      <c r="H26" s="218" t="s">
        <v>203</v>
      </c>
      <c r="I26" s="231" t="str">
        <f>IF(T61,"Works","Fails")</f>
        <v>Fails</v>
      </c>
      <c r="J26" s="233">
        <f>B67+1</f>
        <v>0.125</v>
      </c>
      <c r="K26" s="370" t="s">
        <v>321</v>
      </c>
    </row>
    <row r="27" spans="1:11" ht="13.5" thickTop="1" thickBot="1" x14ac:dyDescent="0.3">
      <c r="A27" s="193" t="s">
        <v>33</v>
      </c>
      <c r="B27" s="194">
        <v>-10</v>
      </c>
      <c r="C27" s="194">
        <v>10</v>
      </c>
      <c r="D27" s="478" t="s">
        <v>156</v>
      </c>
      <c r="E27" s="459"/>
      <c r="F27" s="459"/>
      <c r="H27" s="218" t="s">
        <v>204</v>
      </c>
      <c r="I27" s="231" t="str">
        <f>IF(T79,"Works","Fails")</f>
        <v>Fails</v>
      </c>
      <c r="J27" s="233">
        <f>B98+1</f>
        <v>0.50378787878787878</v>
      </c>
      <c r="K27" s="370" t="s">
        <v>322</v>
      </c>
    </row>
    <row r="28" spans="1:11" ht="13.5" thickTop="1" thickBot="1" x14ac:dyDescent="0.3">
      <c r="A28" s="193" t="s">
        <v>32</v>
      </c>
      <c r="B28" s="194">
        <v>0</v>
      </c>
      <c r="C28" s="194">
        <v>2.5</v>
      </c>
      <c r="D28" s="478" t="s">
        <v>107</v>
      </c>
      <c r="E28" s="478"/>
      <c r="F28" s="478"/>
      <c r="G28" s="152"/>
      <c r="H28" s="218" t="s">
        <v>205</v>
      </c>
      <c r="I28" s="231" t="str">
        <f>IF(T132,"Works","Fails")</f>
        <v>Works</v>
      </c>
      <c r="J28" s="233">
        <f>B138+1</f>
        <v>1</v>
      </c>
      <c r="K28" s="370" t="s">
        <v>323</v>
      </c>
    </row>
    <row r="29" spans="1:11" ht="13.5" thickTop="1" thickBot="1" x14ac:dyDescent="0.3">
      <c r="A29" s="193" t="s">
        <v>50</v>
      </c>
      <c r="B29" s="195">
        <v>0</v>
      </c>
      <c r="C29" s="194">
        <v>2.5</v>
      </c>
      <c r="D29" s="478" t="s">
        <v>140</v>
      </c>
      <c r="E29" s="478"/>
      <c r="F29" s="478"/>
      <c r="H29" s="218" t="s">
        <v>206</v>
      </c>
      <c r="I29" s="231" t="str">
        <f>IF(T167,"Works","Fails")</f>
        <v>Fails</v>
      </c>
      <c r="J29" s="233">
        <f>B186+1</f>
        <v>0.51151824366122844</v>
      </c>
      <c r="K29" s="370" t="s">
        <v>325</v>
      </c>
    </row>
    <row r="30" spans="1:11" ht="13.5" thickTop="1" thickBot="1" x14ac:dyDescent="0.3">
      <c r="A30" s="193" t="s">
        <v>202</v>
      </c>
      <c r="B30" s="194">
        <v>3.3</v>
      </c>
      <c r="C30" s="196"/>
      <c r="D30" s="478" t="s">
        <v>225</v>
      </c>
      <c r="E30" s="478"/>
      <c r="F30" s="478"/>
      <c r="G30" s="40"/>
      <c r="H30" s="219" t="s">
        <v>207</v>
      </c>
      <c r="I30" s="232" t="str">
        <f>IF(T214,"Works","Fails")</f>
        <v>Fails</v>
      </c>
      <c r="J30" s="233">
        <f>B234+1</f>
        <v>0.5</v>
      </c>
      <c r="K30" s="370" t="s">
        <v>326</v>
      </c>
    </row>
    <row r="31" spans="1:11" ht="13.5" thickTop="1" thickBot="1" x14ac:dyDescent="0.3">
      <c r="A31" s="89"/>
      <c r="B31" s="44"/>
      <c r="C31" s="43"/>
      <c r="H31" s="219" t="s">
        <v>234</v>
      </c>
      <c r="I31" s="232" t="str">
        <f>IF(T261,"Works","Fails")</f>
        <v>Fails</v>
      </c>
      <c r="J31" s="371">
        <f>B273+1</f>
        <v>0.12500000001250011</v>
      </c>
      <c r="K31" s="372" t="s">
        <v>327</v>
      </c>
    </row>
    <row r="32" spans="1:11" x14ac:dyDescent="0.25">
      <c r="A32" s="481" t="s">
        <v>198</v>
      </c>
      <c r="B32" s="481"/>
      <c r="C32" s="481"/>
      <c r="D32"/>
    </row>
    <row r="33" spans="1:19" ht="13.25" customHeight="1" thickBot="1" x14ac:dyDescent="0.3">
      <c r="A33" s="481"/>
      <c r="B33" s="481"/>
      <c r="C33" s="481"/>
      <c r="D33"/>
      <c r="M33" s="153"/>
    </row>
    <row r="34" spans="1:19" ht="13.25" customHeight="1" x14ac:dyDescent="0.3">
      <c r="A34" s="482" t="s">
        <v>215</v>
      </c>
      <c r="B34" s="483"/>
      <c r="C34" s="483"/>
      <c r="D34" s="483"/>
      <c r="E34" s="483"/>
      <c r="F34" s="483"/>
      <c r="G34" s="483"/>
      <c r="H34" s="483"/>
      <c r="I34" s="484"/>
      <c r="M34" s="230"/>
    </row>
    <row r="35" spans="1:19" ht="13.5" thickBot="1" x14ac:dyDescent="0.35">
      <c r="A35" s="485" t="s">
        <v>314</v>
      </c>
      <c r="B35" s="486"/>
      <c r="C35" s="486"/>
      <c r="D35" s="486"/>
      <c r="E35" s="486"/>
      <c r="F35" s="486"/>
      <c r="G35" s="486"/>
      <c r="H35" s="486"/>
      <c r="I35" s="487"/>
      <c r="J35" s="151"/>
      <c r="K35" s="151"/>
      <c r="L35" s="151"/>
      <c r="M35" s="151"/>
      <c r="N35" s="151"/>
      <c r="O35" s="151"/>
      <c r="P35" s="151"/>
      <c r="Q35" s="151"/>
      <c r="R35" s="151"/>
      <c r="S35" s="151"/>
    </row>
    <row r="36" spans="1:19" ht="13" x14ac:dyDescent="0.3">
      <c r="A36" s="203" t="s">
        <v>199</v>
      </c>
      <c r="B36" s="208"/>
      <c r="C36" s="209"/>
      <c r="D36" s="208"/>
      <c r="E36" s="210"/>
      <c r="F36" s="197"/>
      <c r="G36" s="197"/>
      <c r="H36" s="197"/>
      <c r="I36" s="190"/>
      <c r="J36" s="169"/>
    </row>
    <row r="37" spans="1:19" x14ac:dyDescent="0.25">
      <c r="A37" s="65" t="s">
        <v>58</v>
      </c>
      <c r="B37" s="88" t="s">
        <v>44</v>
      </c>
      <c r="C37" s="199" t="s">
        <v>59</v>
      </c>
      <c r="D37" s="88"/>
      <c r="E37" s="350"/>
      <c r="F37" s="347"/>
      <c r="G37" s="169"/>
      <c r="H37" s="169"/>
      <c r="I37" s="170"/>
      <c r="J37" s="169"/>
    </row>
    <row r="38" spans="1:19" ht="13" x14ac:dyDescent="0.3">
      <c r="A38" s="56" t="s">
        <v>316</v>
      </c>
      <c r="B38" s="198">
        <f>(B28-C28)/(B27-C27)</f>
        <v>0.125</v>
      </c>
      <c r="C38" s="199" t="s">
        <v>200</v>
      </c>
      <c r="D38" s="465" t="s">
        <v>307</v>
      </c>
      <c r="E38" s="465"/>
      <c r="F38" s="465"/>
      <c r="G38" s="347"/>
      <c r="H38" s="347"/>
      <c r="I38" s="170"/>
      <c r="J38" s="169"/>
    </row>
    <row r="39" spans="1:19" ht="13.5" thickBot="1" x14ac:dyDescent="0.35">
      <c r="A39" s="156" t="s">
        <v>317</v>
      </c>
      <c r="B39" s="207">
        <f>IF(B28-B38*B27=0,0.000000001,B28-B38*B27)</f>
        <v>1.25</v>
      </c>
      <c r="C39" s="158" t="s">
        <v>46</v>
      </c>
      <c r="D39" s="158"/>
      <c r="E39" s="158"/>
      <c r="F39" s="158"/>
      <c r="G39" s="158"/>
      <c r="H39" s="172"/>
      <c r="I39" s="173"/>
      <c r="J39" s="169"/>
    </row>
    <row r="40" spans="1:19" ht="13" x14ac:dyDescent="0.3">
      <c r="A40" s="205"/>
      <c r="B40" s="200"/>
      <c r="C40" s="201"/>
      <c r="D40" s="201"/>
      <c r="E40" s="201"/>
      <c r="F40" s="201"/>
      <c r="G40" s="201"/>
      <c r="H40" s="169"/>
      <c r="I40" s="169"/>
      <c r="J40" s="169"/>
    </row>
    <row r="41" spans="1:19" x14ac:dyDescent="0.25">
      <c r="A41" s="357"/>
      <c r="B41" s="358"/>
      <c r="C41" s="359"/>
      <c r="D41" s="360"/>
      <c r="E41" s="361"/>
      <c r="F41" s="361"/>
      <c r="G41" s="361"/>
      <c r="H41" s="362"/>
      <c r="I41" s="362"/>
      <c r="J41" s="169"/>
    </row>
    <row r="42" spans="1:19" ht="13.5" thickBot="1" x14ac:dyDescent="0.35">
      <c r="A42" s="205"/>
      <c r="B42" s="200"/>
      <c r="C42" s="201"/>
      <c r="D42" s="201"/>
      <c r="E42" s="201"/>
      <c r="F42" s="201"/>
      <c r="G42" s="201"/>
      <c r="H42" s="169"/>
      <c r="I42" s="169"/>
      <c r="J42" s="169"/>
    </row>
    <row r="43" spans="1:19" ht="13" x14ac:dyDescent="0.3">
      <c r="A43" s="211" t="s">
        <v>315</v>
      </c>
      <c r="B43" s="366"/>
      <c r="C43" s="206"/>
      <c r="D43" s="206"/>
      <c r="E43" s="206"/>
      <c r="F43" s="206"/>
      <c r="G43" s="206"/>
      <c r="H43" s="197"/>
      <c r="I43" s="190"/>
      <c r="J43" s="169"/>
    </row>
    <row r="44" spans="1:19" x14ac:dyDescent="0.25">
      <c r="A44" s="65" t="s">
        <v>58</v>
      </c>
      <c r="B44" s="88" t="s">
        <v>44</v>
      </c>
      <c r="C44" s="199" t="s">
        <v>59</v>
      </c>
      <c r="D44" s="88" t="s">
        <v>45</v>
      </c>
      <c r="E44" s="350"/>
      <c r="F44" s="201"/>
      <c r="G44" s="201"/>
      <c r="H44" s="169"/>
      <c r="I44" s="170"/>
    </row>
    <row r="45" spans="1:19" x14ac:dyDescent="0.25">
      <c r="A45" s="56" t="s">
        <v>119</v>
      </c>
      <c r="B45" s="66">
        <f>B38-1</f>
        <v>-0.875</v>
      </c>
      <c r="C45" s="355"/>
      <c r="D45" s="348" t="s">
        <v>117</v>
      </c>
      <c r="E45" s="171" t="s">
        <v>66</v>
      </c>
      <c r="F45" s="201"/>
      <c r="G45" s="201"/>
      <c r="H45" s="169"/>
      <c r="I45" s="170"/>
    </row>
    <row r="46" spans="1:19" x14ac:dyDescent="0.25">
      <c r="A46" s="56" t="s">
        <v>41</v>
      </c>
      <c r="B46" s="375">
        <v>100000</v>
      </c>
      <c r="C46" s="355" t="s">
        <v>201</v>
      </c>
      <c r="D46" s="348" t="s">
        <v>164</v>
      </c>
      <c r="E46" s="347"/>
      <c r="F46" s="201"/>
      <c r="G46" s="201"/>
      <c r="H46" s="169"/>
      <c r="I46" s="170"/>
    </row>
    <row r="47" spans="1:19" x14ac:dyDescent="0.25">
      <c r="A47" s="56" t="s">
        <v>92</v>
      </c>
      <c r="B47" s="376">
        <f>IF(B45=0,1000000000000000,B46/B45)</f>
        <v>-114285.71428571429</v>
      </c>
      <c r="C47" s="355" t="s">
        <v>201</v>
      </c>
      <c r="D47" s="347" t="s">
        <v>118</v>
      </c>
      <c r="E47" s="347"/>
      <c r="F47" s="201"/>
      <c r="G47" s="201"/>
      <c r="H47" s="169"/>
      <c r="I47" s="170"/>
    </row>
    <row r="48" spans="1:19" x14ac:dyDescent="0.25">
      <c r="A48" s="56" t="s">
        <v>48</v>
      </c>
      <c r="B48" s="376">
        <f>U56</f>
        <v>-201526.71755725195</v>
      </c>
      <c r="C48" s="355" t="s">
        <v>201</v>
      </c>
      <c r="D48" s="347" t="s">
        <v>120</v>
      </c>
      <c r="E48" s="347"/>
      <c r="F48" s="201"/>
      <c r="G48" s="201"/>
      <c r="H48" s="169"/>
      <c r="I48" s="170"/>
    </row>
    <row r="49" spans="1:23" ht="13" thickBot="1" x14ac:dyDescent="0.3">
      <c r="A49" s="56" t="s">
        <v>93</v>
      </c>
      <c r="B49" s="376">
        <f>IF(AND(B45=0,B28&lt;&gt;B27),-999,U57)</f>
        <v>-264000</v>
      </c>
      <c r="C49" s="355" t="s">
        <v>201</v>
      </c>
      <c r="D49" s="347" t="s">
        <v>120</v>
      </c>
      <c r="E49" s="347"/>
      <c r="F49" s="201"/>
      <c r="G49" s="201"/>
      <c r="H49" s="169"/>
      <c r="I49" s="170"/>
    </row>
    <row r="50" spans="1:23" ht="14" x14ac:dyDescent="0.3">
      <c r="A50" s="55" t="s">
        <v>163</v>
      </c>
      <c r="B50" s="60"/>
      <c r="C50" s="390"/>
      <c r="D50" s="62"/>
      <c r="E50" s="347"/>
      <c r="F50" s="201"/>
      <c r="G50" s="201"/>
      <c r="H50" s="202">
        <v>1</v>
      </c>
      <c r="I50" s="170"/>
      <c r="T50" s="126" t="s">
        <v>120</v>
      </c>
      <c r="U50" s="127" t="s">
        <v>124</v>
      </c>
      <c r="V50" s="127" t="s">
        <v>43</v>
      </c>
      <c r="W50" s="128"/>
    </row>
    <row r="51" spans="1:23" ht="13" x14ac:dyDescent="0.3">
      <c r="A51" s="72" t="s">
        <v>58</v>
      </c>
      <c r="B51" s="73" t="s">
        <v>116</v>
      </c>
      <c r="C51" s="73" t="s">
        <v>59</v>
      </c>
      <c r="D51" s="64" t="s">
        <v>76</v>
      </c>
      <c r="E51" s="201"/>
      <c r="F51" s="201"/>
      <c r="G51" s="201"/>
      <c r="H51" s="169"/>
      <c r="I51" s="170"/>
      <c r="T51" s="129" t="s">
        <v>121</v>
      </c>
      <c r="U51" s="141">
        <f>B30</f>
        <v>3.3</v>
      </c>
      <c r="V51" s="130" t="s">
        <v>62</v>
      </c>
      <c r="W51" s="131"/>
    </row>
    <row r="52" spans="1:23" ht="13" x14ac:dyDescent="0.3">
      <c r="A52" s="56" t="s">
        <v>51</v>
      </c>
      <c r="B52" s="377">
        <v>1000</v>
      </c>
      <c r="C52" s="355" t="s">
        <v>201</v>
      </c>
      <c r="D52" s="349" t="s">
        <v>131</v>
      </c>
      <c r="E52" s="201"/>
      <c r="F52" s="201"/>
      <c r="G52" s="201"/>
      <c r="H52" s="169"/>
      <c r="I52" s="170"/>
      <c r="T52" s="129" t="s">
        <v>122</v>
      </c>
      <c r="U52" s="141">
        <f>B65</f>
        <v>1.4285714285714286</v>
      </c>
      <c r="V52" s="130" t="s">
        <v>62</v>
      </c>
      <c r="W52" s="131"/>
    </row>
    <row r="53" spans="1:23" ht="13" x14ac:dyDescent="0.3">
      <c r="A53" s="56" t="s">
        <v>63</v>
      </c>
      <c r="B53" s="58" t="s">
        <v>64</v>
      </c>
      <c r="C53" s="355"/>
      <c r="D53" s="57"/>
      <c r="E53" s="201"/>
      <c r="F53" s="201"/>
      <c r="G53" s="201"/>
      <c r="H53" s="169"/>
      <c r="I53" s="170"/>
      <c r="T53" s="129"/>
      <c r="U53" s="141"/>
      <c r="V53" s="130"/>
      <c r="W53" s="131"/>
    </row>
    <row r="54" spans="1:23" ht="13" x14ac:dyDescent="0.3">
      <c r="A54" s="56" t="s">
        <v>52</v>
      </c>
      <c r="B54" s="58" t="s">
        <v>64</v>
      </c>
      <c r="C54" s="355"/>
      <c r="D54" s="57"/>
      <c r="E54" s="201"/>
      <c r="F54" s="201"/>
      <c r="G54" s="201"/>
      <c r="H54" s="169"/>
      <c r="I54" s="170"/>
      <c r="T54" s="129"/>
      <c r="U54" s="141"/>
      <c r="V54" s="130"/>
      <c r="W54" s="131"/>
    </row>
    <row r="55" spans="1:23" ht="13" x14ac:dyDescent="0.3">
      <c r="A55" s="56" t="s">
        <v>46</v>
      </c>
      <c r="B55" s="58" t="s">
        <v>64</v>
      </c>
      <c r="C55" s="355"/>
      <c r="D55" s="57"/>
      <c r="E55" s="201"/>
      <c r="F55" s="201"/>
      <c r="G55" s="201"/>
      <c r="H55" s="169"/>
      <c r="I55" s="170"/>
      <c r="T55" s="129" t="s">
        <v>123</v>
      </c>
      <c r="U55" s="142">
        <f>B47</f>
        <v>-114285.71428571429</v>
      </c>
      <c r="V55" s="130" t="s">
        <v>1</v>
      </c>
      <c r="W55" s="132"/>
    </row>
    <row r="56" spans="1:23" ht="13" x14ac:dyDescent="0.3">
      <c r="A56" s="56" t="s">
        <v>41</v>
      </c>
      <c r="B56" s="373">
        <f>IF(B45=0,0.000000000000001,B46)</f>
        <v>100000</v>
      </c>
      <c r="C56" s="355" t="s">
        <v>201</v>
      </c>
      <c r="D56" s="57"/>
      <c r="E56" s="201"/>
      <c r="F56" s="201"/>
      <c r="G56" s="201"/>
      <c r="H56" s="169"/>
      <c r="I56" s="170"/>
      <c r="T56" s="135" t="s">
        <v>125</v>
      </c>
      <c r="U56" s="144">
        <f>IF(U51=U52,1000000000000000,IF(ABS(U52)&lt;0.000000001,U55,U52*U57/(U51-U52)))</f>
        <v>-201526.71755725195</v>
      </c>
      <c r="V56" s="133" t="s">
        <v>1</v>
      </c>
      <c r="W56" s="134" t="s">
        <v>63</v>
      </c>
    </row>
    <row r="57" spans="1:23" ht="13.5" thickBot="1" x14ac:dyDescent="0.35">
      <c r="A57" s="56" t="s">
        <v>48</v>
      </c>
      <c r="B57" s="373">
        <f>B48</f>
        <v>-201526.71755725195</v>
      </c>
      <c r="C57" s="355" t="s">
        <v>201</v>
      </c>
      <c r="D57" s="57" t="s">
        <v>247</v>
      </c>
      <c r="E57" s="347"/>
      <c r="F57" s="201"/>
      <c r="G57" s="201"/>
      <c r="H57" s="169"/>
      <c r="I57" s="170"/>
      <c r="T57" s="136" t="s">
        <v>126</v>
      </c>
      <c r="U57" s="145">
        <f>IF(U52=0,1000000000000000,U51*U55/U52)</f>
        <v>-264000</v>
      </c>
      <c r="V57" s="137" t="s">
        <v>1</v>
      </c>
      <c r="W57" s="138" t="s">
        <v>51</v>
      </c>
    </row>
    <row r="58" spans="1:23" x14ac:dyDescent="0.25">
      <c r="A58" s="56" t="s">
        <v>93</v>
      </c>
      <c r="B58" s="373">
        <f>B49</f>
        <v>-264000</v>
      </c>
      <c r="C58" s="355" t="s">
        <v>201</v>
      </c>
      <c r="D58" s="57" t="s">
        <v>247</v>
      </c>
      <c r="E58" s="347"/>
      <c r="F58" s="201"/>
      <c r="G58" s="201"/>
      <c r="H58" s="169"/>
      <c r="I58" s="170"/>
      <c r="T58" t="b">
        <f>IF((COUNTIF(B45:B49,"&lt;0")-COUNTIF(B45:B49,"&lt;-1e11")),FALSE,TRUE)</f>
        <v>0</v>
      </c>
      <c r="U58" s="9" t="s">
        <v>309</v>
      </c>
    </row>
    <row r="59" spans="1:23" x14ac:dyDescent="0.25">
      <c r="A59" s="70" t="s">
        <v>47</v>
      </c>
      <c r="B59" s="68">
        <f>B30</f>
        <v>3.3</v>
      </c>
      <c r="C59" s="69" t="s">
        <v>46</v>
      </c>
      <c r="D59" s="71"/>
      <c r="E59" s="347"/>
      <c r="F59" s="201"/>
      <c r="G59" s="201"/>
      <c r="H59" s="169"/>
      <c r="I59" s="170"/>
      <c r="T59" t="b">
        <f>IF(OR(B63&lt;B$29,B63&gt;C$29,C63&lt;B$29,C63&gt;C$29),FALSE,TRUE)</f>
        <v>0</v>
      </c>
      <c r="U59" s="9" t="s">
        <v>209</v>
      </c>
    </row>
    <row r="60" spans="1:23" ht="12.5" customHeight="1" x14ac:dyDescent="0.3">
      <c r="A60" s="67" t="s">
        <v>180</v>
      </c>
      <c r="B60" s="63" t="s">
        <v>35</v>
      </c>
      <c r="C60" s="73" t="s">
        <v>34</v>
      </c>
      <c r="D60" s="82" t="s">
        <v>59</v>
      </c>
      <c r="E60" s="201"/>
      <c r="F60" s="201"/>
      <c r="G60" s="201"/>
      <c r="H60" s="169"/>
      <c r="I60" s="170"/>
      <c r="T60" s="1">
        <v>1</v>
      </c>
    </row>
    <row r="61" spans="1:23" x14ac:dyDescent="0.25">
      <c r="A61" s="65" t="s">
        <v>104</v>
      </c>
      <c r="B61" s="46">
        <f>B27</f>
        <v>-10</v>
      </c>
      <c r="C61" s="355">
        <f>C27</f>
        <v>10</v>
      </c>
      <c r="D61" s="349" t="s">
        <v>46</v>
      </c>
      <c r="E61" s="201"/>
      <c r="F61" s="201"/>
      <c r="G61" s="201"/>
      <c r="H61" s="169"/>
      <c r="I61" s="170"/>
      <c r="T61" t="b">
        <f>AND(T58:T60)</f>
        <v>0</v>
      </c>
      <c r="U61" s="9" t="s">
        <v>236</v>
      </c>
    </row>
    <row r="62" spans="1:23" ht="12.5" customHeight="1" x14ac:dyDescent="0.25">
      <c r="A62" s="65" t="s">
        <v>79</v>
      </c>
      <c r="B62" s="66">
        <f>B63*(B67+1)-B68*B67</f>
        <v>0</v>
      </c>
      <c r="C62" s="168">
        <f>C63*(B67+1)-B68*B67</f>
        <v>2.5</v>
      </c>
      <c r="D62" s="349" t="s">
        <v>46</v>
      </c>
      <c r="E62" s="201"/>
      <c r="F62" s="201"/>
      <c r="G62" s="201"/>
      <c r="H62" s="169"/>
      <c r="I62" s="170"/>
    </row>
    <row r="63" spans="1:23" ht="12.5" customHeight="1" x14ac:dyDescent="0.25">
      <c r="A63" s="65" t="s">
        <v>39</v>
      </c>
      <c r="B63" s="66">
        <f>B61</f>
        <v>-10</v>
      </c>
      <c r="C63" s="168">
        <f>C61</f>
        <v>10</v>
      </c>
      <c r="D63" s="349" t="s">
        <v>46</v>
      </c>
      <c r="E63" s="467" t="str">
        <f>IF(T61,"This configuration will work!","This configuration will not work! Invalid values returned.")</f>
        <v>This configuration will not work! Invalid values returned.</v>
      </c>
      <c r="F63" s="468"/>
      <c r="G63" s="468"/>
      <c r="H63" s="468"/>
      <c r="I63" s="469"/>
    </row>
    <row r="64" spans="1:23" ht="13" x14ac:dyDescent="0.3">
      <c r="A64" s="155"/>
      <c r="B64" s="66"/>
      <c r="C64" s="168"/>
      <c r="D64" s="57"/>
      <c r="E64" s="467"/>
      <c r="F64" s="468"/>
      <c r="G64" s="468"/>
      <c r="H64" s="468"/>
      <c r="I64" s="469"/>
    </row>
    <row r="65" spans="1:21" ht="13" thickBot="1" x14ac:dyDescent="0.3">
      <c r="A65" s="156" t="s">
        <v>162</v>
      </c>
      <c r="B65" s="157">
        <f>IF(B45=0,999,-B39/B45)</f>
        <v>1.4285714285714286</v>
      </c>
      <c r="C65" s="158"/>
      <c r="D65" s="159" t="s">
        <v>46</v>
      </c>
      <c r="E65" s="470" t="str">
        <f>IF(ABS(B58)&gt;100000000000,"Resistor RH is no not populate","")</f>
        <v/>
      </c>
      <c r="F65" s="471"/>
      <c r="G65" s="471"/>
      <c r="H65" s="471"/>
      <c r="I65" s="472"/>
    </row>
    <row r="66" spans="1:21" x14ac:dyDescent="0.25">
      <c r="A66" s="74" t="s">
        <v>114</v>
      </c>
      <c r="B66" s="75">
        <v>1</v>
      </c>
      <c r="C66" s="76"/>
      <c r="D66" s="83">
        <v>1</v>
      </c>
      <c r="E66" s="201"/>
      <c r="F66" s="201"/>
      <c r="G66" s="201"/>
      <c r="H66" s="169"/>
      <c r="I66" s="170"/>
    </row>
    <row r="67" spans="1:21" x14ac:dyDescent="0.25">
      <c r="A67" s="77" t="s">
        <v>192</v>
      </c>
      <c r="B67" s="78">
        <f>B56/B69</f>
        <v>-0.875</v>
      </c>
      <c r="C67" s="79"/>
      <c r="D67" s="84" t="s">
        <v>129</v>
      </c>
      <c r="E67" s="201"/>
      <c r="F67" s="201"/>
      <c r="G67" s="201"/>
      <c r="H67" s="169"/>
      <c r="I67" s="170"/>
    </row>
    <row r="68" spans="1:21" x14ac:dyDescent="0.25">
      <c r="A68" s="77" t="s">
        <v>112</v>
      </c>
      <c r="B68" s="78">
        <f>B59*B57/(B57+B58)</f>
        <v>1.4285714285714288</v>
      </c>
      <c r="C68" s="79" t="s">
        <v>46</v>
      </c>
      <c r="D68" s="84" t="s">
        <v>130</v>
      </c>
      <c r="E68" s="201"/>
      <c r="F68" s="201"/>
      <c r="G68" s="201"/>
      <c r="H68" s="169"/>
      <c r="I68" s="170"/>
    </row>
    <row r="69" spans="1:21" ht="13" thickBot="1" x14ac:dyDescent="0.3">
      <c r="A69" s="80" t="s">
        <v>113</v>
      </c>
      <c r="B69" s="378">
        <f>1/(1/B57+1/B58)</f>
        <v>-114285.71428571429</v>
      </c>
      <c r="C69" s="81" t="s">
        <v>201</v>
      </c>
      <c r="D69" s="85" t="s">
        <v>92</v>
      </c>
      <c r="E69" s="351"/>
      <c r="F69" s="351"/>
      <c r="G69" s="351"/>
      <c r="H69" s="172"/>
      <c r="I69" s="173"/>
    </row>
    <row r="70" spans="1:21" x14ac:dyDescent="0.25">
      <c r="A70" s="352"/>
      <c r="B70" s="353"/>
      <c r="C70" s="79"/>
      <c r="D70" s="164"/>
      <c r="E70" s="201"/>
      <c r="F70" s="201"/>
      <c r="G70" s="201"/>
      <c r="H70" s="169"/>
      <c r="I70" s="169"/>
    </row>
    <row r="71" spans="1:21" x14ac:dyDescent="0.25">
      <c r="A71" s="357"/>
      <c r="B71" s="358"/>
      <c r="C71" s="359"/>
      <c r="D71" s="360"/>
      <c r="E71" s="361"/>
      <c r="F71" s="361"/>
      <c r="G71" s="361"/>
      <c r="H71" s="362"/>
      <c r="I71" s="362"/>
    </row>
    <row r="72" spans="1:21" ht="13" thickBot="1" x14ac:dyDescent="0.3">
      <c r="B72" s="41"/>
      <c r="C72" s="188"/>
      <c r="D72" s="152"/>
      <c r="E72" s="152"/>
      <c r="F72" s="152"/>
      <c r="G72" s="152"/>
    </row>
    <row r="73" spans="1:21" ht="13" x14ac:dyDescent="0.3">
      <c r="A73" s="211" t="s">
        <v>310</v>
      </c>
      <c r="B73" s="208"/>
      <c r="C73" s="214"/>
      <c r="D73" s="208"/>
      <c r="E73" s="215"/>
      <c r="F73" s="210"/>
      <c r="G73" s="197"/>
      <c r="H73" s="197"/>
      <c r="I73" s="190"/>
    </row>
    <row r="74" spans="1:21" x14ac:dyDescent="0.25">
      <c r="A74" s="65" t="s">
        <v>58</v>
      </c>
      <c r="B74" s="88" t="s">
        <v>44</v>
      </c>
      <c r="C74" s="199" t="s">
        <v>59</v>
      </c>
      <c r="D74" s="88" t="s">
        <v>45</v>
      </c>
      <c r="E74" s="213" t="s">
        <v>65</v>
      </c>
      <c r="F74" s="324"/>
      <c r="G74" s="169"/>
      <c r="H74" s="169"/>
      <c r="I74" s="170"/>
      <c r="U74" s="9"/>
    </row>
    <row r="75" spans="1:21" x14ac:dyDescent="0.25">
      <c r="A75" s="56" t="s">
        <v>52</v>
      </c>
      <c r="B75" s="377">
        <v>100000</v>
      </c>
      <c r="C75" s="355" t="s">
        <v>201</v>
      </c>
      <c r="D75" s="46" t="s">
        <v>57</v>
      </c>
      <c r="E75" s="57" t="s">
        <v>84</v>
      </c>
      <c r="F75" s="169"/>
      <c r="G75" s="169"/>
      <c r="H75" s="169"/>
      <c r="I75" s="170"/>
      <c r="U75" s="9"/>
    </row>
    <row r="76" spans="1:21" x14ac:dyDescent="0.25">
      <c r="A76" s="56" t="s">
        <v>51</v>
      </c>
      <c r="B76" s="379">
        <f>B75*B80</f>
        <v>303030.30303030304</v>
      </c>
      <c r="C76" s="355" t="s">
        <v>201</v>
      </c>
      <c r="D76" s="253" t="s">
        <v>108</v>
      </c>
      <c r="E76" s="254" t="s">
        <v>66</v>
      </c>
      <c r="F76" s="169"/>
      <c r="G76" s="169"/>
      <c r="H76" s="169"/>
      <c r="I76" s="170"/>
      <c r="T76" t="b">
        <f>IF((COUNTIF(B75:B78,"&lt;0")-COUNTIF(B75:B78,"&lt;-1e11")),FALSE,TRUE)</f>
        <v>0</v>
      </c>
      <c r="U76" s="9" t="s">
        <v>309</v>
      </c>
    </row>
    <row r="77" spans="1:21" x14ac:dyDescent="0.25">
      <c r="A77" s="56" t="s">
        <v>48</v>
      </c>
      <c r="B77" s="377">
        <v>100000</v>
      </c>
      <c r="C77" s="355" t="s">
        <v>201</v>
      </c>
      <c r="D77" s="46" t="s">
        <v>57</v>
      </c>
      <c r="E77" s="57" t="s">
        <v>84</v>
      </c>
      <c r="F77" s="169"/>
      <c r="G77" s="169"/>
      <c r="H77" s="169"/>
      <c r="I77" s="170"/>
      <c r="T77" t="b">
        <f>IF(OR(B96&lt;B$29,B96&gt;C$29,C96&lt;B$29,C96&gt;C$29),FALSE,TRUE)</f>
        <v>0</v>
      </c>
      <c r="U77" s="9" t="s">
        <v>209</v>
      </c>
    </row>
    <row r="78" spans="1:21" x14ac:dyDescent="0.25">
      <c r="A78" s="56" t="s">
        <v>41</v>
      </c>
      <c r="B78" s="380">
        <f>B77*B81</f>
        <v>-49621.21212121212</v>
      </c>
      <c r="C78" s="355" t="s">
        <v>201</v>
      </c>
      <c r="D78" s="253" t="s">
        <v>109</v>
      </c>
      <c r="E78" s="254" t="s">
        <v>66</v>
      </c>
      <c r="F78" s="169"/>
      <c r="G78" s="169"/>
      <c r="H78" s="169"/>
      <c r="I78" s="170"/>
      <c r="T78" s="1">
        <v>1</v>
      </c>
    </row>
    <row r="79" spans="1:21" x14ac:dyDescent="0.25">
      <c r="A79" s="56" t="s">
        <v>63</v>
      </c>
      <c r="B79" s="355" t="s">
        <v>64</v>
      </c>
      <c r="C79" s="355" t="s">
        <v>60</v>
      </c>
      <c r="D79" s="253" t="s">
        <v>64</v>
      </c>
      <c r="E79" s="254" t="s">
        <v>67</v>
      </c>
      <c r="F79" s="169"/>
      <c r="G79" s="169"/>
      <c r="H79" s="169"/>
      <c r="I79" s="170"/>
      <c r="T79" t="b">
        <f>AND(T76:T78)</f>
        <v>0</v>
      </c>
      <c r="U79" s="9" t="s">
        <v>236</v>
      </c>
    </row>
    <row r="80" spans="1:21" x14ac:dyDescent="0.25">
      <c r="A80" s="162" t="s">
        <v>55</v>
      </c>
      <c r="B80" s="163">
        <f>B39/B30/B38</f>
        <v>3.0303030303030303</v>
      </c>
      <c r="C80" s="164" t="s">
        <v>60</v>
      </c>
      <c r="D80" s="164" t="s">
        <v>110</v>
      </c>
      <c r="E80" s="84" t="s">
        <v>74</v>
      </c>
      <c r="F80" s="169"/>
      <c r="G80" s="169"/>
      <c r="H80" s="169"/>
      <c r="I80" s="170"/>
    </row>
    <row r="81" spans="1:9" ht="13" thickBot="1" x14ac:dyDescent="0.3">
      <c r="A81" s="165" t="s">
        <v>56</v>
      </c>
      <c r="B81" s="166">
        <f>B38-1+B39/B30</f>
        <v>-0.49621212121212122</v>
      </c>
      <c r="C81" s="167" t="s">
        <v>60</v>
      </c>
      <c r="D81" s="167" t="s">
        <v>111</v>
      </c>
      <c r="E81" s="85" t="s">
        <v>75</v>
      </c>
      <c r="F81" s="169"/>
      <c r="G81" s="169"/>
      <c r="H81" s="169"/>
      <c r="I81" s="170"/>
    </row>
    <row r="82" spans="1:9" ht="13.5" thickBot="1" x14ac:dyDescent="0.35">
      <c r="A82" s="155"/>
      <c r="B82" s="325"/>
      <c r="C82" s="325"/>
      <c r="D82" s="46"/>
      <c r="E82" s="169"/>
      <c r="F82" s="169"/>
      <c r="G82" s="169"/>
      <c r="H82" s="169"/>
      <c r="I82" s="170"/>
    </row>
    <row r="83" spans="1:9" ht="13" x14ac:dyDescent="0.3">
      <c r="A83" s="55" t="s">
        <v>165</v>
      </c>
      <c r="B83" s="60"/>
      <c r="C83" s="390"/>
      <c r="D83" s="62"/>
      <c r="E83" s="169"/>
      <c r="F83" s="169"/>
      <c r="G83" s="169"/>
      <c r="H83" s="169"/>
      <c r="I83" s="170"/>
    </row>
    <row r="84" spans="1:9" ht="14" x14ac:dyDescent="0.3">
      <c r="A84" s="72" t="s">
        <v>58</v>
      </c>
      <c r="B84" s="73" t="s">
        <v>116</v>
      </c>
      <c r="C84" s="73" t="s">
        <v>59</v>
      </c>
      <c r="D84" s="64" t="s">
        <v>65</v>
      </c>
      <c r="E84" s="169"/>
      <c r="F84" s="169"/>
      <c r="G84" s="169"/>
      <c r="H84" s="202">
        <v>2</v>
      </c>
      <c r="I84" s="170"/>
    </row>
    <row r="85" spans="1:9" x14ac:dyDescent="0.25">
      <c r="A85" s="56" t="s">
        <v>51</v>
      </c>
      <c r="B85" s="373">
        <f>B76</f>
        <v>303030.30303030304</v>
      </c>
      <c r="C85" s="355" t="s">
        <v>201</v>
      </c>
      <c r="D85" s="254" t="s">
        <v>166</v>
      </c>
      <c r="E85" s="169"/>
      <c r="F85" s="169"/>
      <c r="G85" s="169"/>
      <c r="H85" s="169"/>
      <c r="I85" s="170"/>
    </row>
    <row r="86" spans="1:9" x14ac:dyDescent="0.25">
      <c r="A86" s="56" t="s">
        <v>63</v>
      </c>
      <c r="B86" s="58" t="s">
        <v>64</v>
      </c>
      <c r="C86" s="355" t="s">
        <v>60</v>
      </c>
      <c r="D86" s="254" t="s">
        <v>166</v>
      </c>
      <c r="E86" s="169"/>
      <c r="F86" s="169"/>
      <c r="G86" s="169"/>
      <c r="H86" s="169"/>
      <c r="I86" s="170"/>
    </row>
    <row r="87" spans="1:9" x14ac:dyDescent="0.25">
      <c r="A87" s="56" t="s">
        <v>52</v>
      </c>
      <c r="B87" s="381">
        <f>B75</f>
        <v>100000</v>
      </c>
      <c r="C87" s="355" t="s">
        <v>201</v>
      </c>
      <c r="D87" s="254" t="s">
        <v>166</v>
      </c>
      <c r="E87" s="169"/>
      <c r="F87" s="169"/>
      <c r="G87" s="169"/>
      <c r="H87" s="169"/>
      <c r="I87" s="170"/>
    </row>
    <row r="88" spans="1:9" x14ac:dyDescent="0.25">
      <c r="A88" s="56" t="s">
        <v>46</v>
      </c>
      <c r="B88" s="46">
        <f>B30</f>
        <v>3.3</v>
      </c>
      <c r="C88" s="355" t="s">
        <v>61</v>
      </c>
      <c r="D88" s="57"/>
      <c r="E88" s="169"/>
      <c r="F88" s="169"/>
      <c r="G88" s="169"/>
      <c r="H88" s="169"/>
      <c r="I88" s="170"/>
    </row>
    <row r="89" spans="1:9" x14ac:dyDescent="0.25">
      <c r="A89" s="56" t="s">
        <v>41</v>
      </c>
      <c r="B89" s="382">
        <f>B78</f>
        <v>-49621.21212121212</v>
      </c>
      <c r="C89" s="355" t="s">
        <v>201</v>
      </c>
      <c r="D89" s="254" t="s">
        <v>166</v>
      </c>
      <c r="E89" s="169"/>
      <c r="F89" s="169"/>
      <c r="G89" s="169"/>
      <c r="H89" s="169"/>
      <c r="I89" s="170"/>
    </row>
    <row r="90" spans="1:9" x14ac:dyDescent="0.25">
      <c r="A90" s="56" t="s">
        <v>48</v>
      </c>
      <c r="B90" s="382">
        <f>B77</f>
        <v>100000</v>
      </c>
      <c r="C90" s="355" t="s">
        <v>201</v>
      </c>
      <c r="D90" s="254" t="s">
        <v>166</v>
      </c>
      <c r="E90" s="169"/>
      <c r="F90" s="169"/>
      <c r="G90" s="169"/>
      <c r="H90" s="169"/>
      <c r="I90" s="170"/>
    </row>
    <row r="91" spans="1:9" x14ac:dyDescent="0.25">
      <c r="A91" s="56" t="s">
        <v>93</v>
      </c>
      <c r="B91" s="59" t="s">
        <v>64</v>
      </c>
      <c r="C91" s="355"/>
      <c r="D91" s="254" t="s">
        <v>67</v>
      </c>
      <c r="E91" s="169"/>
      <c r="F91" s="169"/>
      <c r="G91" s="169"/>
      <c r="H91" s="169"/>
      <c r="I91" s="170"/>
    </row>
    <row r="92" spans="1:9" x14ac:dyDescent="0.25">
      <c r="A92" s="70" t="s">
        <v>47</v>
      </c>
      <c r="B92" s="69" t="s">
        <v>64</v>
      </c>
      <c r="C92" s="69"/>
      <c r="D92" s="140" t="s">
        <v>67</v>
      </c>
      <c r="E92" s="169"/>
      <c r="F92" s="169"/>
      <c r="G92" s="169"/>
      <c r="H92" s="169"/>
      <c r="I92" s="170"/>
    </row>
    <row r="93" spans="1:9" ht="13" x14ac:dyDescent="0.3">
      <c r="A93" s="67" t="s">
        <v>180</v>
      </c>
      <c r="B93" s="63" t="s">
        <v>35</v>
      </c>
      <c r="C93" s="73" t="s">
        <v>34</v>
      </c>
      <c r="D93" s="82" t="s">
        <v>59</v>
      </c>
      <c r="E93" s="169"/>
      <c r="F93" s="169"/>
      <c r="G93" s="169"/>
      <c r="H93" s="169"/>
      <c r="I93" s="170"/>
    </row>
    <row r="94" spans="1:9" x14ac:dyDescent="0.25">
      <c r="A94" s="65" t="s">
        <v>104</v>
      </c>
      <c r="B94" s="46">
        <f>B27</f>
        <v>-10</v>
      </c>
      <c r="C94" s="355">
        <f>C27</f>
        <v>10</v>
      </c>
      <c r="D94" s="57" t="s">
        <v>61</v>
      </c>
      <c r="E94" s="169"/>
      <c r="F94" s="169"/>
      <c r="G94" s="169"/>
      <c r="H94" s="169"/>
      <c r="I94" s="170"/>
    </row>
    <row r="95" spans="1:9" ht="13" customHeight="1" x14ac:dyDescent="0.25">
      <c r="A95" s="65" t="s">
        <v>79</v>
      </c>
      <c r="B95" s="66">
        <f>B96*(B98+1)-B98*B99</f>
        <v>-2.2372676102294821E-16</v>
      </c>
      <c r="C95" s="168">
        <f>C96*(B98+1)-B98*B99</f>
        <v>2.5</v>
      </c>
      <c r="D95" s="57" t="s">
        <v>61</v>
      </c>
      <c r="E95" s="169"/>
      <c r="F95" s="169"/>
      <c r="G95" s="169"/>
      <c r="H95" s="169"/>
      <c r="I95" s="170"/>
    </row>
    <row r="96" spans="1:9" ht="12.5" customHeight="1" thickBot="1" x14ac:dyDescent="0.3">
      <c r="A96" s="65" t="s">
        <v>39</v>
      </c>
      <c r="B96" s="66">
        <f>IF(B98=-1,1000000000,((B94-B88)/(B97+1)+B88)*1)</f>
        <v>-4.4408920985006262E-16</v>
      </c>
      <c r="C96" s="168">
        <f>IF(B98=-1,1000000000,((C94-B88)/(B97+1)+B88)*1)</f>
        <v>4.9624060150375939</v>
      </c>
      <c r="D96" s="57" t="s">
        <v>61</v>
      </c>
      <c r="E96" s="467" t="str">
        <f>IF(T79,"This configuration will work!","This configuration will not work! Invalid values returned.")</f>
        <v>This configuration will not work! Invalid values returned.</v>
      </c>
      <c r="F96" s="468"/>
      <c r="G96" s="468"/>
      <c r="H96" s="468"/>
      <c r="I96" s="469"/>
    </row>
    <row r="97" spans="1:24" x14ac:dyDescent="0.25">
      <c r="A97" s="74" t="s">
        <v>114</v>
      </c>
      <c r="B97" s="75">
        <f>B85/B87</f>
        <v>3.0303030303030303</v>
      </c>
      <c r="C97" s="76" t="s">
        <v>80</v>
      </c>
      <c r="D97" s="83" t="s">
        <v>106</v>
      </c>
      <c r="E97" s="467"/>
      <c r="F97" s="468"/>
      <c r="G97" s="468"/>
      <c r="H97" s="468"/>
      <c r="I97" s="469"/>
    </row>
    <row r="98" spans="1:24" x14ac:dyDescent="0.25">
      <c r="A98" s="77" t="s">
        <v>115</v>
      </c>
      <c r="B98" s="78">
        <f>B89/B100</f>
        <v>-0.49621212121212122</v>
      </c>
      <c r="C98" s="79" t="s">
        <v>80</v>
      </c>
      <c r="D98" s="84" t="s">
        <v>106</v>
      </c>
      <c r="E98" s="470" t="str">
        <f>IF(ABS(B76)&lt;0.001,"Use circuit 1 instead, C is not needed","")</f>
        <v/>
      </c>
      <c r="F98" s="471"/>
      <c r="G98" s="471"/>
      <c r="H98" s="471"/>
      <c r="I98" s="472"/>
    </row>
    <row r="99" spans="1:24" x14ac:dyDescent="0.25">
      <c r="A99" s="77" t="s">
        <v>112</v>
      </c>
      <c r="B99" s="78">
        <v>0</v>
      </c>
      <c r="C99" s="79" t="s">
        <v>61</v>
      </c>
      <c r="D99" s="84" t="s">
        <v>106</v>
      </c>
      <c r="E99" s="169"/>
      <c r="F99" s="169"/>
      <c r="G99" s="169"/>
      <c r="H99" s="169"/>
      <c r="I99" s="170"/>
    </row>
    <row r="100" spans="1:24" ht="13" thickBot="1" x14ac:dyDescent="0.3">
      <c r="A100" s="80" t="s">
        <v>113</v>
      </c>
      <c r="B100" s="378">
        <f>B90</f>
        <v>100000</v>
      </c>
      <c r="C100" s="81" t="s">
        <v>201</v>
      </c>
      <c r="D100" s="85" t="s">
        <v>106</v>
      </c>
      <c r="E100" s="172"/>
      <c r="F100" s="172"/>
      <c r="G100" s="172"/>
      <c r="H100" s="172"/>
      <c r="I100" s="173"/>
    </row>
    <row r="101" spans="1:24" x14ac:dyDescent="0.25">
      <c r="A101" s="352"/>
      <c r="B101" s="353"/>
      <c r="C101" s="79"/>
      <c r="D101" s="164"/>
      <c r="E101" s="169"/>
      <c r="F101" s="169"/>
      <c r="G101" s="169"/>
      <c r="H101" s="169"/>
      <c r="I101" s="169"/>
    </row>
    <row r="102" spans="1:24" x14ac:dyDescent="0.25">
      <c r="A102" s="357"/>
      <c r="B102" s="358"/>
      <c r="C102" s="359"/>
      <c r="D102" s="360"/>
      <c r="E102" s="361"/>
      <c r="F102" s="361"/>
      <c r="G102" s="361"/>
      <c r="H102" s="362"/>
      <c r="I102" s="362"/>
    </row>
    <row r="103" spans="1:24" ht="13.5" thickBot="1" x14ac:dyDescent="0.35">
      <c r="A103" s="86"/>
      <c r="B103" s="87"/>
      <c r="C103" s="87"/>
    </row>
    <row r="104" spans="1:24" ht="13" x14ac:dyDescent="0.3">
      <c r="A104" s="211" t="s">
        <v>311</v>
      </c>
      <c r="B104" s="208"/>
      <c r="C104" s="214"/>
      <c r="D104" s="208"/>
      <c r="E104" s="210"/>
      <c r="F104" s="210"/>
      <c r="G104" s="212"/>
      <c r="H104" s="197"/>
      <c r="I104" s="190"/>
    </row>
    <row r="105" spans="1:24" x14ac:dyDescent="0.25">
      <c r="A105" s="65" t="s">
        <v>58</v>
      </c>
      <c r="B105" s="88" t="s">
        <v>44</v>
      </c>
      <c r="C105" s="199" t="s">
        <v>59</v>
      </c>
      <c r="D105" s="88" t="s">
        <v>45</v>
      </c>
      <c r="E105" s="260" t="s">
        <v>65</v>
      </c>
      <c r="F105" s="90"/>
      <c r="G105" s="261"/>
      <c r="H105" s="169"/>
      <c r="I105" s="170"/>
    </row>
    <row r="106" spans="1:24" x14ac:dyDescent="0.25">
      <c r="A106" s="56" t="s">
        <v>249</v>
      </c>
      <c r="B106" s="256">
        <f>MAX(MAX(C28,B28)/MAX(C29,B29),1,1.1*B38)</f>
        <v>1</v>
      </c>
      <c r="C106" s="355" t="s">
        <v>60</v>
      </c>
      <c r="D106" s="253" t="s">
        <v>248</v>
      </c>
      <c r="E106" s="463" t="s">
        <v>167</v>
      </c>
      <c r="F106" s="463"/>
      <c r="G106" s="464"/>
      <c r="H106" s="255"/>
      <c r="I106" s="170"/>
    </row>
    <row r="107" spans="1:24" ht="13" thickBot="1" x14ac:dyDescent="0.3">
      <c r="A107" s="56" t="s">
        <v>48</v>
      </c>
      <c r="B107" s="377">
        <v>100000</v>
      </c>
      <c r="C107" s="355" t="s">
        <v>201</v>
      </c>
      <c r="D107" s="253" t="s">
        <v>73</v>
      </c>
      <c r="E107" s="465" t="s">
        <v>254</v>
      </c>
      <c r="F107" s="465"/>
      <c r="G107" s="466"/>
      <c r="H107" s="169"/>
      <c r="I107" s="170"/>
    </row>
    <row r="108" spans="1:24" ht="13" x14ac:dyDescent="0.3">
      <c r="A108" s="56" t="s">
        <v>68</v>
      </c>
      <c r="B108" s="379">
        <f>(B106-1)*B107</f>
        <v>0</v>
      </c>
      <c r="C108" s="355" t="s">
        <v>201</v>
      </c>
      <c r="D108" s="253" t="s">
        <v>251</v>
      </c>
      <c r="E108" s="465" t="s">
        <v>255</v>
      </c>
      <c r="F108" s="465"/>
      <c r="G108" s="466"/>
      <c r="H108" s="169"/>
      <c r="I108" s="170"/>
      <c r="T108" s="91" t="s">
        <v>132</v>
      </c>
      <c r="U108" s="92"/>
      <c r="V108" s="93"/>
      <c r="W108" s="94"/>
      <c r="X108" s="95"/>
    </row>
    <row r="109" spans="1:24" ht="13" x14ac:dyDescent="0.3">
      <c r="A109" s="56" t="s">
        <v>41</v>
      </c>
      <c r="B109" s="377">
        <v>100000</v>
      </c>
      <c r="C109" s="355" t="s">
        <v>201</v>
      </c>
      <c r="D109" s="253" t="s">
        <v>73</v>
      </c>
      <c r="E109" s="465" t="s">
        <v>256</v>
      </c>
      <c r="F109" s="465"/>
      <c r="G109" s="466"/>
      <c r="H109" s="169"/>
      <c r="I109" s="257"/>
      <c r="T109" s="96" t="s">
        <v>133</v>
      </c>
      <c r="U109" s="149">
        <f>B38/(B115/B114+1)</f>
        <v>0.125</v>
      </c>
      <c r="V109" s="98"/>
      <c r="W109" s="99"/>
      <c r="X109" s="100"/>
    </row>
    <row r="110" spans="1:24" ht="13.5" thickBot="1" x14ac:dyDescent="0.35">
      <c r="A110" s="156" t="s">
        <v>72</v>
      </c>
      <c r="B110" s="383">
        <f>IF(B106=1,1000000000000000,B109/(B106-1))</f>
        <v>1000000000000000</v>
      </c>
      <c r="C110" s="158" t="s">
        <v>201</v>
      </c>
      <c r="D110" s="158" t="s">
        <v>250</v>
      </c>
      <c r="E110" s="461" t="s">
        <v>257</v>
      </c>
      <c r="F110" s="461"/>
      <c r="G110" s="462"/>
      <c r="H110" s="169"/>
      <c r="I110" s="170"/>
      <c r="T110" s="96" t="s">
        <v>134</v>
      </c>
      <c r="U110" s="149">
        <f>B39/(B115/B114+1)</f>
        <v>1.25</v>
      </c>
      <c r="V110" s="98"/>
      <c r="W110" s="99"/>
      <c r="X110" s="100"/>
    </row>
    <row r="111" spans="1:24" ht="13" thickBot="1" x14ac:dyDescent="0.3">
      <c r="A111" s="56"/>
      <c r="B111" s="326"/>
      <c r="C111" s="355"/>
      <c r="D111" s="253"/>
      <c r="E111" s="171"/>
      <c r="F111" s="169"/>
      <c r="G111" s="169"/>
      <c r="H111" s="169"/>
      <c r="I111" s="170"/>
      <c r="T111" s="101" t="s">
        <v>137</v>
      </c>
      <c r="U111" s="97">
        <f>B30</f>
        <v>3.3</v>
      </c>
      <c r="V111" s="98"/>
      <c r="W111" s="99"/>
      <c r="X111" s="100"/>
    </row>
    <row r="112" spans="1:24" ht="13" x14ac:dyDescent="0.3">
      <c r="A112" s="211" t="s">
        <v>172</v>
      </c>
      <c r="B112" s="208"/>
      <c r="C112" s="214"/>
      <c r="D112" s="208"/>
      <c r="E112" s="212"/>
      <c r="F112" s="169"/>
      <c r="G112" s="169"/>
      <c r="H112" s="169"/>
      <c r="I112" s="170"/>
      <c r="T112" s="96" t="s">
        <v>21</v>
      </c>
      <c r="U112" s="99" t="s">
        <v>13</v>
      </c>
      <c r="V112" s="99" t="s">
        <v>12</v>
      </c>
      <c r="W112" s="99" t="s">
        <v>15</v>
      </c>
      <c r="X112" s="102" t="s">
        <v>11</v>
      </c>
    </row>
    <row r="113" spans="1:24" x14ac:dyDescent="0.25">
      <c r="A113" s="65" t="s">
        <v>58</v>
      </c>
      <c r="B113" s="88" t="s">
        <v>44</v>
      </c>
      <c r="C113" s="199" t="s">
        <v>59</v>
      </c>
      <c r="D113" s="479" t="s">
        <v>76</v>
      </c>
      <c r="E113" s="480"/>
      <c r="F113" s="169"/>
      <c r="G113" s="169"/>
      <c r="H113" s="169"/>
      <c r="I113" s="170"/>
      <c r="N113" s="188"/>
      <c r="O113" s="188"/>
      <c r="P113" s="188"/>
      <c r="Q113" s="188"/>
      <c r="R113" s="188"/>
      <c r="S113" s="188"/>
      <c r="T113" s="103" t="s">
        <v>20</v>
      </c>
      <c r="U113" s="104">
        <f>(U109-1)</f>
        <v>-0.875</v>
      </c>
      <c r="V113" s="104">
        <f>U109</f>
        <v>0.125</v>
      </c>
      <c r="W113" s="104">
        <f>U109</f>
        <v>0.125</v>
      </c>
      <c r="X113" s="105">
        <v>0</v>
      </c>
    </row>
    <row r="114" spans="1:24" x14ac:dyDescent="0.25">
      <c r="A114" s="56" t="s">
        <v>69</v>
      </c>
      <c r="B114" s="373">
        <f>B110</f>
        <v>1000000000000000</v>
      </c>
      <c r="C114" s="355" t="s">
        <v>201</v>
      </c>
      <c r="D114" s="465" t="s">
        <v>252</v>
      </c>
      <c r="E114" s="466"/>
      <c r="F114" s="169"/>
      <c r="G114" s="169"/>
      <c r="H114" s="169"/>
      <c r="I114" s="170"/>
      <c r="J114" s="188"/>
      <c r="K114" s="188"/>
      <c r="L114" s="188"/>
      <c r="M114" s="188"/>
      <c r="T114" s="96" t="s">
        <v>19</v>
      </c>
      <c r="U114" s="106">
        <f>U110</f>
        <v>1.25</v>
      </c>
      <c r="V114" s="106">
        <f>U110</f>
        <v>1.25</v>
      </c>
      <c r="W114" s="106">
        <f>(U110-U111)</f>
        <v>-2.0499999999999998</v>
      </c>
      <c r="X114" s="107">
        <v>0</v>
      </c>
    </row>
    <row r="115" spans="1:24" ht="13.5" thickBot="1" x14ac:dyDescent="0.35">
      <c r="A115" s="156" t="s">
        <v>70</v>
      </c>
      <c r="B115" s="389">
        <f>IF(ABS(B114)&lt;1000000000000,B109,0)</f>
        <v>0</v>
      </c>
      <c r="C115" s="158" t="s">
        <v>201</v>
      </c>
      <c r="D115" s="461" t="s">
        <v>253</v>
      </c>
      <c r="E115" s="462"/>
      <c r="F115" s="169"/>
      <c r="G115" s="169"/>
      <c r="H115" s="169"/>
      <c r="I115" s="170"/>
      <c r="T115" s="108" t="s">
        <v>18</v>
      </c>
      <c r="U115" s="109">
        <v>1</v>
      </c>
      <c r="V115" s="109">
        <v>0</v>
      </c>
      <c r="W115" s="109">
        <v>0</v>
      </c>
      <c r="X115" s="150">
        <f>1/B119</f>
        <v>1.0000000000000001E-5</v>
      </c>
    </row>
    <row r="116" spans="1:24" ht="13" thickBot="1" x14ac:dyDescent="0.3">
      <c r="A116" s="327" t="s">
        <v>71</v>
      </c>
      <c r="B116" s="88"/>
      <c r="C116" s="354"/>
      <c r="D116" s="46"/>
      <c r="E116" s="169"/>
      <c r="F116" s="169"/>
      <c r="G116" s="169"/>
      <c r="H116" s="169"/>
      <c r="I116" s="170"/>
      <c r="T116" s="475" t="s">
        <v>127</v>
      </c>
      <c r="U116" s="110">
        <f>X113</f>
        <v>0</v>
      </c>
      <c r="V116" s="104">
        <f t="shared" ref="V116:W118" si="0">V113</f>
        <v>0.125</v>
      </c>
      <c r="W116" s="111">
        <f t="shared" si="0"/>
        <v>0.125</v>
      </c>
      <c r="X116" s="100"/>
    </row>
    <row r="117" spans="1:24" ht="13" x14ac:dyDescent="0.3">
      <c r="A117" s="203" t="s">
        <v>170</v>
      </c>
      <c r="B117" s="208"/>
      <c r="C117" s="391"/>
      <c r="D117" s="215"/>
      <c r="E117" s="169"/>
      <c r="F117" s="169"/>
      <c r="G117" s="169"/>
      <c r="H117" s="169"/>
      <c r="I117" s="170"/>
      <c r="T117" s="476"/>
      <c r="U117" s="112">
        <f>X114</f>
        <v>0</v>
      </c>
      <c r="V117" s="106">
        <f t="shared" si="0"/>
        <v>1.25</v>
      </c>
      <c r="W117" s="113">
        <f t="shared" si="0"/>
        <v>-2.0499999999999998</v>
      </c>
      <c r="X117" s="100"/>
    </row>
    <row r="118" spans="1:24" x14ac:dyDescent="0.25">
      <c r="A118" s="65" t="s">
        <v>58</v>
      </c>
      <c r="B118" s="88" t="s">
        <v>44</v>
      </c>
      <c r="C118" s="199" t="s">
        <v>59</v>
      </c>
      <c r="D118" s="216" t="s">
        <v>76</v>
      </c>
      <c r="E118" s="169"/>
      <c r="F118" s="169"/>
      <c r="G118" s="169"/>
      <c r="H118" s="169"/>
      <c r="I118" s="170"/>
      <c r="T118" s="477"/>
      <c r="U118" s="114">
        <f>X115</f>
        <v>1.0000000000000001E-5</v>
      </c>
      <c r="V118" s="115">
        <f t="shared" si="0"/>
        <v>0</v>
      </c>
      <c r="W118" s="116">
        <f t="shared" si="0"/>
        <v>0</v>
      </c>
      <c r="X118" s="100"/>
    </row>
    <row r="119" spans="1:24" x14ac:dyDescent="0.25">
      <c r="A119" s="56" t="s">
        <v>51</v>
      </c>
      <c r="B119" s="377">
        <v>100000</v>
      </c>
      <c r="C119" s="355" t="s">
        <v>201</v>
      </c>
      <c r="D119" s="254" t="s">
        <v>84</v>
      </c>
      <c r="E119" s="169"/>
      <c r="F119" s="169"/>
      <c r="G119" s="169"/>
      <c r="H119" s="169"/>
      <c r="I119" s="170"/>
      <c r="T119" s="475" t="s">
        <v>128</v>
      </c>
      <c r="U119" s="104">
        <f>U113</f>
        <v>-0.875</v>
      </c>
      <c r="V119" s="110">
        <f>X113</f>
        <v>0</v>
      </c>
      <c r="W119" s="111">
        <f>W116</f>
        <v>0.125</v>
      </c>
      <c r="X119" s="100"/>
    </row>
    <row r="120" spans="1:24" x14ac:dyDescent="0.25">
      <c r="A120" s="56" t="s">
        <v>63</v>
      </c>
      <c r="B120" s="384">
        <f>U126</f>
        <v>25190.839696194867</v>
      </c>
      <c r="C120" s="355" t="s">
        <v>201</v>
      </c>
      <c r="D120" s="254" t="s">
        <v>168</v>
      </c>
      <c r="E120" s="169"/>
      <c r="F120" s="169"/>
      <c r="G120" s="169"/>
      <c r="H120" s="169"/>
      <c r="I120" s="170"/>
      <c r="T120" s="476"/>
      <c r="U120" s="106">
        <f>U114</f>
        <v>1.25</v>
      </c>
      <c r="V120" s="112">
        <f>X114</f>
        <v>0</v>
      </c>
      <c r="W120" s="113">
        <f>W117</f>
        <v>-2.0499999999999998</v>
      </c>
      <c r="X120" s="100"/>
    </row>
    <row r="121" spans="1:24" ht="13" thickBot="1" x14ac:dyDescent="0.3">
      <c r="A121" s="156" t="s">
        <v>52</v>
      </c>
      <c r="B121" s="385">
        <f>U127</f>
        <v>33000.000002640008</v>
      </c>
      <c r="C121" s="158" t="s">
        <v>201</v>
      </c>
      <c r="D121" s="159" t="s">
        <v>168</v>
      </c>
      <c r="E121" s="169"/>
      <c r="F121" s="169"/>
      <c r="G121" s="169"/>
      <c r="H121" s="169"/>
      <c r="I121" s="170"/>
      <c r="T121" s="477"/>
      <c r="U121" s="115">
        <f>U115</f>
        <v>1</v>
      </c>
      <c r="V121" s="114">
        <f>X115</f>
        <v>1.0000000000000001E-5</v>
      </c>
      <c r="W121" s="116">
        <f>W118</f>
        <v>0</v>
      </c>
      <c r="X121" s="100"/>
    </row>
    <row r="122" spans="1:24" ht="13.5" thickBot="1" x14ac:dyDescent="0.35">
      <c r="A122" s="328"/>
      <c r="B122" s="329"/>
      <c r="C122" s="354"/>
      <c r="D122" s="46"/>
      <c r="E122" s="169"/>
      <c r="F122" s="169"/>
      <c r="G122" s="169"/>
      <c r="H122" s="169"/>
      <c r="I122" s="170"/>
      <c r="T122" s="475" t="s">
        <v>136</v>
      </c>
      <c r="U122" s="104">
        <f>U119</f>
        <v>-0.875</v>
      </c>
      <c r="V122" s="104">
        <f>V116</f>
        <v>0.125</v>
      </c>
      <c r="W122" s="117">
        <f>X113</f>
        <v>0</v>
      </c>
      <c r="X122" s="100"/>
    </row>
    <row r="123" spans="1:24" ht="13" x14ac:dyDescent="0.3">
      <c r="A123" s="55" t="s">
        <v>169</v>
      </c>
      <c r="B123" s="60"/>
      <c r="C123" s="390"/>
      <c r="D123" s="62"/>
      <c r="E123" s="169"/>
      <c r="F123" s="169"/>
      <c r="G123" s="169"/>
      <c r="H123" s="169"/>
      <c r="I123" s="170"/>
      <c r="T123" s="476"/>
      <c r="U123" s="106">
        <f>U120</f>
        <v>1.25</v>
      </c>
      <c r="V123" s="106">
        <f>V117</f>
        <v>1.25</v>
      </c>
      <c r="W123" s="118">
        <f>X114</f>
        <v>0</v>
      </c>
      <c r="X123" s="100"/>
    </row>
    <row r="124" spans="1:24" ht="14" x14ac:dyDescent="0.3">
      <c r="A124" s="72" t="s">
        <v>58</v>
      </c>
      <c r="B124" s="73" t="s">
        <v>116</v>
      </c>
      <c r="C124" s="73" t="s">
        <v>59</v>
      </c>
      <c r="D124" s="64" t="s">
        <v>76</v>
      </c>
      <c r="E124" s="169"/>
      <c r="F124" s="169"/>
      <c r="G124" s="169"/>
      <c r="H124" s="202">
        <v>3</v>
      </c>
      <c r="I124" s="170"/>
      <c r="T124" s="477"/>
      <c r="U124" s="115">
        <f>U121</f>
        <v>1</v>
      </c>
      <c r="V124" s="115">
        <f>V118</f>
        <v>0</v>
      </c>
      <c r="W124" s="119">
        <f>X115</f>
        <v>1.0000000000000001E-5</v>
      </c>
      <c r="X124" s="100"/>
    </row>
    <row r="125" spans="1:24" ht="13" x14ac:dyDescent="0.3">
      <c r="A125" s="56" t="s">
        <v>51</v>
      </c>
      <c r="B125" s="373">
        <f>B119</f>
        <v>100000</v>
      </c>
      <c r="C125" s="355" t="s">
        <v>201</v>
      </c>
      <c r="D125" s="262" t="s">
        <v>258</v>
      </c>
      <c r="E125" s="169"/>
      <c r="F125" s="169"/>
      <c r="G125" s="169"/>
      <c r="H125" s="169"/>
      <c r="I125" s="170"/>
      <c r="T125" s="120" t="s">
        <v>51</v>
      </c>
      <c r="U125" s="146">
        <f>W126/(MDETERM(U116:W118)+0.000000000000001)</f>
        <v>100000.00002424247</v>
      </c>
      <c r="V125" s="99"/>
      <c r="W125" s="121" t="s">
        <v>135</v>
      </c>
      <c r="X125" s="100"/>
    </row>
    <row r="126" spans="1:24" ht="13" x14ac:dyDescent="0.3">
      <c r="A126" s="56" t="s">
        <v>63</v>
      </c>
      <c r="B126" s="373">
        <f>B120</f>
        <v>25190.839696194867</v>
      </c>
      <c r="C126" s="355" t="s">
        <v>201</v>
      </c>
      <c r="D126" s="262" t="s">
        <v>258</v>
      </c>
      <c r="E126" s="169"/>
      <c r="F126" s="169"/>
      <c r="G126" s="169"/>
      <c r="H126" s="169"/>
      <c r="I126" s="170"/>
      <c r="T126" s="96" t="s">
        <v>63</v>
      </c>
      <c r="U126" s="147">
        <f>W126/(MDETERM(U119:W121)+0.000000000000001)</f>
        <v>25190.839696194867</v>
      </c>
      <c r="V126" s="99"/>
      <c r="W126" s="122">
        <f>MDETERM(U113:W115)</f>
        <v>-0.41250000000000009</v>
      </c>
      <c r="X126" s="100"/>
    </row>
    <row r="127" spans="1:24" ht="13.5" thickBot="1" x14ac:dyDescent="0.35">
      <c r="A127" s="56" t="s">
        <v>52</v>
      </c>
      <c r="B127" s="373">
        <f>B121</f>
        <v>33000.000002640008</v>
      </c>
      <c r="C127" s="355" t="s">
        <v>201</v>
      </c>
      <c r="D127" s="262" t="s">
        <v>258</v>
      </c>
      <c r="E127" s="169"/>
      <c r="F127" s="169"/>
      <c r="G127" s="169"/>
      <c r="H127" s="169"/>
      <c r="I127" s="170"/>
      <c r="T127" s="123" t="s">
        <v>52</v>
      </c>
      <c r="U127" s="148">
        <f>W126/(MDETERM(U122:W124)+0.000000000000001)</f>
        <v>33000.000002640008</v>
      </c>
      <c r="V127" s="124"/>
      <c r="W127" s="124"/>
      <c r="X127" s="125"/>
    </row>
    <row r="128" spans="1:24" x14ac:dyDescent="0.25">
      <c r="A128" s="56" t="s">
        <v>46</v>
      </c>
      <c r="B128" s="88">
        <f>B30</f>
        <v>3.3</v>
      </c>
      <c r="C128" s="355" t="s">
        <v>61</v>
      </c>
      <c r="D128" s="262"/>
      <c r="E128" s="169"/>
      <c r="F128" s="169"/>
      <c r="G128" s="169"/>
      <c r="H128" s="169"/>
      <c r="I128" s="170"/>
    </row>
    <row r="129" spans="1:25" x14ac:dyDescent="0.25">
      <c r="A129" s="56" t="s">
        <v>41</v>
      </c>
      <c r="B129" s="382">
        <f>B115</f>
        <v>0</v>
      </c>
      <c r="C129" s="355" t="s">
        <v>201</v>
      </c>
      <c r="D129" s="262" t="s">
        <v>258</v>
      </c>
      <c r="E129" s="169"/>
      <c r="F129" s="169"/>
      <c r="G129" s="169"/>
      <c r="H129" s="169"/>
      <c r="I129" s="170"/>
      <c r="T129" t="b">
        <f>IF((COUNTIF(B114:B121,"&lt;0")-COUNTIF(B114:B121,"&lt;-1e11")),FALSE,TRUE)</f>
        <v>1</v>
      </c>
      <c r="U129" s="9" t="s">
        <v>309</v>
      </c>
      <c r="Y129" s="1"/>
    </row>
    <row r="130" spans="1:25" x14ac:dyDescent="0.25">
      <c r="A130" s="56" t="s">
        <v>48</v>
      </c>
      <c r="B130" s="382">
        <f>B114</f>
        <v>1000000000000000</v>
      </c>
      <c r="C130" s="355" t="s">
        <v>201</v>
      </c>
      <c r="D130" s="262" t="s">
        <v>258</v>
      </c>
      <c r="E130" s="169"/>
      <c r="F130" s="169"/>
      <c r="G130" s="169"/>
      <c r="H130" s="169"/>
      <c r="I130" s="170"/>
      <c r="T130" t="b">
        <f>IF(OR(B136&lt;B$29,B136&gt;C$29,C136&lt;B$29,C136&gt;C$29),FALSE,TRUE)</f>
        <v>1</v>
      </c>
      <c r="U130" s="9" t="s">
        <v>209</v>
      </c>
      <c r="Y130" s="23"/>
    </row>
    <row r="131" spans="1:25" x14ac:dyDescent="0.25">
      <c r="A131" s="56" t="s">
        <v>93</v>
      </c>
      <c r="B131" s="59" t="s">
        <v>64</v>
      </c>
      <c r="C131" s="355" t="s">
        <v>201</v>
      </c>
      <c r="D131" s="257" t="s">
        <v>67</v>
      </c>
      <c r="E131" s="169"/>
      <c r="F131" s="169"/>
      <c r="G131" s="169"/>
      <c r="H131" s="169"/>
      <c r="I131" s="170"/>
      <c r="T131" s="1">
        <v>1</v>
      </c>
      <c r="Y131" s="23"/>
    </row>
    <row r="132" spans="1:25" x14ac:dyDescent="0.25">
      <c r="A132" s="70" t="s">
        <v>47</v>
      </c>
      <c r="B132" s="139" t="s">
        <v>64</v>
      </c>
      <c r="C132" s="69"/>
      <c r="D132" s="263" t="s">
        <v>67</v>
      </c>
      <c r="E132" s="169"/>
      <c r="F132" s="169"/>
      <c r="G132" s="169"/>
      <c r="H132" s="169"/>
      <c r="I132" s="170"/>
      <c r="T132" t="b">
        <f>AND(T129:T131)</f>
        <v>1</v>
      </c>
      <c r="U132" s="9" t="s">
        <v>236</v>
      </c>
      <c r="Y132" s="23"/>
    </row>
    <row r="133" spans="1:25" ht="13" x14ac:dyDescent="0.3">
      <c r="A133" s="67" t="s">
        <v>180</v>
      </c>
      <c r="B133" s="63" t="s">
        <v>35</v>
      </c>
      <c r="C133" s="73" t="s">
        <v>34</v>
      </c>
      <c r="D133" s="82" t="s">
        <v>59</v>
      </c>
      <c r="E133" s="169"/>
      <c r="F133" s="169"/>
      <c r="G133" s="169"/>
      <c r="H133" s="169"/>
      <c r="I133" s="170"/>
    </row>
    <row r="134" spans="1:25" x14ac:dyDescent="0.25">
      <c r="A134" s="65" t="s">
        <v>104</v>
      </c>
      <c r="B134" s="46">
        <f>B27</f>
        <v>-10</v>
      </c>
      <c r="C134" s="355">
        <f>C27</f>
        <v>10</v>
      </c>
      <c r="D134" s="57" t="s">
        <v>61</v>
      </c>
      <c r="E134" s="169"/>
      <c r="F134" s="169"/>
      <c r="G134" s="169"/>
      <c r="H134" s="169"/>
      <c r="I134" s="170"/>
      <c r="Y134" s="1"/>
    </row>
    <row r="135" spans="1:25" x14ac:dyDescent="0.25">
      <c r="A135" s="65" t="s">
        <v>79</v>
      </c>
      <c r="B135" s="66">
        <f>B136*(B138+1)-B138*B139</f>
        <v>9.9899999283538202E-8</v>
      </c>
      <c r="C135" s="168">
        <f>C136*(B138+1)-B138*B139</f>
        <v>2.4999999000515158</v>
      </c>
      <c r="D135" s="57" t="s">
        <v>61</v>
      </c>
      <c r="E135" s="169"/>
      <c r="F135" s="169"/>
      <c r="G135" s="169"/>
      <c r="H135" s="169"/>
      <c r="I135" s="170"/>
      <c r="Y135" s="1"/>
    </row>
    <row r="136" spans="1:25" ht="12.5" customHeight="1" thickBot="1" x14ac:dyDescent="0.3">
      <c r="A136" s="65" t="s">
        <v>39</v>
      </c>
      <c r="B136" s="66">
        <f>((B134-B128)/(B137+1)+B128)*B126/(B126+1/(1/B125+1/B127))+0.0000001</f>
        <v>9.9899999283538202E-8</v>
      </c>
      <c r="C136" s="168">
        <f>((C134-B128)/(B137+1)+B128)*B126/(B126+1/(1/B125+1/B127))-0.0000001</f>
        <v>2.4999999000515158</v>
      </c>
      <c r="D136" s="57" t="s">
        <v>61</v>
      </c>
      <c r="E136" s="169"/>
      <c r="F136" s="169"/>
      <c r="G136" s="169"/>
      <c r="H136" s="169"/>
      <c r="I136" s="170"/>
      <c r="Y136" s="1"/>
    </row>
    <row r="137" spans="1:25" ht="12.5" customHeight="1" x14ac:dyDescent="0.25">
      <c r="A137" s="74" t="s">
        <v>105</v>
      </c>
      <c r="B137" s="75">
        <f>B125/B127</f>
        <v>3.0303030300606051</v>
      </c>
      <c r="C137" s="76" t="s">
        <v>80</v>
      </c>
      <c r="D137" s="83" t="s">
        <v>106</v>
      </c>
      <c r="E137" s="467" t="str">
        <f>IF(T132,"This configuration will work!","This configuration will not work! Invalid values returned.")</f>
        <v>This configuration will work!</v>
      </c>
      <c r="F137" s="468"/>
      <c r="G137" s="468"/>
      <c r="H137" s="468"/>
      <c r="I137" s="469"/>
    </row>
    <row r="138" spans="1:25" x14ac:dyDescent="0.25">
      <c r="A138" s="77" t="s">
        <v>191</v>
      </c>
      <c r="B138" s="78">
        <f>B129/B140</f>
        <v>0</v>
      </c>
      <c r="C138" s="79" t="s">
        <v>80</v>
      </c>
      <c r="D138" s="84" t="s">
        <v>106</v>
      </c>
      <c r="E138" s="467"/>
      <c r="F138" s="468"/>
      <c r="G138" s="468"/>
      <c r="H138" s="468"/>
      <c r="I138" s="469"/>
    </row>
    <row r="139" spans="1:25" x14ac:dyDescent="0.25">
      <c r="A139" s="77" t="s">
        <v>112</v>
      </c>
      <c r="B139" s="78">
        <v>0</v>
      </c>
      <c r="C139" s="79" t="s">
        <v>61</v>
      </c>
      <c r="D139" s="84" t="s">
        <v>106</v>
      </c>
      <c r="E139" s="169"/>
      <c r="F139" s="169"/>
      <c r="G139" s="169"/>
      <c r="H139" s="169"/>
      <c r="I139" s="170"/>
    </row>
    <row r="140" spans="1:25" ht="13" thickBot="1" x14ac:dyDescent="0.3">
      <c r="A140" s="80" t="s">
        <v>113</v>
      </c>
      <c r="B140" s="378">
        <f>B130</f>
        <v>1000000000000000</v>
      </c>
      <c r="C140" s="81" t="s">
        <v>201</v>
      </c>
      <c r="D140" s="85" t="s">
        <v>106</v>
      </c>
      <c r="E140" s="172"/>
      <c r="F140" s="172"/>
      <c r="G140" s="172"/>
      <c r="H140" s="172"/>
      <c r="I140" s="173"/>
    </row>
    <row r="141" spans="1:25" x14ac:dyDescent="0.25">
      <c r="A141" s="352"/>
      <c r="B141" s="353"/>
      <c r="C141" s="79"/>
      <c r="D141" s="164"/>
      <c r="E141" s="169"/>
      <c r="F141" s="169"/>
      <c r="G141" s="169"/>
      <c r="H141" s="169"/>
      <c r="I141" s="169"/>
    </row>
    <row r="142" spans="1:25" x14ac:dyDescent="0.25">
      <c r="A142" s="357"/>
      <c r="B142" s="358"/>
      <c r="C142" s="359"/>
      <c r="D142" s="360"/>
      <c r="E142" s="361"/>
      <c r="F142" s="361"/>
      <c r="G142" s="361"/>
      <c r="H142" s="362"/>
      <c r="I142" s="362"/>
    </row>
    <row r="143" spans="1:25" ht="13.5" thickBot="1" x14ac:dyDescent="0.35">
      <c r="A143" s="189"/>
      <c r="B143" s="35"/>
      <c r="C143" s="188"/>
    </row>
    <row r="144" spans="1:25" ht="13" x14ac:dyDescent="0.3">
      <c r="A144" s="160" t="s">
        <v>306</v>
      </c>
      <c r="B144" s="161"/>
      <c r="C144" s="176"/>
      <c r="D144" s="175"/>
      <c r="E144" s="197"/>
      <c r="F144" s="197"/>
      <c r="G144" s="197"/>
      <c r="H144" s="197"/>
      <c r="I144" s="190"/>
    </row>
    <row r="145" spans="1:28" ht="12.5" customHeight="1" x14ac:dyDescent="0.25">
      <c r="A145" s="56" t="s">
        <v>58</v>
      </c>
      <c r="B145" s="46" t="s">
        <v>44</v>
      </c>
      <c r="C145" s="355" t="s">
        <v>59</v>
      </c>
      <c r="D145" s="57" t="s">
        <v>45</v>
      </c>
      <c r="E145" s="182"/>
      <c r="F145" s="169"/>
      <c r="G145" s="169"/>
      <c r="H145" s="169"/>
      <c r="I145" s="170"/>
    </row>
    <row r="146" spans="1:28" x14ac:dyDescent="0.25">
      <c r="A146" s="56" t="s">
        <v>77</v>
      </c>
      <c r="B146" s="46">
        <f>MIN(B29:C29)</f>
        <v>0</v>
      </c>
      <c r="C146" s="355" t="s">
        <v>61</v>
      </c>
      <c r="D146" s="254" t="s">
        <v>259</v>
      </c>
      <c r="E146" s="182"/>
      <c r="F146" s="169"/>
      <c r="G146" s="169"/>
      <c r="H146" s="169"/>
      <c r="I146" s="170"/>
    </row>
    <row r="147" spans="1:28" x14ac:dyDescent="0.25">
      <c r="A147" s="56" t="s">
        <v>78</v>
      </c>
      <c r="B147" s="46">
        <f>MIN(B27:C27)</f>
        <v>-10</v>
      </c>
      <c r="C147" s="355" t="s">
        <v>61</v>
      </c>
      <c r="D147" s="254" t="s">
        <v>260</v>
      </c>
      <c r="E147" s="182"/>
      <c r="F147" s="169"/>
      <c r="G147" s="169"/>
      <c r="H147" s="169"/>
      <c r="I147" s="170"/>
    </row>
    <row r="148" spans="1:28" x14ac:dyDescent="0.25">
      <c r="A148" s="56" t="s">
        <v>95</v>
      </c>
      <c r="B148" s="168">
        <f>(B147-B146)/(B146-B30)+0.000000000001</f>
        <v>3.0303030303040304</v>
      </c>
      <c r="C148" s="355" t="s">
        <v>80</v>
      </c>
      <c r="D148" s="177" t="s">
        <v>81</v>
      </c>
      <c r="E148" s="182"/>
      <c r="F148" s="169"/>
      <c r="G148" s="169"/>
      <c r="H148" s="169"/>
      <c r="I148" s="170"/>
    </row>
    <row r="149" spans="1:28" x14ac:dyDescent="0.25">
      <c r="A149" s="56" t="s">
        <v>82</v>
      </c>
      <c r="B149" s="377">
        <v>100000</v>
      </c>
      <c r="C149" s="264" t="s">
        <v>143</v>
      </c>
      <c r="D149" s="57" t="s">
        <v>84</v>
      </c>
      <c r="E149" s="182"/>
      <c r="F149" s="169"/>
      <c r="G149" s="169"/>
      <c r="H149" s="169"/>
      <c r="I149" s="170"/>
    </row>
    <row r="150" spans="1:28" x14ac:dyDescent="0.25">
      <c r="A150" s="56" t="s">
        <v>83</v>
      </c>
      <c r="B150" s="377">
        <v>0</v>
      </c>
      <c r="C150" s="264" t="s">
        <v>144</v>
      </c>
      <c r="D150" s="57" t="s">
        <v>84</v>
      </c>
      <c r="E150" s="182"/>
      <c r="F150" s="169"/>
      <c r="G150" s="169"/>
      <c r="H150" s="169"/>
      <c r="I150" s="170"/>
    </row>
    <row r="151" spans="1:28" x14ac:dyDescent="0.25">
      <c r="A151" s="56" t="s">
        <v>101</v>
      </c>
      <c r="B151" s="376">
        <f>B149/B148</f>
        <v>32999.999999989108</v>
      </c>
      <c r="C151" s="355" t="s">
        <v>201</v>
      </c>
      <c r="D151" s="257" t="s">
        <v>96</v>
      </c>
      <c r="E151" s="182"/>
      <c r="F151" s="169"/>
      <c r="G151" s="169"/>
      <c r="H151" s="169"/>
      <c r="I151" s="170"/>
    </row>
    <row r="152" spans="1:28" ht="13" thickBot="1" x14ac:dyDescent="0.3">
      <c r="A152" s="156" t="s">
        <v>102</v>
      </c>
      <c r="B152" s="386">
        <f>B150*B148</f>
        <v>0</v>
      </c>
      <c r="C152" s="158" t="s">
        <v>201</v>
      </c>
      <c r="D152" s="258" t="s">
        <v>97</v>
      </c>
      <c r="E152" s="182"/>
      <c r="F152" s="169"/>
      <c r="G152" s="169"/>
      <c r="H152" s="169"/>
      <c r="I152" s="170"/>
      <c r="U152" s="1"/>
      <c r="V152" s="1"/>
      <c r="W152" s="1"/>
      <c r="X152" s="1"/>
      <c r="Y152" s="1"/>
      <c r="Z152" s="1"/>
      <c r="AA152" s="1"/>
      <c r="AB152" s="1"/>
    </row>
    <row r="153" spans="1:28" ht="13" thickBot="1" x14ac:dyDescent="0.3">
      <c r="A153" s="56"/>
      <c r="B153" s="58"/>
      <c r="C153" s="355"/>
      <c r="D153" s="201"/>
      <c r="E153" s="182"/>
      <c r="F153" s="169"/>
      <c r="G153" s="169"/>
      <c r="H153" s="169"/>
      <c r="I153" s="170"/>
      <c r="U153" s="1"/>
      <c r="V153" s="1"/>
      <c r="W153" s="1"/>
      <c r="X153" s="1"/>
      <c r="Y153" s="1"/>
      <c r="Z153" s="1"/>
      <c r="AA153" s="1"/>
      <c r="AB153" s="1"/>
    </row>
    <row r="154" spans="1:28" ht="13.5" thickBot="1" x14ac:dyDescent="0.35">
      <c r="A154" s="160" t="s">
        <v>173</v>
      </c>
      <c r="B154" s="178"/>
      <c r="C154" s="176"/>
      <c r="D154" s="174"/>
      <c r="E154" s="179"/>
      <c r="F154" s="169"/>
      <c r="G154" s="169"/>
      <c r="H154" s="169"/>
      <c r="I154" s="170"/>
      <c r="U154" s="1"/>
      <c r="V154" s="1"/>
      <c r="W154" s="1"/>
      <c r="X154" s="1"/>
      <c r="Y154" s="1"/>
      <c r="Z154" s="1"/>
      <c r="AA154" s="1"/>
      <c r="AB154" s="1"/>
    </row>
    <row r="155" spans="1:28" ht="13" x14ac:dyDescent="0.3">
      <c r="A155" s="56" t="s">
        <v>58</v>
      </c>
      <c r="B155" s="46" t="s">
        <v>44</v>
      </c>
      <c r="C155" s="355" t="s">
        <v>59</v>
      </c>
      <c r="D155" s="253" t="s">
        <v>65</v>
      </c>
      <c r="E155" s="180" t="s">
        <v>65</v>
      </c>
      <c r="F155" s="169"/>
      <c r="G155" s="169"/>
      <c r="H155" s="169"/>
      <c r="I155" s="170"/>
      <c r="T155" s="126" t="s">
        <v>120</v>
      </c>
      <c r="U155" s="127" t="s">
        <v>124</v>
      </c>
      <c r="V155" s="127" t="s">
        <v>43</v>
      </c>
      <c r="W155" s="128"/>
      <c r="X155" s="1"/>
      <c r="Y155" s="1"/>
      <c r="Z155" s="1"/>
      <c r="AA155" s="1"/>
      <c r="AB155" s="1"/>
    </row>
    <row r="156" spans="1:28" ht="13" x14ac:dyDescent="0.3">
      <c r="A156" s="56" t="s">
        <v>103</v>
      </c>
      <c r="B156" s="381">
        <f>B149</f>
        <v>100000</v>
      </c>
      <c r="C156" s="355" t="s">
        <v>201</v>
      </c>
      <c r="D156" s="46" t="s">
        <v>258</v>
      </c>
      <c r="E156" s="181" t="s">
        <v>86</v>
      </c>
      <c r="F156" s="169"/>
      <c r="G156" s="169"/>
      <c r="H156" s="169"/>
      <c r="I156" s="170"/>
      <c r="T156" s="129" t="s">
        <v>121</v>
      </c>
      <c r="U156" s="141">
        <f>B30</f>
        <v>3.3</v>
      </c>
      <c r="V156" s="130" t="s">
        <v>62</v>
      </c>
      <c r="W156" s="131"/>
      <c r="X156" s="1"/>
      <c r="Y156" s="1"/>
      <c r="Z156" s="1"/>
      <c r="AA156" s="1"/>
      <c r="AB156" s="1"/>
    </row>
    <row r="157" spans="1:28" ht="13" x14ac:dyDescent="0.3">
      <c r="A157" s="56" t="s">
        <v>171</v>
      </c>
      <c r="B157" s="381">
        <f>0.98*B151</f>
        <v>32339.999999989326</v>
      </c>
      <c r="C157" s="355" t="s">
        <v>201</v>
      </c>
      <c r="D157" s="46" t="s">
        <v>258</v>
      </c>
      <c r="E157" s="181" t="s">
        <v>85</v>
      </c>
      <c r="F157" s="169"/>
      <c r="G157" s="169"/>
      <c r="H157" s="169"/>
      <c r="I157" s="170"/>
      <c r="T157" s="129" t="s">
        <v>122</v>
      </c>
      <c r="U157" s="143">
        <f>B167</f>
        <v>-5.222345307889411E-2</v>
      </c>
      <c r="V157" s="130" t="s">
        <v>62</v>
      </c>
      <c r="W157" s="131"/>
    </row>
    <row r="158" spans="1:28" ht="13.5" thickBot="1" x14ac:dyDescent="0.35">
      <c r="A158" s="156" t="s">
        <v>87</v>
      </c>
      <c r="B158" s="183">
        <f>B156/B157</f>
        <v>3.0921459492898271</v>
      </c>
      <c r="C158" s="158" t="s">
        <v>60</v>
      </c>
      <c r="D158" s="158" t="s">
        <v>177</v>
      </c>
      <c r="E158" s="258"/>
      <c r="F158" s="169"/>
      <c r="G158" s="169"/>
      <c r="H158" s="169"/>
      <c r="I158" s="170"/>
      <c r="T158" s="129" t="s">
        <v>123</v>
      </c>
      <c r="U158" s="142">
        <f>B166</f>
        <v>-204715.93606588669</v>
      </c>
      <c r="V158" s="130" t="s">
        <v>1</v>
      </c>
      <c r="W158" s="132"/>
      <c r="X158" s="1"/>
      <c r="Y158" s="1"/>
      <c r="Z158" s="1"/>
      <c r="AA158" s="1"/>
      <c r="AB158" s="1"/>
    </row>
    <row r="159" spans="1:28" ht="13.5" thickBot="1" x14ac:dyDescent="0.35">
      <c r="A159" s="204"/>
      <c r="B159" s="46"/>
      <c r="C159" s="355"/>
      <c r="D159" s="46"/>
      <c r="E159" s="169"/>
      <c r="F159" s="169"/>
      <c r="G159" s="169"/>
      <c r="H159" s="169"/>
      <c r="I159" s="170"/>
      <c r="T159" s="135" t="s">
        <v>125</v>
      </c>
      <c r="U159" s="144">
        <f>IF(U156=U157,1000000000000000,IF(ABS(U157)&lt;0.000000001,U158,U157*U160/(U156-U157)))</f>
        <v>-201526.71755725192</v>
      </c>
      <c r="V159" s="133" t="s">
        <v>1</v>
      </c>
      <c r="W159" s="134"/>
      <c r="X159" s="1"/>
      <c r="Y159" s="1"/>
      <c r="Z159" s="1"/>
      <c r="AA159" s="1"/>
      <c r="AB159" s="1"/>
    </row>
    <row r="160" spans="1:28" ht="13.5" thickBot="1" x14ac:dyDescent="0.35">
      <c r="A160" s="160" t="s">
        <v>174</v>
      </c>
      <c r="B160" s="176"/>
      <c r="C160" s="176"/>
      <c r="D160" s="179"/>
      <c r="E160" s="169"/>
      <c r="F160" s="169"/>
      <c r="G160" s="169"/>
      <c r="H160" s="169"/>
      <c r="I160" s="170"/>
      <c r="T160" s="136" t="s">
        <v>126</v>
      </c>
      <c r="U160" s="145">
        <f>IF(U157=0,1000000000000000,U156*U158/U157)</f>
        <v>12935999.99978653</v>
      </c>
      <c r="V160" s="137" t="s">
        <v>1</v>
      </c>
      <c r="W160" s="138"/>
      <c r="X160" s="1"/>
      <c r="Y160" s="1"/>
      <c r="Z160" s="1"/>
      <c r="AA160" s="1"/>
      <c r="AB160" s="1"/>
    </row>
    <row r="161" spans="1:28" x14ac:dyDescent="0.25">
      <c r="A161" s="56" t="s">
        <v>58</v>
      </c>
      <c r="B161" s="46" t="s">
        <v>44</v>
      </c>
      <c r="C161" s="355" t="s">
        <v>59</v>
      </c>
      <c r="D161" s="57" t="s">
        <v>45</v>
      </c>
      <c r="E161" s="253"/>
      <c r="F161" s="169"/>
      <c r="G161" s="169"/>
      <c r="H161" s="169"/>
      <c r="I161" s="170"/>
      <c r="T161" s="1"/>
      <c r="U161" s="1"/>
      <c r="V161" s="1"/>
      <c r="W161" s="1"/>
      <c r="X161" s="1"/>
      <c r="Y161" s="1"/>
      <c r="Z161" s="1"/>
      <c r="AA161" s="1"/>
      <c r="AB161" s="1"/>
    </row>
    <row r="162" spans="1:28" x14ac:dyDescent="0.25">
      <c r="A162" s="56" t="s">
        <v>41</v>
      </c>
      <c r="B162" s="377">
        <v>100000</v>
      </c>
      <c r="C162" s="355" t="s">
        <v>201</v>
      </c>
      <c r="D162" s="57" t="s">
        <v>84</v>
      </c>
      <c r="E162" s="46"/>
      <c r="F162" s="169"/>
      <c r="G162" s="169"/>
      <c r="H162" s="169"/>
      <c r="I162" s="170"/>
      <c r="T162" s="1"/>
      <c r="U162" s="1"/>
      <c r="V162" s="1"/>
      <c r="W162" s="1"/>
      <c r="X162" s="1"/>
      <c r="Y162" s="1"/>
      <c r="Z162" s="1"/>
      <c r="AA162" s="1"/>
      <c r="AB162" s="1"/>
    </row>
    <row r="163" spans="1:28" x14ac:dyDescent="0.25">
      <c r="A163" s="56" t="s">
        <v>53</v>
      </c>
      <c r="B163" s="168">
        <f>(MIN(B27:C27)-B30)/(B158+1)+B30</f>
        <v>4.9871542996125839E-2</v>
      </c>
      <c r="C163" s="355" t="s">
        <v>61</v>
      </c>
      <c r="D163" s="57" t="s">
        <v>89</v>
      </c>
      <c r="E163" s="182"/>
      <c r="F163" s="169"/>
      <c r="G163" s="169"/>
      <c r="H163" s="169"/>
      <c r="I163" s="170"/>
      <c r="T163" t="b">
        <f>IF((COUNTIF(B156:B157,"&lt;0")-COUNTIF(B156:B157,"&lt;-1e11")),FALSE,TRUE)</f>
        <v>1</v>
      </c>
      <c r="U163" s="9" t="s">
        <v>211</v>
      </c>
    </row>
    <row r="164" spans="1:28" x14ac:dyDescent="0.25">
      <c r="A164" s="56" t="s">
        <v>54</v>
      </c>
      <c r="B164" s="66">
        <f>(MAX(B27:C27)-B30)/(B158+1)+B30</f>
        <v>4.9372827565357857</v>
      </c>
      <c r="C164" s="355" t="s">
        <v>61</v>
      </c>
      <c r="D164" s="57" t="s">
        <v>90</v>
      </c>
      <c r="E164" s="182"/>
      <c r="F164" s="169"/>
      <c r="G164" s="169"/>
      <c r="H164" s="169"/>
      <c r="I164" s="170"/>
      <c r="T164" t="b">
        <f>IF((COUNTIF(B177:B179,"&lt;0")-COUNTIF(B177:B179,"&lt;-1e11")),FALSE,TRUE)</f>
        <v>0</v>
      </c>
      <c r="U164" s="9" t="s">
        <v>212</v>
      </c>
    </row>
    <row r="165" spans="1:28" x14ac:dyDescent="0.25">
      <c r="A165" s="56" t="s">
        <v>145</v>
      </c>
      <c r="B165" s="168">
        <f>B38*(B158+1)-1</f>
        <v>-0.48848175633877156</v>
      </c>
      <c r="C165" s="355" t="s">
        <v>60</v>
      </c>
      <c r="D165" s="180" t="s">
        <v>91</v>
      </c>
      <c r="E165" s="169"/>
      <c r="F165" s="169"/>
      <c r="G165" s="169"/>
      <c r="H165" s="169"/>
      <c r="I165" s="170"/>
      <c r="T165" t="b">
        <f>IF(OR(B184&lt;B$29,B184&gt;C$29,C184&lt;B$29,C184&gt;C$29),FALSE,TRUE)</f>
        <v>0</v>
      </c>
      <c r="U165" s="9" t="s">
        <v>209</v>
      </c>
    </row>
    <row r="166" spans="1:28" x14ac:dyDescent="0.25">
      <c r="A166" s="56" t="s">
        <v>141</v>
      </c>
      <c r="B166" s="376">
        <f>B162/B165</f>
        <v>-204715.93606588669</v>
      </c>
      <c r="C166" s="355" t="s">
        <v>201</v>
      </c>
      <c r="D166" s="180" t="s">
        <v>88</v>
      </c>
      <c r="E166" s="171"/>
      <c r="F166" s="169"/>
      <c r="G166" s="169"/>
      <c r="H166" s="169"/>
      <c r="I166" s="170"/>
      <c r="T166" s="1">
        <v>1</v>
      </c>
    </row>
    <row r="167" spans="1:28" x14ac:dyDescent="0.25">
      <c r="A167" s="56" t="s">
        <v>142</v>
      </c>
      <c r="B167" s="66">
        <f>(B164*(B165+1)-MAX(B28:C28))/B165</f>
        <v>-5.222345307889411E-2</v>
      </c>
      <c r="C167" s="355" t="s">
        <v>61</v>
      </c>
      <c r="D167" s="254" t="s">
        <v>94</v>
      </c>
      <c r="E167" s="171"/>
      <c r="F167" s="169"/>
      <c r="G167" s="169"/>
      <c r="H167" s="169"/>
      <c r="I167" s="170"/>
      <c r="T167" t="b">
        <f>AND(T163:T166)</f>
        <v>0</v>
      </c>
      <c r="U167" s="9" t="s">
        <v>236</v>
      </c>
    </row>
    <row r="168" spans="1:28" s="1" customFormat="1" x14ac:dyDescent="0.25">
      <c r="A168" s="56" t="s">
        <v>48</v>
      </c>
      <c r="B168" s="387">
        <f>U159</f>
        <v>-201526.71755725192</v>
      </c>
      <c r="C168" s="355" t="s">
        <v>201</v>
      </c>
      <c r="D168" s="254" t="s">
        <v>261</v>
      </c>
      <c r="E168" s="255"/>
      <c r="F168" s="169"/>
      <c r="G168" s="169"/>
      <c r="H168" s="169"/>
      <c r="I168" s="170"/>
      <c r="J168"/>
      <c r="K168"/>
      <c r="L168"/>
      <c r="M168"/>
      <c r="N168"/>
      <c r="O168"/>
      <c r="P168"/>
      <c r="Q168"/>
      <c r="R168"/>
      <c r="S168"/>
      <c r="T168"/>
      <c r="U168"/>
      <c r="V168"/>
      <c r="W168"/>
      <c r="X168"/>
      <c r="Y168"/>
      <c r="Z168"/>
      <c r="AA168"/>
      <c r="AB168"/>
    </row>
    <row r="169" spans="1:28" s="1" customFormat="1" ht="13" thickBot="1" x14ac:dyDescent="0.3">
      <c r="A169" s="156" t="s">
        <v>93</v>
      </c>
      <c r="B169" s="388">
        <f>U160</f>
        <v>12935999.99978653</v>
      </c>
      <c r="C169" s="158" t="s">
        <v>201</v>
      </c>
      <c r="D169" s="159" t="s">
        <v>261</v>
      </c>
      <c r="E169" s="255"/>
      <c r="F169" s="169"/>
      <c r="G169" s="169"/>
      <c r="H169" s="169"/>
      <c r="I169" s="170"/>
      <c r="J169"/>
      <c r="K169"/>
      <c r="L169"/>
      <c r="M169"/>
      <c r="N169"/>
      <c r="O169"/>
      <c r="P169"/>
      <c r="Q169"/>
      <c r="R169"/>
      <c r="S169"/>
      <c r="T169"/>
      <c r="U169"/>
      <c r="V169"/>
      <c r="W169"/>
      <c r="X169"/>
      <c r="Y169"/>
      <c r="Z169"/>
      <c r="AA169"/>
      <c r="AB169"/>
    </row>
    <row r="170" spans="1:28" s="1" customFormat="1" ht="13" thickBot="1" x14ac:dyDescent="0.3">
      <c r="A170" s="56"/>
      <c r="B170" s="330"/>
      <c r="C170" s="355"/>
      <c r="D170" s="182"/>
      <c r="E170" s="255"/>
      <c r="F170" s="169"/>
      <c r="G170" s="169"/>
      <c r="H170" s="169"/>
      <c r="I170" s="170"/>
      <c r="J170"/>
      <c r="K170"/>
      <c r="L170"/>
      <c r="M170"/>
      <c r="N170"/>
      <c r="O170"/>
      <c r="P170"/>
      <c r="Q170"/>
      <c r="R170"/>
      <c r="S170"/>
      <c r="T170"/>
      <c r="U170"/>
      <c r="V170"/>
      <c r="W170"/>
      <c r="X170"/>
      <c r="Y170"/>
      <c r="Z170"/>
      <c r="AA170"/>
      <c r="AB170"/>
    </row>
    <row r="171" spans="1:28" s="1" customFormat="1" ht="13" x14ac:dyDescent="0.3">
      <c r="A171" s="55" t="s">
        <v>175</v>
      </c>
      <c r="B171" s="60"/>
      <c r="C171" s="390"/>
      <c r="D171" s="62"/>
      <c r="E171" s="324"/>
      <c r="F171" s="169"/>
      <c r="G171" s="169"/>
      <c r="H171" s="169"/>
      <c r="I171" s="170"/>
      <c r="J171"/>
      <c r="K171"/>
      <c r="L171"/>
      <c r="M171"/>
      <c r="N171"/>
      <c r="O171"/>
      <c r="P171"/>
      <c r="Q171"/>
      <c r="R171"/>
      <c r="S171"/>
      <c r="T171"/>
      <c r="U171"/>
      <c r="V171"/>
      <c r="W171"/>
      <c r="X171"/>
      <c r="Y171"/>
      <c r="Z171"/>
      <c r="AA171"/>
      <c r="AB171"/>
    </row>
    <row r="172" spans="1:28" s="1" customFormat="1" x14ac:dyDescent="0.25">
      <c r="A172" s="72" t="s">
        <v>58</v>
      </c>
      <c r="B172" s="63" t="s">
        <v>44</v>
      </c>
      <c r="C172" s="73" t="s">
        <v>59</v>
      </c>
      <c r="D172" s="64" t="s">
        <v>45</v>
      </c>
      <c r="E172" s="90"/>
      <c r="F172" s="169"/>
      <c r="G172" s="169"/>
      <c r="H172" s="169"/>
      <c r="I172" s="170"/>
      <c r="J172"/>
      <c r="K172"/>
      <c r="L172"/>
      <c r="M172"/>
      <c r="N172"/>
      <c r="O172"/>
      <c r="P172"/>
      <c r="Q172"/>
      <c r="R172"/>
      <c r="S172"/>
      <c r="T172"/>
      <c r="U172"/>
      <c r="V172"/>
      <c r="W172"/>
      <c r="X172"/>
      <c r="Y172"/>
      <c r="Z172"/>
      <c r="AA172"/>
      <c r="AB172"/>
    </row>
    <row r="173" spans="1:28" ht="14" x14ac:dyDescent="0.3">
      <c r="A173" s="56" t="s">
        <v>51</v>
      </c>
      <c r="B173" s="373">
        <v>100000</v>
      </c>
      <c r="C173" s="355" t="s">
        <v>201</v>
      </c>
      <c r="D173" s="254" t="s">
        <v>258</v>
      </c>
      <c r="E173" s="169"/>
      <c r="F173" s="169"/>
      <c r="G173" s="169"/>
      <c r="H173" s="202">
        <v>4</v>
      </c>
      <c r="I173" s="170"/>
    </row>
    <row r="174" spans="1:28" s="1" customFormat="1" x14ac:dyDescent="0.25">
      <c r="A174" s="56" t="s">
        <v>63</v>
      </c>
      <c r="B174" s="58" t="s">
        <v>64</v>
      </c>
      <c r="C174" s="355"/>
      <c r="D174" s="57"/>
      <c r="E174" s="169"/>
      <c r="F174" s="169"/>
      <c r="G174" s="169"/>
      <c r="H174" s="169"/>
      <c r="I174" s="170"/>
      <c r="J174"/>
      <c r="K174"/>
      <c r="L174"/>
      <c r="M174"/>
      <c r="N174"/>
      <c r="O174"/>
      <c r="P174"/>
      <c r="Q174"/>
      <c r="R174"/>
      <c r="S174"/>
      <c r="T174"/>
      <c r="U174"/>
      <c r="V174"/>
      <c r="W174"/>
      <c r="X174"/>
      <c r="Y174"/>
      <c r="Z174"/>
      <c r="AA174"/>
      <c r="AB174"/>
    </row>
    <row r="175" spans="1:28" s="1" customFormat="1" x14ac:dyDescent="0.25">
      <c r="A175" s="56" t="s">
        <v>52</v>
      </c>
      <c r="B175" s="381">
        <f>B157</f>
        <v>32339.999999989326</v>
      </c>
      <c r="C175" s="355" t="s">
        <v>201</v>
      </c>
      <c r="D175" s="254" t="s">
        <v>258</v>
      </c>
      <c r="E175" s="169"/>
      <c r="F175" s="169"/>
      <c r="G175" s="169"/>
      <c r="H175" s="169"/>
      <c r="I175" s="170"/>
      <c r="J175"/>
      <c r="K175"/>
      <c r="L175"/>
      <c r="M175"/>
      <c r="N175"/>
      <c r="O175"/>
      <c r="P175"/>
      <c r="Q175"/>
      <c r="R175"/>
      <c r="S175"/>
      <c r="T175"/>
      <c r="U175"/>
      <c r="V175"/>
      <c r="W175"/>
      <c r="X175"/>
      <c r="Y175"/>
      <c r="Z175"/>
      <c r="AA175"/>
      <c r="AB175"/>
    </row>
    <row r="176" spans="1:28" s="1" customFormat="1" x14ac:dyDescent="0.25">
      <c r="A176" s="56" t="s">
        <v>46</v>
      </c>
      <c r="B176" s="220">
        <f>B30</f>
        <v>3.3</v>
      </c>
      <c r="C176" s="355" t="s">
        <v>61</v>
      </c>
      <c r="D176" s="57"/>
      <c r="E176" s="182"/>
      <c r="F176" s="169"/>
      <c r="G176" s="169"/>
      <c r="H176" s="169"/>
      <c r="I176" s="170"/>
      <c r="J176"/>
      <c r="K176"/>
      <c r="L176"/>
      <c r="M176"/>
      <c r="N176"/>
      <c r="O176"/>
      <c r="P176"/>
      <c r="Q176"/>
      <c r="R176"/>
      <c r="S176"/>
      <c r="T176"/>
      <c r="U176"/>
      <c r="V176"/>
      <c r="W176"/>
      <c r="X176"/>
      <c r="Y176"/>
      <c r="Z176"/>
      <c r="AA176"/>
      <c r="AB176"/>
    </row>
    <row r="177" spans="1:28" s="1" customFormat="1" x14ac:dyDescent="0.25">
      <c r="A177" s="56" t="s">
        <v>41</v>
      </c>
      <c r="B177" s="382">
        <f>B162</f>
        <v>100000</v>
      </c>
      <c r="C177" s="355" t="s">
        <v>201</v>
      </c>
      <c r="D177" s="254" t="s">
        <v>258</v>
      </c>
      <c r="E177" s="182"/>
      <c r="F177" s="169"/>
      <c r="G177" s="169"/>
      <c r="H177" s="169"/>
      <c r="I177" s="170"/>
      <c r="J177"/>
      <c r="K177"/>
      <c r="L177"/>
      <c r="M177"/>
      <c r="N177"/>
      <c r="O177"/>
      <c r="P177"/>
      <c r="Q177"/>
      <c r="R177"/>
      <c r="S177"/>
      <c r="T177"/>
      <c r="U177"/>
      <c r="V177"/>
      <c r="W177"/>
      <c r="X177"/>
      <c r="Y177"/>
      <c r="Z177"/>
      <c r="AA177"/>
      <c r="AB177"/>
    </row>
    <row r="178" spans="1:28" s="1" customFormat="1" x14ac:dyDescent="0.25">
      <c r="A178" s="56" t="s">
        <v>48</v>
      </c>
      <c r="B178" s="382">
        <f>B168</f>
        <v>-201526.71755725192</v>
      </c>
      <c r="C178" s="355" t="s">
        <v>201</v>
      </c>
      <c r="D178" s="254" t="s">
        <v>258</v>
      </c>
      <c r="E178" s="182"/>
      <c r="F178" s="169"/>
      <c r="G178" s="169"/>
      <c r="H178" s="169"/>
      <c r="I178" s="170"/>
      <c r="J178"/>
      <c r="K178"/>
      <c r="L178"/>
      <c r="M178"/>
      <c r="N178"/>
      <c r="O178"/>
      <c r="P178"/>
      <c r="Q178"/>
      <c r="R178"/>
      <c r="S178"/>
      <c r="T178"/>
      <c r="U178"/>
      <c r="V178"/>
      <c r="W178"/>
      <c r="X178"/>
      <c r="Y178"/>
      <c r="Z178"/>
      <c r="AA178"/>
      <c r="AB178"/>
    </row>
    <row r="179" spans="1:28" x14ac:dyDescent="0.25">
      <c r="A179" s="56" t="s">
        <v>93</v>
      </c>
      <c r="B179" s="382">
        <f>B169</f>
        <v>12935999.99978653</v>
      </c>
      <c r="C179" s="355" t="s">
        <v>201</v>
      </c>
      <c r="D179" s="254" t="s">
        <v>258</v>
      </c>
      <c r="E179" s="169"/>
      <c r="F179" s="169"/>
      <c r="G179" s="169"/>
      <c r="H179" s="169"/>
      <c r="I179" s="170"/>
    </row>
    <row r="180" spans="1:28" x14ac:dyDescent="0.25">
      <c r="A180" s="70" t="s">
        <v>47</v>
      </c>
      <c r="B180" s="68">
        <f>B30</f>
        <v>3.3</v>
      </c>
      <c r="C180" s="69" t="s">
        <v>61</v>
      </c>
      <c r="D180" s="71"/>
      <c r="E180" s="169"/>
      <c r="F180" s="169"/>
      <c r="G180" s="169"/>
      <c r="H180" s="169"/>
      <c r="I180" s="170"/>
    </row>
    <row r="181" spans="1:28" ht="13" x14ac:dyDescent="0.3">
      <c r="A181" s="67" t="s">
        <v>180</v>
      </c>
      <c r="B181" s="63" t="s">
        <v>35</v>
      </c>
      <c r="C181" s="73" t="s">
        <v>34</v>
      </c>
      <c r="D181" s="82" t="s">
        <v>59</v>
      </c>
      <c r="E181" s="182"/>
      <c r="F181" s="169"/>
      <c r="G181" s="169"/>
      <c r="H181" s="169"/>
      <c r="I181" s="170"/>
    </row>
    <row r="182" spans="1:28" ht="12.5" customHeight="1" x14ac:dyDescent="0.25">
      <c r="A182" s="65" t="s">
        <v>104</v>
      </c>
      <c r="B182" s="46">
        <f>B27</f>
        <v>-10</v>
      </c>
      <c r="C182" s="355">
        <f>C27</f>
        <v>10</v>
      </c>
      <c r="D182" s="57" t="s">
        <v>61</v>
      </c>
      <c r="E182" s="182"/>
      <c r="F182" s="169"/>
      <c r="G182" s="169"/>
      <c r="H182" s="169"/>
      <c r="I182" s="170"/>
    </row>
    <row r="183" spans="1:28" ht="12.5" customHeight="1" x14ac:dyDescent="0.25">
      <c r="A183" s="65" t="s">
        <v>79</v>
      </c>
      <c r="B183" s="66">
        <f>B184*(B186+1)-B186*B187</f>
        <v>1.0408340855860843E-16</v>
      </c>
      <c r="C183" s="168">
        <f>C184*(B186+1)-B186*B187</f>
        <v>2.5</v>
      </c>
      <c r="D183" s="57" t="s">
        <v>61</v>
      </c>
      <c r="E183" s="182"/>
      <c r="F183" s="169"/>
      <c r="G183" s="169"/>
      <c r="H183" s="169"/>
      <c r="I183" s="170"/>
    </row>
    <row r="184" spans="1:28" ht="13" thickBot="1" x14ac:dyDescent="0.3">
      <c r="A184" s="65" t="s">
        <v>39</v>
      </c>
      <c r="B184" s="66">
        <f>((B182-B176)/(B185+1)+B176)*1</f>
        <v>4.9871542996125839E-2</v>
      </c>
      <c r="C184" s="168">
        <f>((C182-B176)/(B185+1)+B176)*1</f>
        <v>4.9372827565357857</v>
      </c>
      <c r="D184" s="57" t="s">
        <v>61</v>
      </c>
      <c r="E184" s="182"/>
      <c r="F184" s="169"/>
      <c r="G184" s="169"/>
      <c r="H184" s="169"/>
      <c r="I184" s="170"/>
    </row>
    <row r="185" spans="1:28" x14ac:dyDescent="0.25">
      <c r="A185" s="74" t="s">
        <v>105</v>
      </c>
      <c r="B185" s="75">
        <f>B173/B175</f>
        <v>3.0921459492898271</v>
      </c>
      <c r="C185" s="76" t="s">
        <v>80</v>
      </c>
      <c r="D185" s="83" t="s">
        <v>106</v>
      </c>
      <c r="E185" s="467" t="str">
        <f>IF(T167,"This configuration will work!","This configuration will not work! Invalid values returned.")</f>
        <v>This configuration will not work! Invalid values returned.</v>
      </c>
      <c r="F185" s="468"/>
      <c r="G185" s="468"/>
      <c r="H185" s="468"/>
      <c r="I185" s="469"/>
    </row>
    <row r="186" spans="1:28" x14ac:dyDescent="0.25">
      <c r="A186" s="77" t="s">
        <v>190</v>
      </c>
      <c r="B186" s="78">
        <f>B177/B188</f>
        <v>-0.48848175633877161</v>
      </c>
      <c r="C186" s="79" t="s">
        <v>80</v>
      </c>
      <c r="D186" s="84" t="s">
        <v>106</v>
      </c>
      <c r="E186" s="467"/>
      <c r="F186" s="468"/>
      <c r="G186" s="468"/>
      <c r="H186" s="468"/>
      <c r="I186" s="469"/>
    </row>
    <row r="187" spans="1:28" x14ac:dyDescent="0.25">
      <c r="A187" s="77" t="s">
        <v>112</v>
      </c>
      <c r="B187" s="78">
        <f>B180*B178/(B178+B179)</f>
        <v>-5.2223453078894103E-2</v>
      </c>
      <c r="C187" s="79" t="s">
        <v>61</v>
      </c>
      <c r="D187" s="84" t="s">
        <v>106</v>
      </c>
      <c r="E187" s="470" t="str">
        <f>IF(ABS(B148)&lt;0.001,"Use circuit 1 instead, C is not needed","")</f>
        <v/>
      </c>
      <c r="F187" s="471"/>
      <c r="G187" s="471"/>
      <c r="H187" s="471"/>
      <c r="I187" s="472"/>
    </row>
    <row r="188" spans="1:28" ht="13" thickBot="1" x14ac:dyDescent="0.3">
      <c r="A188" s="80" t="s">
        <v>113</v>
      </c>
      <c r="B188" s="378">
        <f>(1/(1/B178+1/B179))</f>
        <v>-204715.93606588666</v>
      </c>
      <c r="C188" s="81" t="s">
        <v>201</v>
      </c>
      <c r="D188" s="85" t="s">
        <v>106</v>
      </c>
      <c r="E188" s="267"/>
      <c r="F188" s="172"/>
      <c r="G188" s="172"/>
      <c r="H188" s="172"/>
      <c r="I188" s="173"/>
      <c r="U188" s="9"/>
    </row>
    <row r="189" spans="1:28" x14ac:dyDescent="0.25">
      <c r="A189" s="352"/>
      <c r="B189" s="353"/>
      <c r="C189" s="79"/>
      <c r="D189" s="164"/>
      <c r="E189" s="182"/>
      <c r="F189" s="169"/>
      <c r="G189" s="169"/>
      <c r="H189" s="169"/>
      <c r="I189" s="169"/>
    </row>
    <row r="190" spans="1:28" x14ac:dyDescent="0.25">
      <c r="A190" s="357"/>
      <c r="B190" s="358"/>
      <c r="C190" s="359"/>
      <c r="D190" s="360"/>
      <c r="E190" s="363"/>
      <c r="F190" s="362"/>
      <c r="G190" s="362"/>
      <c r="H190" s="362"/>
      <c r="I190" s="362"/>
    </row>
    <row r="191" spans="1:28" ht="13" thickBot="1" x14ac:dyDescent="0.3">
      <c r="C191" s="38"/>
      <c r="E191" s="45"/>
    </row>
    <row r="192" spans="1:28" ht="13" x14ac:dyDescent="0.3">
      <c r="A192" s="160" t="s">
        <v>176</v>
      </c>
      <c r="B192" s="161"/>
      <c r="C192" s="176"/>
      <c r="D192" s="175"/>
      <c r="E192" s="197"/>
      <c r="F192" s="197"/>
      <c r="G192" s="197"/>
      <c r="H192" s="197"/>
      <c r="I192" s="190"/>
    </row>
    <row r="193" spans="1:23" x14ac:dyDescent="0.25">
      <c r="A193" s="56" t="s">
        <v>58</v>
      </c>
      <c r="B193" s="46" t="s">
        <v>44</v>
      </c>
      <c r="C193" s="355" t="s">
        <v>59</v>
      </c>
      <c r="D193" s="57" t="s">
        <v>45</v>
      </c>
      <c r="E193" s="182"/>
      <c r="F193" s="169"/>
      <c r="G193" s="169"/>
      <c r="H193" s="169"/>
      <c r="I193" s="170"/>
    </row>
    <row r="194" spans="1:23" x14ac:dyDescent="0.25">
      <c r="A194" s="56" t="s">
        <v>146</v>
      </c>
      <c r="B194" s="46">
        <f>MAX(B29:C29)</f>
        <v>2.5</v>
      </c>
      <c r="C194" s="355" t="s">
        <v>61</v>
      </c>
      <c r="D194" s="254" t="s">
        <v>138</v>
      </c>
      <c r="E194" s="182"/>
      <c r="F194" s="169"/>
      <c r="G194" s="169"/>
      <c r="H194" s="169"/>
      <c r="I194" s="170"/>
    </row>
    <row r="195" spans="1:23" x14ac:dyDescent="0.25">
      <c r="A195" s="56" t="s">
        <v>147</v>
      </c>
      <c r="B195" s="46">
        <f>MAX(B27:C27)</f>
        <v>10</v>
      </c>
      <c r="C195" s="355" t="s">
        <v>61</v>
      </c>
      <c r="D195" s="254" t="s">
        <v>139</v>
      </c>
      <c r="E195" s="182"/>
      <c r="F195" s="169"/>
      <c r="G195" s="169"/>
      <c r="H195" s="169"/>
      <c r="I195" s="170"/>
    </row>
    <row r="196" spans="1:23" x14ac:dyDescent="0.25">
      <c r="A196" s="56" t="s">
        <v>148</v>
      </c>
      <c r="B196" s="265">
        <f>MAX((B195-B194)/B194,0)</f>
        <v>3</v>
      </c>
      <c r="C196" s="355" t="s">
        <v>80</v>
      </c>
      <c r="D196" s="57" t="s">
        <v>149</v>
      </c>
      <c r="E196" s="331"/>
      <c r="F196" s="169"/>
      <c r="G196" s="169"/>
      <c r="H196" s="169"/>
      <c r="I196" s="170"/>
    </row>
    <row r="197" spans="1:23" x14ac:dyDescent="0.25">
      <c r="A197" s="56" t="s">
        <v>82</v>
      </c>
      <c r="B197" s="377">
        <v>100000</v>
      </c>
      <c r="C197" s="355" t="s">
        <v>143</v>
      </c>
      <c r="D197" s="254" t="s">
        <v>263</v>
      </c>
      <c r="E197" s="169"/>
      <c r="F197" s="169"/>
      <c r="G197" s="169"/>
      <c r="H197" s="169"/>
      <c r="I197" s="170"/>
    </row>
    <row r="198" spans="1:23" x14ac:dyDescent="0.25">
      <c r="A198" s="56" t="s">
        <v>150</v>
      </c>
      <c r="B198" s="377">
        <v>100000</v>
      </c>
      <c r="C198" s="355" t="s">
        <v>226</v>
      </c>
      <c r="D198" s="254" t="s">
        <v>264</v>
      </c>
      <c r="E198" s="169"/>
      <c r="F198" s="169"/>
      <c r="G198" s="169"/>
      <c r="H198" s="169"/>
      <c r="I198" s="170"/>
    </row>
    <row r="199" spans="1:23" x14ac:dyDescent="0.25">
      <c r="A199" s="56" t="s">
        <v>151</v>
      </c>
      <c r="B199" s="376">
        <f>IF(B196=0,-999,B197/B196)</f>
        <v>33333.333333333336</v>
      </c>
      <c r="C199" s="355" t="s">
        <v>201</v>
      </c>
      <c r="D199" s="254" t="s">
        <v>265</v>
      </c>
      <c r="E199" s="169"/>
      <c r="F199" s="169"/>
      <c r="G199" s="169"/>
      <c r="H199" s="169"/>
      <c r="I199" s="170"/>
    </row>
    <row r="200" spans="1:23" x14ac:dyDescent="0.25">
      <c r="A200" s="56" t="s">
        <v>102</v>
      </c>
      <c r="B200" s="376">
        <f>IF(B196=0,-999,B198*B196)</f>
        <v>300000</v>
      </c>
      <c r="C200" s="355" t="s">
        <v>201</v>
      </c>
      <c r="D200" s="254" t="s">
        <v>266</v>
      </c>
      <c r="E200" s="169"/>
      <c r="F200" s="169"/>
      <c r="G200" s="169"/>
      <c r="H200" s="169"/>
      <c r="I200" s="170"/>
    </row>
    <row r="201" spans="1:23" ht="13" thickBot="1" x14ac:dyDescent="0.3">
      <c r="A201" s="56" t="s">
        <v>52</v>
      </c>
      <c r="B201" s="58" t="s">
        <v>64</v>
      </c>
      <c r="C201" s="355" t="s">
        <v>60</v>
      </c>
      <c r="D201" s="57" t="s">
        <v>67</v>
      </c>
      <c r="E201" s="169"/>
      <c r="F201" s="169"/>
      <c r="G201" s="169"/>
      <c r="H201" s="169"/>
      <c r="I201" s="170"/>
    </row>
    <row r="202" spans="1:23" ht="13.5" thickBot="1" x14ac:dyDescent="0.35">
      <c r="A202" s="160" t="s">
        <v>178</v>
      </c>
      <c r="B202" s="178"/>
      <c r="C202" s="176"/>
      <c r="D202" s="174"/>
      <c r="E202" s="179"/>
      <c r="F202" s="169"/>
      <c r="G202" s="169"/>
      <c r="H202" s="169"/>
      <c r="I202" s="170"/>
    </row>
    <row r="203" spans="1:23" ht="13" x14ac:dyDescent="0.3">
      <c r="A203" s="56" t="s">
        <v>58</v>
      </c>
      <c r="B203" s="46" t="s">
        <v>44</v>
      </c>
      <c r="C203" s="355" t="s">
        <v>59</v>
      </c>
      <c r="D203" s="46" t="s">
        <v>45</v>
      </c>
      <c r="E203" s="180" t="s">
        <v>65</v>
      </c>
      <c r="F203" s="169"/>
      <c r="G203" s="169"/>
      <c r="H203" s="169"/>
      <c r="I203" s="170"/>
      <c r="T203" s="126" t="s">
        <v>120</v>
      </c>
      <c r="U203" s="127" t="s">
        <v>124</v>
      </c>
      <c r="V203" s="127" t="s">
        <v>43</v>
      </c>
      <c r="W203" s="128"/>
    </row>
    <row r="204" spans="1:23" ht="13" x14ac:dyDescent="0.3">
      <c r="A204" s="56" t="s">
        <v>103</v>
      </c>
      <c r="B204" s="381">
        <f>B197</f>
        <v>100000</v>
      </c>
      <c r="C204" s="355" t="s">
        <v>201</v>
      </c>
      <c r="D204" s="46" t="s">
        <v>84</v>
      </c>
      <c r="E204" s="181" t="s">
        <v>86</v>
      </c>
      <c r="F204" s="169"/>
      <c r="G204" s="169"/>
      <c r="H204" s="169"/>
      <c r="I204" s="170"/>
      <c r="T204" s="129" t="s">
        <v>121</v>
      </c>
      <c r="U204" s="141">
        <f>B30</f>
        <v>3.3</v>
      </c>
      <c r="V204" s="130" t="s">
        <v>62</v>
      </c>
      <c r="W204" s="131"/>
    </row>
    <row r="205" spans="1:23" ht="13" x14ac:dyDescent="0.3">
      <c r="A205" s="56" t="s">
        <v>152</v>
      </c>
      <c r="B205" s="381">
        <f>B199</f>
        <v>33333.333333333336</v>
      </c>
      <c r="C205" s="355" t="s">
        <v>201</v>
      </c>
      <c r="D205" s="46" t="s">
        <v>84</v>
      </c>
      <c r="E205" s="181" t="s">
        <v>154</v>
      </c>
      <c r="F205" s="169"/>
      <c r="G205" s="169"/>
      <c r="H205" s="169"/>
      <c r="I205" s="170"/>
      <c r="T205" s="129" t="s">
        <v>122</v>
      </c>
      <c r="U205" s="143">
        <f>B215</f>
        <v>2.5</v>
      </c>
      <c r="V205" s="130" t="s">
        <v>62</v>
      </c>
      <c r="W205" s="131"/>
    </row>
    <row r="206" spans="1:23" ht="13" x14ac:dyDescent="0.3">
      <c r="A206" s="56" t="s">
        <v>153</v>
      </c>
      <c r="B206" s="266">
        <f>B204/B205</f>
        <v>3</v>
      </c>
      <c r="C206" s="355" t="s">
        <v>60</v>
      </c>
      <c r="D206" s="253" t="s">
        <v>262</v>
      </c>
      <c r="E206" s="257"/>
      <c r="F206" s="169"/>
      <c r="G206" s="169"/>
      <c r="H206" s="169"/>
      <c r="I206" s="170"/>
      <c r="T206" s="129" t="s">
        <v>123</v>
      </c>
      <c r="U206" s="142">
        <f>B214</f>
        <v>-200000</v>
      </c>
      <c r="V206" s="130" t="s">
        <v>1</v>
      </c>
      <c r="W206" s="132"/>
    </row>
    <row r="207" spans="1:23" ht="13" x14ac:dyDescent="0.3">
      <c r="A207" s="56" t="s">
        <v>53</v>
      </c>
      <c r="B207" s="168">
        <f>MIN(B27:C27)/(B206+1)</f>
        <v>-2.5</v>
      </c>
      <c r="C207" s="355" t="s">
        <v>61</v>
      </c>
      <c r="D207" s="46" t="s">
        <v>155</v>
      </c>
      <c r="E207" s="180"/>
      <c r="F207" s="169"/>
      <c r="G207" s="169"/>
      <c r="H207" s="169"/>
      <c r="I207" s="170"/>
      <c r="T207" s="135" t="s">
        <v>125</v>
      </c>
      <c r="U207" s="144">
        <f>IF(U204=U205,1000000000000000,IF(ABS(U205)&lt;0.000000001,U206,U205*U208/(U204-U205)))</f>
        <v>-825000.00000000023</v>
      </c>
      <c r="V207" s="133" t="s">
        <v>1</v>
      </c>
      <c r="W207" s="134"/>
    </row>
    <row r="208" spans="1:23" ht="13.5" thickBot="1" x14ac:dyDescent="0.35">
      <c r="A208" s="56" t="s">
        <v>54</v>
      </c>
      <c r="B208" s="66">
        <f>MAX(B27:C27)/(B206+1)</f>
        <v>2.5</v>
      </c>
      <c r="C208" s="355" t="s">
        <v>61</v>
      </c>
      <c r="D208" s="46" t="s">
        <v>90</v>
      </c>
      <c r="E208" s="180"/>
      <c r="F208" s="169"/>
      <c r="G208" s="169"/>
      <c r="H208" s="169"/>
      <c r="I208" s="170"/>
      <c r="T208" s="136" t="s">
        <v>126</v>
      </c>
      <c r="U208" s="145">
        <f>IF(U205=0,1000000000000000,U204*U206/U205)</f>
        <v>-264000</v>
      </c>
      <c r="V208" s="137" t="s">
        <v>1</v>
      </c>
      <c r="W208" s="138"/>
    </row>
    <row r="209" spans="1:21" ht="13" thickBot="1" x14ac:dyDescent="0.3">
      <c r="A209" s="156" t="s">
        <v>145</v>
      </c>
      <c r="B209" s="157">
        <f>B38*(B206+1)-1</f>
        <v>-0.5</v>
      </c>
      <c r="C209" s="158" t="s">
        <v>60</v>
      </c>
      <c r="D209" s="267" t="s">
        <v>91</v>
      </c>
      <c r="E209" s="173"/>
      <c r="F209" s="169"/>
      <c r="G209" s="169"/>
      <c r="H209" s="169"/>
      <c r="I209" s="170"/>
    </row>
    <row r="210" spans="1:21" ht="13" thickBot="1" x14ac:dyDescent="0.3">
      <c r="A210" s="204"/>
      <c r="B210" s="46"/>
      <c r="C210" s="355"/>
      <c r="D210" s="46"/>
      <c r="E210" s="169"/>
      <c r="F210" s="169"/>
      <c r="G210" s="169"/>
      <c r="H210" s="169"/>
      <c r="I210" s="170"/>
    </row>
    <row r="211" spans="1:21" ht="13" x14ac:dyDescent="0.3">
      <c r="A211" s="160" t="s">
        <v>312</v>
      </c>
      <c r="B211" s="176"/>
      <c r="C211" s="176"/>
      <c r="D211" s="179"/>
      <c r="E211" s="169"/>
      <c r="F211" s="169"/>
      <c r="G211" s="169"/>
      <c r="H211" s="169"/>
      <c r="I211" s="170"/>
      <c r="T211" t="b">
        <f>IF((COUNTIF(B221:B227,"&lt;0")-COUNTIF(B221:B227,"&lt;-1e11")),FALSE,TRUE)</f>
        <v>0</v>
      </c>
      <c r="U211" s="9" t="s">
        <v>210</v>
      </c>
    </row>
    <row r="212" spans="1:21" x14ac:dyDescent="0.25">
      <c r="A212" s="56" t="s">
        <v>58</v>
      </c>
      <c r="B212" s="46" t="s">
        <v>44</v>
      </c>
      <c r="C212" s="355" t="s">
        <v>59</v>
      </c>
      <c r="D212" s="57" t="s">
        <v>45</v>
      </c>
      <c r="E212" s="169"/>
      <c r="F212" s="169"/>
      <c r="G212" s="169"/>
      <c r="H212" s="169"/>
      <c r="I212" s="170"/>
      <c r="T212" t="b">
        <f>IF(OR(B232&lt;B$29,B232&gt;C$29,C232&lt;B$29,C232&gt;C$29),FALSE,TRUE)</f>
        <v>0</v>
      </c>
      <c r="U212" s="9" t="s">
        <v>209</v>
      </c>
    </row>
    <row r="213" spans="1:21" x14ac:dyDescent="0.25">
      <c r="A213" s="56" t="s">
        <v>41</v>
      </c>
      <c r="B213" s="377">
        <v>100000</v>
      </c>
      <c r="C213" s="355" t="s">
        <v>201</v>
      </c>
      <c r="D213" s="57" t="s">
        <v>84</v>
      </c>
      <c r="E213" s="169"/>
      <c r="F213" s="169"/>
      <c r="G213" s="169"/>
      <c r="H213" s="169"/>
      <c r="I213" s="170"/>
      <c r="T213" s="1">
        <v>1</v>
      </c>
    </row>
    <row r="214" spans="1:21" x14ac:dyDescent="0.25">
      <c r="A214" s="56" t="s">
        <v>141</v>
      </c>
      <c r="B214" s="376">
        <f>IF(B209=0,1000000000000000,B213/B209)</f>
        <v>-200000</v>
      </c>
      <c r="C214" s="355" t="s">
        <v>201</v>
      </c>
      <c r="D214" s="180" t="s">
        <v>88</v>
      </c>
      <c r="E214" s="169"/>
      <c r="F214" s="169"/>
      <c r="G214" s="169"/>
      <c r="H214" s="169"/>
      <c r="I214" s="170"/>
      <c r="T214" t="b">
        <f>AND(T211:T213)</f>
        <v>0</v>
      </c>
      <c r="U214" s="9" t="s">
        <v>236</v>
      </c>
    </row>
    <row r="215" spans="1:21" x14ac:dyDescent="0.25">
      <c r="A215" s="56" t="s">
        <v>142</v>
      </c>
      <c r="B215" s="66">
        <f>IF(B209=0,999,(B208*(B209+1)-MAX(B28:C28))/B209)</f>
        <v>2.5</v>
      </c>
      <c r="C215" s="355" t="s">
        <v>61</v>
      </c>
      <c r="D215" s="254" t="s">
        <v>94</v>
      </c>
      <c r="E215" s="169"/>
      <c r="F215" s="169"/>
      <c r="G215" s="169"/>
      <c r="H215" s="169"/>
      <c r="I215" s="170"/>
    </row>
    <row r="216" spans="1:21" x14ac:dyDescent="0.25">
      <c r="A216" s="56" t="s">
        <v>48</v>
      </c>
      <c r="B216" s="387">
        <f>U207</f>
        <v>-825000.00000000023</v>
      </c>
      <c r="C216" s="355" t="s">
        <v>201</v>
      </c>
      <c r="D216" s="254" t="s">
        <v>120</v>
      </c>
      <c r="E216" s="169"/>
      <c r="F216" s="169"/>
      <c r="G216" s="169"/>
      <c r="H216" s="169"/>
      <c r="I216" s="170"/>
    </row>
    <row r="217" spans="1:21" ht="13" thickBot="1" x14ac:dyDescent="0.3">
      <c r="A217" s="156" t="s">
        <v>93</v>
      </c>
      <c r="B217" s="388">
        <f>U208</f>
        <v>-264000</v>
      </c>
      <c r="C217" s="158" t="s">
        <v>201</v>
      </c>
      <c r="D217" s="159" t="s">
        <v>120</v>
      </c>
      <c r="E217" s="169"/>
      <c r="F217" s="169"/>
      <c r="G217" s="169"/>
      <c r="H217" s="169"/>
      <c r="I217" s="170"/>
    </row>
    <row r="218" spans="1:21" ht="13" thickBot="1" x14ac:dyDescent="0.3">
      <c r="A218" s="204"/>
      <c r="B218" s="46"/>
      <c r="C218" s="355"/>
      <c r="D218" s="46"/>
      <c r="E218" s="169"/>
      <c r="F218" s="169"/>
      <c r="G218" s="169"/>
      <c r="H218" s="169"/>
      <c r="I218" s="170"/>
    </row>
    <row r="219" spans="1:21" ht="13" x14ac:dyDescent="0.3">
      <c r="A219" s="55" t="s">
        <v>179</v>
      </c>
      <c r="B219" s="60"/>
      <c r="C219" s="390"/>
      <c r="D219" s="62"/>
      <c r="E219" s="169"/>
      <c r="F219" s="169"/>
      <c r="G219" s="169"/>
      <c r="H219" s="169"/>
      <c r="I219" s="170"/>
    </row>
    <row r="220" spans="1:21" ht="14" x14ac:dyDescent="0.3">
      <c r="A220" s="72" t="s">
        <v>58</v>
      </c>
      <c r="B220" s="63" t="s">
        <v>44</v>
      </c>
      <c r="C220" s="73" t="s">
        <v>59</v>
      </c>
      <c r="D220" s="82" t="s">
        <v>76</v>
      </c>
      <c r="E220" s="169"/>
      <c r="F220" s="169"/>
      <c r="G220" s="169"/>
      <c r="H220" s="202">
        <v>5</v>
      </c>
      <c r="I220" s="170"/>
    </row>
    <row r="221" spans="1:21" x14ac:dyDescent="0.25">
      <c r="A221" s="56" t="s">
        <v>51</v>
      </c>
      <c r="B221" s="381">
        <f>B204</f>
        <v>100000</v>
      </c>
      <c r="C221" s="355" t="s">
        <v>201</v>
      </c>
      <c r="D221" s="57" t="s">
        <v>84</v>
      </c>
      <c r="E221" s="169"/>
      <c r="F221" s="169"/>
      <c r="G221" s="169"/>
      <c r="H221" s="169"/>
      <c r="I221" s="170"/>
    </row>
    <row r="222" spans="1:21" x14ac:dyDescent="0.25">
      <c r="A222" s="56" t="s">
        <v>63</v>
      </c>
      <c r="B222" s="381">
        <f>B205</f>
        <v>33333.333333333336</v>
      </c>
      <c r="C222" s="355" t="s">
        <v>201</v>
      </c>
      <c r="D222" s="57"/>
      <c r="E222" s="169"/>
      <c r="F222" s="169"/>
      <c r="G222" s="169"/>
      <c r="H222" s="169"/>
      <c r="I222" s="170"/>
    </row>
    <row r="223" spans="1:21" x14ac:dyDescent="0.25">
      <c r="A223" s="56" t="s">
        <v>52</v>
      </c>
      <c r="B223" s="58" t="s">
        <v>64</v>
      </c>
      <c r="C223" s="355"/>
      <c r="D223" s="57" t="s">
        <v>84</v>
      </c>
      <c r="E223" s="169"/>
      <c r="F223" s="169"/>
      <c r="G223" s="169"/>
      <c r="H223" s="169"/>
      <c r="I223" s="170"/>
    </row>
    <row r="224" spans="1:21" x14ac:dyDescent="0.25">
      <c r="A224" s="56" t="s">
        <v>46</v>
      </c>
      <c r="B224" s="46" t="str">
        <f>B79</f>
        <v>DNP</v>
      </c>
      <c r="C224" s="355"/>
      <c r="D224" s="57"/>
      <c r="E224" s="169"/>
      <c r="F224" s="169"/>
      <c r="G224" s="169"/>
      <c r="H224" s="169"/>
      <c r="I224" s="170"/>
    </row>
    <row r="225" spans="1:9" x14ac:dyDescent="0.25">
      <c r="A225" s="56" t="s">
        <v>41</v>
      </c>
      <c r="B225" s="382">
        <f>B213</f>
        <v>100000</v>
      </c>
      <c r="C225" s="355" t="s">
        <v>201</v>
      </c>
      <c r="D225" s="57" t="s">
        <v>84</v>
      </c>
      <c r="E225" s="169"/>
      <c r="F225" s="169"/>
      <c r="G225" s="169"/>
      <c r="H225" s="169"/>
      <c r="I225" s="170"/>
    </row>
    <row r="226" spans="1:9" x14ac:dyDescent="0.25">
      <c r="A226" s="56" t="s">
        <v>48</v>
      </c>
      <c r="B226" s="382">
        <f>B216</f>
        <v>-825000.00000000023</v>
      </c>
      <c r="C226" s="355" t="s">
        <v>201</v>
      </c>
      <c r="D226" s="57" t="s">
        <v>84</v>
      </c>
      <c r="E226" s="169"/>
      <c r="F226" s="169"/>
      <c r="G226" s="169"/>
      <c r="H226" s="169"/>
      <c r="I226" s="170"/>
    </row>
    <row r="227" spans="1:9" x14ac:dyDescent="0.25">
      <c r="A227" s="56" t="s">
        <v>93</v>
      </c>
      <c r="B227" s="382">
        <f>B217</f>
        <v>-264000</v>
      </c>
      <c r="C227" s="355" t="s">
        <v>201</v>
      </c>
      <c r="D227" s="57" t="s">
        <v>84</v>
      </c>
      <c r="E227" s="169"/>
      <c r="F227" s="169"/>
      <c r="G227" s="169"/>
      <c r="H227" s="169"/>
      <c r="I227" s="170"/>
    </row>
    <row r="228" spans="1:9" x14ac:dyDescent="0.25">
      <c r="A228" s="70" t="s">
        <v>47</v>
      </c>
      <c r="B228" s="68">
        <f>B30</f>
        <v>3.3</v>
      </c>
      <c r="C228" s="69" t="s">
        <v>61</v>
      </c>
      <c r="D228" s="71"/>
      <c r="E228" s="169"/>
      <c r="F228" s="169"/>
      <c r="G228" s="169"/>
      <c r="H228" s="169"/>
      <c r="I228" s="170"/>
    </row>
    <row r="229" spans="1:9" ht="13" x14ac:dyDescent="0.3">
      <c r="A229" s="67" t="s">
        <v>180</v>
      </c>
      <c r="B229" s="63" t="s">
        <v>35</v>
      </c>
      <c r="C229" s="73" t="s">
        <v>34</v>
      </c>
      <c r="D229" s="82" t="s">
        <v>59</v>
      </c>
      <c r="E229" s="169"/>
      <c r="F229" s="169"/>
      <c r="G229" s="169"/>
      <c r="H229" s="169"/>
      <c r="I229" s="170"/>
    </row>
    <row r="230" spans="1:9" x14ac:dyDescent="0.25">
      <c r="A230" s="65" t="s">
        <v>104</v>
      </c>
      <c r="B230" s="46">
        <f>B27</f>
        <v>-10</v>
      </c>
      <c r="C230" s="355">
        <f>C27</f>
        <v>10</v>
      </c>
      <c r="D230" s="57" t="s">
        <v>61</v>
      </c>
      <c r="E230" s="169"/>
      <c r="F230" s="169"/>
      <c r="G230" s="169"/>
      <c r="H230" s="169"/>
      <c r="I230" s="170"/>
    </row>
    <row r="231" spans="1:9" x14ac:dyDescent="0.25">
      <c r="A231" s="65" t="s">
        <v>79</v>
      </c>
      <c r="B231" s="66">
        <f>B232*(B234+1)-B234*B235</f>
        <v>0</v>
      </c>
      <c r="C231" s="168">
        <f>C232*(B234+1)-B234*B235</f>
        <v>2.5</v>
      </c>
      <c r="D231" s="57" t="s">
        <v>61</v>
      </c>
      <c r="E231" s="169"/>
      <c r="F231" s="169"/>
      <c r="G231" s="169"/>
      <c r="H231" s="169"/>
      <c r="I231" s="170"/>
    </row>
    <row r="232" spans="1:9" ht="13" thickBot="1" x14ac:dyDescent="0.3">
      <c r="A232" s="65" t="s">
        <v>39</v>
      </c>
      <c r="B232" s="66">
        <f>B230/(B233+1)</f>
        <v>-2.5</v>
      </c>
      <c r="C232" s="168">
        <f>C230/(B233+1)</f>
        <v>2.5</v>
      </c>
      <c r="D232" s="57" t="s">
        <v>61</v>
      </c>
      <c r="E232" s="169"/>
      <c r="F232" s="169"/>
      <c r="G232" s="169"/>
      <c r="H232" s="169"/>
      <c r="I232" s="170"/>
    </row>
    <row r="233" spans="1:9" x14ac:dyDescent="0.25">
      <c r="A233" s="74" t="s">
        <v>105</v>
      </c>
      <c r="B233" s="75">
        <f>B221/B222</f>
        <v>3</v>
      </c>
      <c r="C233" s="76" t="s">
        <v>80</v>
      </c>
      <c r="D233" s="83" t="s">
        <v>106</v>
      </c>
      <c r="E233" s="467" t="str">
        <f>IF(T214,"This configuration will work!","This configuration will not work! Invalid values returned.")</f>
        <v>This configuration will not work! Invalid values returned.</v>
      </c>
      <c r="F233" s="468"/>
      <c r="G233" s="468"/>
      <c r="H233" s="468"/>
      <c r="I233" s="469"/>
    </row>
    <row r="234" spans="1:9" x14ac:dyDescent="0.25">
      <c r="A234" s="77" t="s">
        <v>190</v>
      </c>
      <c r="B234" s="78">
        <f>B225/B236</f>
        <v>-0.49999999999999994</v>
      </c>
      <c r="C234" s="79" t="s">
        <v>80</v>
      </c>
      <c r="D234" s="84" t="s">
        <v>106</v>
      </c>
      <c r="E234" s="467"/>
      <c r="F234" s="468"/>
      <c r="G234" s="468"/>
      <c r="H234" s="468"/>
      <c r="I234" s="469"/>
    </row>
    <row r="235" spans="1:9" x14ac:dyDescent="0.25">
      <c r="A235" s="77" t="s">
        <v>112</v>
      </c>
      <c r="B235" s="78">
        <f>B228*B226/(B226+B227)</f>
        <v>2.5</v>
      </c>
      <c r="C235" s="79" t="s">
        <v>61</v>
      </c>
      <c r="D235" s="84" t="s">
        <v>106</v>
      </c>
      <c r="E235" s="470" t="str">
        <f>IF(ABS(B196)&lt;0.001,"Use circuit 1 instead, B is not needed","")</f>
        <v/>
      </c>
      <c r="F235" s="471"/>
      <c r="G235" s="471"/>
      <c r="H235" s="471"/>
      <c r="I235" s="472"/>
    </row>
    <row r="236" spans="1:9" ht="13" thickBot="1" x14ac:dyDescent="0.3">
      <c r="A236" s="80" t="s">
        <v>113</v>
      </c>
      <c r="B236" s="378">
        <f>(1/(1/(B226+0.000000000000001)+1/(B227+0.000000000000001)))</f>
        <v>-200000.00000000003</v>
      </c>
      <c r="C236" s="81" t="s">
        <v>201</v>
      </c>
      <c r="D236" s="85" t="s">
        <v>106</v>
      </c>
      <c r="E236" s="172"/>
      <c r="F236" s="172"/>
      <c r="G236" s="172"/>
      <c r="H236" s="172"/>
      <c r="I236" s="173"/>
    </row>
    <row r="237" spans="1:9" x14ac:dyDescent="0.25">
      <c r="C237" s="38"/>
    </row>
    <row r="238" spans="1:9" x14ac:dyDescent="0.25">
      <c r="A238" s="364"/>
      <c r="B238" s="365"/>
      <c r="C238" s="392"/>
      <c r="D238" s="365"/>
      <c r="E238" s="364"/>
      <c r="F238" s="364"/>
      <c r="G238" s="364"/>
      <c r="H238" s="364"/>
      <c r="I238" s="364"/>
    </row>
    <row r="239" spans="1:9" ht="13" thickBot="1" x14ac:dyDescent="0.3">
      <c r="C239" s="38"/>
    </row>
    <row r="240" spans="1:9" ht="13" x14ac:dyDescent="0.3">
      <c r="A240" s="160" t="s">
        <v>237</v>
      </c>
      <c r="B240" s="161"/>
      <c r="C240" s="176"/>
      <c r="D240" s="161"/>
      <c r="E240" s="268"/>
      <c r="F240" s="197"/>
      <c r="G240" s="197"/>
      <c r="H240" s="197"/>
      <c r="I240" s="190"/>
    </row>
    <row r="241" spans="1:23" x14ac:dyDescent="0.25">
      <c r="A241" s="56" t="s">
        <v>58</v>
      </c>
      <c r="B241" s="46" t="s">
        <v>44</v>
      </c>
      <c r="C241" s="355" t="s">
        <v>59</v>
      </c>
      <c r="D241" s="46" t="s">
        <v>45</v>
      </c>
      <c r="E241" s="180"/>
      <c r="F241" s="169"/>
      <c r="G241" s="169"/>
      <c r="H241" s="169"/>
      <c r="I241" s="170"/>
    </row>
    <row r="242" spans="1:23" x14ac:dyDescent="0.25">
      <c r="A242" s="56" t="s">
        <v>229</v>
      </c>
      <c r="B242" s="265">
        <f>B$39/-B$30</f>
        <v>-0.37878787878787878</v>
      </c>
      <c r="C242" s="355" t="s">
        <v>80</v>
      </c>
      <c r="D242" s="269" t="s">
        <v>233</v>
      </c>
      <c r="E242" s="181"/>
      <c r="F242" s="169"/>
      <c r="G242" s="169"/>
      <c r="H242" s="169"/>
      <c r="I242" s="170"/>
    </row>
    <row r="243" spans="1:23" ht="13" thickBot="1" x14ac:dyDescent="0.3">
      <c r="A243" s="156" t="s">
        <v>230</v>
      </c>
      <c r="B243" s="270">
        <f>(B242+1)/B$38-1</f>
        <v>3.9696969696969697</v>
      </c>
      <c r="C243" s="158"/>
      <c r="D243" s="271"/>
      <c r="E243" s="173"/>
      <c r="F243" s="169"/>
      <c r="G243" s="169"/>
      <c r="H243" s="169"/>
      <c r="I243" s="170"/>
    </row>
    <row r="244" spans="1:23" ht="13" x14ac:dyDescent="0.3">
      <c r="A244" s="160" t="s">
        <v>178</v>
      </c>
      <c r="B244" s="178"/>
      <c r="C244" s="176"/>
      <c r="D244" s="174"/>
      <c r="E244" s="179"/>
      <c r="F244" s="169"/>
      <c r="G244" s="169"/>
      <c r="H244" s="169"/>
      <c r="I244" s="170"/>
    </row>
    <row r="245" spans="1:23" x14ac:dyDescent="0.25">
      <c r="A245" s="56" t="s">
        <v>58</v>
      </c>
      <c r="B245" s="46" t="s">
        <v>44</v>
      </c>
      <c r="C245" s="355" t="s">
        <v>59</v>
      </c>
      <c r="D245" s="46" t="s">
        <v>45</v>
      </c>
      <c r="E245" s="180" t="s">
        <v>65</v>
      </c>
      <c r="F245" s="169"/>
      <c r="G245" s="169"/>
      <c r="H245" s="169"/>
      <c r="I245" s="170"/>
    </row>
    <row r="246" spans="1:23" x14ac:dyDescent="0.25">
      <c r="A246" s="56" t="s">
        <v>231</v>
      </c>
      <c r="B246" s="375">
        <v>100000</v>
      </c>
      <c r="C246" s="355" t="s">
        <v>201</v>
      </c>
      <c r="D246" s="46" t="s">
        <v>84</v>
      </c>
      <c r="E246" s="181" t="s">
        <v>86</v>
      </c>
      <c r="F246" s="169"/>
      <c r="G246" s="169"/>
      <c r="H246" s="169"/>
      <c r="I246" s="170"/>
    </row>
    <row r="247" spans="1:23" x14ac:dyDescent="0.25">
      <c r="A247" s="56" t="s">
        <v>269</v>
      </c>
      <c r="B247" s="381">
        <f>IF(B31=0,1000000000000000,B246/B243)</f>
        <v>1000000000000000</v>
      </c>
      <c r="C247" s="355" t="s">
        <v>201</v>
      </c>
      <c r="D247" s="253" t="s">
        <v>267</v>
      </c>
      <c r="E247" s="257" t="s">
        <v>268</v>
      </c>
      <c r="F247" s="169"/>
      <c r="G247" s="169"/>
      <c r="H247" s="169"/>
      <c r="I247" s="170"/>
    </row>
    <row r="248" spans="1:23" x14ac:dyDescent="0.25">
      <c r="A248" s="56" t="s">
        <v>153</v>
      </c>
      <c r="B248" s="266">
        <f>B246/B247</f>
        <v>1E-10</v>
      </c>
      <c r="C248" s="355" t="s">
        <v>60</v>
      </c>
      <c r="D248" s="253" t="s">
        <v>262</v>
      </c>
      <c r="E248" s="257"/>
      <c r="F248" s="169"/>
      <c r="G248" s="169"/>
      <c r="H248" s="169"/>
      <c r="I248" s="170"/>
    </row>
    <row r="249" spans="1:23" ht="13" thickBot="1" x14ac:dyDescent="0.3">
      <c r="A249" s="156" t="s">
        <v>232</v>
      </c>
      <c r="B249" s="157">
        <f>B$38*(B248+1)-1</f>
        <v>-0.8749999999875</v>
      </c>
      <c r="C249" s="158" t="s">
        <v>80</v>
      </c>
      <c r="D249" s="158" t="s">
        <v>91</v>
      </c>
      <c r="E249" s="272"/>
      <c r="F249" s="169"/>
      <c r="G249" s="169"/>
      <c r="H249" s="169"/>
      <c r="I249" s="170"/>
    </row>
    <row r="250" spans="1:23" ht="13.5" thickBot="1" x14ac:dyDescent="0.35">
      <c r="A250" s="160" t="s">
        <v>312</v>
      </c>
      <c r="B250" s="176"/>
      <c r="C250" s="176"/>
      <c r="D250" s="179"/>
      <c r="E250" s="169"/>
      <c r="F250" s="169"/>
      <c r="G250" s="169"/>
      <c r="H250" s="169"/>
      <c r="I250" s="170"/>
    </row>
    <row r="251" spans="1:23" ht="13" x14ac:dyDescent="0.3">
      <c r="A251" s="56" t="s">
        <v>58</v>
      </c>
      <c r="B251" s="46" t="s">
        <v>44</v>
      </c>
      <c r="C251" s="355" t="s">
        <v>59</v>
      </c>
      <c r="D251" s="57" t="s">
        <v>45</v>
      </c>
      <c r="E251" s="169"/>
      <c r="F251" s="169"/>
      <c r="G251" s="169"/>
      <c r="H251" s="169"/>
      <c r="I251" s="170"/>
      <c r="T251" s="126" t="s">
        <v>120</v>
      </c>
      <c r="U251" s="127" t="s">
        <v>124</v>
      </c>
      <c r="V251" s="127" t="s">
        <v>43</v>
      </c>
      <c r="W251" s="128"/>
    </row>
    <row r="252" spans="1:23" ht="13" x14ac:dyDescent="0.3">
      <c r="A252" s="56" t="s">
        <v>41</v>
      </c>
      <c r="B252" s="377">
        <v>100000</v>
      </c>
      <c r="C252" s="355" t="s">
        <v>201</v>
      </c>
      <c r="D252" s="57" t="s">
        <v>84</v>
      </c>
      <c r="E252" s="169"/>
      <c r="F252" s="169"/>
      <c r="G252" s="169"/>
      <c r="H252" s="169"/>
      <c r="I252" s="170"/>
      <c r="T252" s="129" t="s">
        <v>121</v>
      </c>
      <c r="U252" s="143">
        <f>$B$30</f>
        <v>3.3</v>
      </c>
      <c r="V252" s="130" t="s">
        <v>62</v>
      </c>
      <c r="W252" s="131"/>
    </row>
    <row r="253" spans="1:23" ht="13" x14ac:dyDescent="0.3">
      <c r="A253" s="56" t="s">
        <v>141</v>
      </c>
      <c r="B253" s="376">
        <f>B252/B249</f>
        <v>-114285.71428734694</v>
      </c>
      <c r="C253" s="355" t="s">
        <v>201</v>
      </c>
      <c r="D253" s="180" t="s">
        <v>88</v>
      </c>
      <c r="E253" s="169"/>
      <c r="F253" s="169"/>
      <c r="G253" s="169"/>
      <c r="H253" s="169"/>
      <c r="I253" s="170"/>
      <c r="T253" s="129" t="s">
        <v>122</v>
      </c>
      <c r="U253" s="143">
        <f>B254</f>
        <v>1.4285714285918367</v>
      </c>
      <c r="V253" s="130" t="s">
        <v>62</v>
      </c>
      <c r="W253" s="131"/>
    </row>
    <row r="254" spans="1:23" ht="13" x14ac:dyDescent="0.3">
      <c r="A254" s="56" t="s">
        <v>142</v>
      </c>
      <c r="B254" s="66">
        <f>(B27/(B248+1)*(B249+1)-B28)/B249</f>
        <v>1.4285714285918367</v>
      </c>
      <c r="C254" s="355" t="s">
        <v>61</v>
      </c>
      <c r="D254" s="254" t="s">
        <v>94</v>
      </c>
      <c r="E254" s="169" t="s">
        <v>227</v>
      </c>
      <c r="F254" s="169"/>
      <c r="G254" s="169"/>
      <c r="H254" s="169"/>
      <c r="I254" s="170"/>
      <c r="T254" s="129" t="s">
        <v>123</v>
      </c>
      <c r="U254" s="142">
        <f>B253</f>
        <v>-114285.71428734694</v>
      </c>
      <c r="V254" s="130" t="s">
        <v>1</v>
      </c>
      <c r="W254" s="132"/>
    </row>
    <row r="255" spans="1:23" ht="13" x14ac:dyDescent="0.3">
      <c r="A255" s="56" t="s">
        <v>48</v>
      </c>
      <c r="B255" s="387">
        <f>U255</f>
        <v>-201526.71756232856</v>
      </c>
      <c r="C255" s="355" t="s">
        <v>201</v>
      </c>
      <c r="D255" s="254" t="s">
        <v>120</v>
      </c>
      <c r="E255" s="169"/>
      <c r="F255" s="169"/>
      <c r="G255" s="169"/>
      <c r="H255" s="169"/>
      <c r="I255" s="170"/>
      <c r="T255" s="135" t="s">
        <v>125</v>
      </c>
      <c r="U255" s="144">
        <f>IF(U252=U253,1000000000000000,IF(ABS(U253)&lt;0.000000001,U254,U253*U256/(U252-U253)))</f>
        <v>-201526.71756232856</v>
      </c>
      <c r="V255" s="133" t="s">
        <v>1</v>
      </c>
      <c r="W255" s="134"/>
    </row>
    <row r="256" spans="1:23" ht="13.5" thickBot="1" x14ac:dyDescent="0.35">
      <c r="A256" s="156" t="s">
        <v>93</v>
      </c>
      <c r="B256" s="388">
        <f>U256</f>
        <v>-264000</v>
      </c>
      <c r="C256" s="158" t="s">
        <v>201</v>
      </c>
      <c r="D256" s="159" t="s">
        <v>120</v>
      </c>
      <c r="E256" s="169"/>
      <c r="F256" s="169"/>
      <c r="G256" s="169"/>
      <c r="H256" s="169"/>
      <c r="I256" s="170"/>
      <c r="T256" s="136" t="s">
        <v>126</v>
      </c>
      <c r="U256" s="145">
        <f>IF(U253=0,1000000000000000,U252*U254/U253)</f>
        <v>-264000</v>
      </c>
      <c r="V256" s="137" t="s">
        <v>1</v>
      </c>
      <c r="W256" s="138"/>
    </row>
    <row r="257" spans="1:21" ht="13" thickBot="1" x14ac:dyDescent="0.3">
      <c r="A257" s="204"/>
      <c r="B257" s="46"/>
      <c r="C257" s="355"/>
      <c r="D257" s="46"/>
      <c r="E257" s="169"/>
      <c r="F257" s="169"/>
      <c r="G257" s="169"/>
      <c r="H257" s="169"/>
      <c r="I257" s="170"/>
    </row>
    <row r="258" spans="1:21" ht="13" x14ac:dyDescent="0.3">
      <c r="A258" s="55" t="s">
        <v>228</v>
      </c>
      <c r="B258" s="60"/>
      <c r="C258" s="390"/>
      <c r="D258" s="62"/>
      <c r="E258" s="169"/>
      <c r="F258" s="169"/>
      <c r="G258" s="169"/>
      <c r="H258" s="169"/>
      <c r="I258" s="170"/>
      <c r="T258" t="b">
        <f>IF((COUNTIF(B260:B266,"&lt;0")-COUNTIF(B260:B266,"&lt;-1e11")),FALSE,TRUE)</f>
        <v>0</v>
      </c>
      <c r="U258" s="9" t="s">
        <v>210</v>
      </c>
    </row>
    <row r="259" spans="1:21" ht="14" x14ac:dyDescent="0.3">
      <c r="A259" s="72" t="s">
        <v>58</v>
      </c>
      <c r="B259" s="63" t="s">
        <v>44</v>
      </c>
      <c r="C259" s="73" t="s">
        <v>59</v>
      </c>
      <c r="D259" s="64" t="s">
        <v>45</v>
      </c>
      <c r="E259" s="169"/>
      <c r="F259" s="169"/>
      <c r="G259" s="169"/>
      <c r="H259" s="202">
        <v>6</v>
      </c>
      <c r="I259" s="170"/>
      <c r="T259" t="b">
        <f>IF(OR(B271&lt;B$29,B271&gt;C$29,C271&lt;B$29,C271&gt;C$29),FALSE,TRUE)</f>
        <v>0</v>
      </c>
      <c r="U259" s="9" t="s">
        <v>209</v>
      </c>
    </row>
    <row r="260" spans="1:21" x14ac:dyDescent="0.25">
      <c r="A260" s="56" t="s">
        <v>51</v>
      </c>
      <c r="B260" s="381">
        <f>B246</f>
        <v>100000</v>
      </c>
      <c r="C260" s="355" t="s">
        <v>201</v>
      </c>
      <c r="D260" s="254" t="s">
        <v>258</v>
      </c>
      <c r="E260" s="169"/>
      <c r="F260" s="169"/>
      <c r="G260" s="169"/>
      <c r="H260" s="169"/>
      <c r="I260" s="170"/>
      <c r="T260">
        <v>1</v>
      </c>
    </row>
    <row r="261" spans="1:21" x14ac:dyDescent="0.25">
      <c r="A261" s="56" t="s">
        <v>63</v>
      </c>
      <c r="B261" s="381">
        <f>B247</f>
        <v>1000000000000000</v>
      </c>
      <c r="C261" s="355"/>
      <c r="D261" s="57"/>
      <c r="E261" s="169"/>
      <c r="F261" s="169"/>
      <c r="G261" s="169"/>
      <c r="H261" s="169"/>
      <c r="I261" s="170"/>
      <c r="T261" t="b">
        <f>AND(T258:T260)</f>
        <v>0</v>
      </c>
      <c r="U261" s="9" t="s">
        <v>236</v>
      </c>
    </row>
    <row r="262" spans="1:21" x14ac:dyDescent="0.25">
      <c r="A262" s="56" t="s">
        <v>52</v>
      </c>
      <c r="B262" s="58" t="s">
        <v>64</v>
      </c>
      <c r="C262" s="355"/>
      <c r="D262" s="254" t="s">
        <v>258</v>
      </c>
      <c r="E262" s="169"/>
      <c r="F262" s="169"/>
      <c r="G262" s="169"/>
      <c r="H262" s="169"/>
      <c r="I262" s="170"/>
    </row>
    <row r="263" spans="1:21" x14ac:dyDescent="0.25">
      <c r="A263" s="56" t="s">
        <v>46</v>
      </c>
      <c r="B263" s="46" t="s">
        <v>64</v>
      </c>
      <c r="C263" s="355"/>
      <c r="D263" s="57"/>
      <c r="E263" s="169"/>
      <c r="F263" s="169"/>
      <c r="G263" s="169"/>
      <c r="H263" s="169"/>
      <c r="I263" s="170"/>
    </row>
    <row r="264" spans="1:21" x14ac:dyDescent="0.25">
      <c r="A264" s="56" t="s">
        <v>41</v>
      </c>
      <c r="B264" s="382">
        <f>B252</f>
        <v>100000</v>
      </c>
      <c r="C264" s="355" t="s">
        <v>201</v>
      </c>
      <c r="D264" s="254" t="s">
        <v>258</v>
      </c>
      <c r="E264" s="169"/>
      <c r="F264" s="169"/>
      <c r="G264" s="169"/>
      <c r="H264" s="169"/>
      <c r="I264" s="170"/>
    </row>
    <row r="265" spans="1:21" x14ac:dyDescent="0.25">
      <c r="A265" s="56" t="s">
        <v>48</v>
      </c>
      <c r="B265" s="382">
        <f>B255</f>
        <v>-201526.71756232856</v>
      </c>
      <c r="C265" s="355" t="s">
        <v>201</v>
      </c>
      <c r="D265" s="254" t="s">
        <v>258</v>
      </c>
      <c r="E265" s="169"/>
      <c r="F265" s="169"/>
      <c r="G265" s="169"/>
      <c r="H265" s="169"/>
      <c r="I265" s="170"/>
    </row>
    <row r="266" spans="1:21" x14ac:dyDescent="0.25">
      <c r="A266" s="56" t="s">
        <v>93</v>
      </c>
      <c r="B266" s="382">
        <f>B256</f>
        <v>-264000</v>
      </c>
      <c r="C266" s="355" t="s">
        <v>201</v>
      </c>
      <c r="D266" s="254" t="s">
        <v>258</v>
      </c>
      <c r="E266" s="169"/>
      <c r="F266" s="169"/>
      <c r="G266" s="169"/>
      <c r="H266" s="169"/>
      <c r="I266" s="170"/>
    </row>
    <row r="267" spans="1:21" x14ac:dyDescent="0.25">
      <c r="A267" s="70" t="s">
        <v>47</v>
      </c>
      <c r="B267" s="68">
        <f>$B$30</f>
        <v>3.3</v>
      </c>
      <c r="C267" s="69" t="s">
        <v>61</v>
      </c>
      <c r="D267" s="71"/>
      <c r="E267" s="169"/>
      <c r="F267" s="169"/>
      <c r="G267" s="169"/>
      <c r="H267" s="169"/>
      <c r="I267" s="170"/>
    </row>
    <row r="268" spans="1:21" ht="13" x14ac:dyDescent="0.3">
      <c r="A268" s="67" t="s">
        <v>180</v>
      </c>
      <c r="B268" s="63" t="s">
        <v>35</v>
      </c>
      <c r="C268" s="73" t="s">
        <v>34</v>
      </c>
      <c r="D268" s="82" t="s">
        <v>59</v>
      </c>
      <c r="E268" s="169"/>
      <c r="F268" s="169"/>
      <c r="G268" s="169"/>
      <c r="H268" s="169"/>
      <c r="I268" s="170"/>
    </row>
    <row r="269" spans="1:21" x14ac:dyDescent="0.25">
      <c r="A269" s="65" t="s">
        <v>104</v>
      </c>
      <c r="B269" s="46">
        <f>B$27</f>
        <v>-10</v>
      </c>
      <c r="C269" s="355">
        <f>C$27</f>
        <v>10</v>
      </c>
      <c r="D269" s="57" t="s">
        <v>61</v>
      </c>
      <c r="E269" s="169"/>
      <c r="F269" s="169"/>
      <c r="G269" s="169"/>
      <c r="H269" s="169"/>
      <c r="I269" s="170"/>
    </row>
    <row r="270" spans="1:21" x14ac:dyDescent="0.25">
      <c r="A270" s="65" t="s">
        <v>79</v>
      </c>
      <c r="B270" s="66">
        <f>B271*(B273+1)-B273*B274</f>
        <v>0</v>
      </c>
      <c r="C270" s="168">
        <f>C271*(B273+1)-B273*B274</f>
        <v>2.5000000000000009</v>
      </c>
      <c r="D270" s="57" t="s">
        <v>61</v>
      </c>
      <c r="E270" s="169"/>
      <c r="F270" s="169"/>
      <c r="G270" s="169"/>
      <c r="H270" s="169"/>
      <c r="I270" s="170"/>
    </row>
    <row r="271" spans="1:21" ht="13" thickBot="1" x14ac:dyDescent="0.3">
      <c r="A271" s="65" t="s">
        <v>39</v>
      </c>
      <c r="B271" s="66">
        <f>B269/(B272+1)</f>
        <v>-9.9999999989999999</v>
      </c>
      <c r="C271" s="168">
        <f>C269/(B272+1)</f>
        <v>9.9999999989999999</v>
      </c>
      <c r="D271" s="57" t="s">
        <v>61</v>
      </c>
      <c r="E271" s="169"/>
      <c r="F271" s="169"/>
      <c r="G271" s="169"/>
      <c r="H271" s="169"/>
      <c r="I271" s="170"/>
    </row>
    <row r="272" spans="1:21" x14ac:dyDescent="0.25">
      <c r="A272" s="74" t="s">
        <v>105</v>
      </c>
      <c r="B272" s="75">
        <f>B260/B261</f>
        <v>1E-10</v>
      </c>
      <c r="C272" s="76" t="s">
        <v>80</v>
      </c>
      <c r="D272" s="83" t="s">
        <v>106</v>
      </c>
      <c r="E272" s="467" t="str">
        <f>IF(T261,"This configuration will work!","This configuration will not work! Invalid values returned.")</f>
        <v>This configuration will not work! Invalid values returned.</v>
      </c>
      <c r="F272" s="468"/>
      <c r="G272" s="468"/>
      <c r="H272" s="468"/>
      <c r="I272" s="469"/>
    </row>
    <row r="273" spans="1:9" x14ac:dyDescent="0.25">
      <c r="A273" s="77" t="s">
        <v>190</v>
      </c>
      <c r="B273" s="78">
        <f>B264/B275</f>
        <v>-0.87499999998749989</v>
      </c>
      <c r="C273" s="79" t="s">
        <v>80</v>
      </c>
      <c r="D273" s="84" t="s">
        <v>106</v>
      </c>
      <c r="E273" s="467"/>
      <c r="F273" s="468"/>
      <c r="G273" s="468"/>
      <c r="H273" s="468"/>
      <c r="I273" s="469"/>
    </row>
    <row r="274" spans="1:9" x14ac:dyDescent="0.25">
      <c r="A274" s="77" t="s">
        <v>112</v>
      </c>
      <c r="B274" s="78">
        <f>B267*B265/(B265+B266)</f>
        <v>1.4285714285918367</v>
      </c>
      <c r="C274" s="79" t="s">
        <v>61</v>
      </c>
      <c r="D274" s="84" t="s">
        <v>106</v>
      </c>
      <c r="E274" s="470" t="str">
        <f>IF(ABS(B242)&lt;0.001,"Use circuit 1 instead, B is not needed","")</f>
        <v/>
      </c>
      <c r="F274" s="471"/>
      <c r="G274" s="471"/>
      <c r="H274" s="471"/>
      <c r="I274" s="472"/>
    </row>
    <row r="275" spans="1:9" ht="13" thickBot="1" x14ac:dyDescent="0.3">
      <c r="A275" s="80" t="s">
        <v>113</v>
      </c>
      <c r="B275" s="378">
        <f>(1/(1/(B265+0.000000000000001)+1/(B266+0.000000000000001)))</f>
        <v>-114285.71428734696</v>
      </c>
      <c r="C275" s="81" t="s">
        <v>201</v>
      </c>
      <c r="D275" s="85" t="s">
        <v>106</v>
      </c>
      <c r="E275" s="172"/>
      <c r="F275" s="172"/>
      <c r="G275" s="172"/>
      <c r="H275" s="172"/>
      <c r="I275" s="173"/>
    </row>
    <row r="276" spans="1:9" x14ac:dyDescent="0.25">
      <c r="C276" s="38"/>
    </row>
    <row r="277" spans="1:9" x14ac:dyDescent="0.25">
      <c r="B277"/>
      <c r="C277"/>
      <c r="D277"/>
    </row>
    <row r="278" spans="1:9" x14ac:dyDescent="0.25">
      <c r="B278"/>
      <c r="C278"/>
      <c r="D278"/>
    </row>
    <row r="279" spans="1:9" x14ac:dyDescent="0.25">
      <c r="B279"/>
      <c r="C279"/>
      <c r="D279"/>
    </row>
    <row r="280" spans="1:9" x14ac:dyDescent="0.25">
      <c r="B280"/>
      <c r="C280"/>
      <c r="D280"/>
    </row>
    <row r="281" spans="1:9" x14ac:dyDescent="0.25">
      <c r="B281"/>
      <c r="C281"/>
      <c r="D281"/>
    </row>
    <row r="282" spans="1:9" x14ac:dyDescent="0.25">
      <c r="B282"/>
      <c r="C282"/>
      <c r="D282"/>
    </row>
  </sheetData>
  <mergeCells count="43">
    <mergeCell ref="L2:P8"/>
    <mergeCell ref="A32:C33"/>
    <mergeCell ref="A34:I34"/>
    <mergeCell ref="A35:I35"/>
    <mergeCell ref="A24:C25"/>
    <mergeCell ref="D30:F30"/>
    <mergeCell ref="D26:F26"/>
    <mergeCell ref="D17:I18"/>
    <mergeCell ref="D16:I16"/>
    <mergeCell ref="A1:F2"/>
    <mergeCell ref="A4:J7"/>
    <mergeCell ref="D10:K10"/>
    <mergeCell ref="D11:K11"/>
    <mergeCell ref="D12:K12"/>
    <mergeCell ref="D9:K9"/>
    <mergeCell ref="D13:K13"/>
    <mergeCell ref="H25:I25"/>
    <mergeCell ref="E96:I97"/>
    <mergeCell ref="E137:I138"/>
    <mergeCell ref="E235:I235"/>
    <mergeCell ref="T122:T124"/>
    <mergeCell ref="D27:F27"/>
    <mergeCell ref="D28:F28"/>
    <mergeCell ref="D29:F29"/>
    <mergeCell ref="D38:F38"/>
    <mergeCell ref="T116:T118"/>
    <mergeCell ref="T119:T121"/>
    <mergeCell ref="E63:I64"/>
    <mergeCell ref="E65:I65"/>
    <mergeCell ref="E98:I98"/>
    <mergeCell ref="D113:E113"/>
    <mergeCell ref="D114:E114"/>
    <mergeCell ref="E272:I273"/>
    <mergeCell ref="E274:I274"/>
    <mergeCell ref="E185:I186"/>
    <mergeCell ref="E233:I234"/>
    <mergeCell ref="E187:I187"/>
    <mergeCell ref="D115:E115"/>
    <mergeCell ref="E106:G106"/>
    <mergeCell ref="E107:G107"/>
    <mergeCell ref="E108:G108"/>
    <mergeCell ref="E109:G109"/>
    <mergeCell ref="E110:G110"/>
  </mergeCells>
  <conditionalFormatting sqref="B45">
    <cfRule type="cellIs" dxfId="73" priority="125" operator="lessThan">
      <formula>0</formula>
    </cfRule>
  </conditionalFormatting>
  <conditionalFormatting sqref="B46:B49">
    <cfRule type="cellIs" dxfId="72" priority="111" operator="lessThan">
      <formula>0</formula>
    </cfRule>
  </conditionalFormatting>
  <conditionalFormatting sqref="B56:B58">
    <cfRule type="cellIs" dxfId="71" priority="110" operator="lessThan">
      <formula>0</formula>
    </cfRule>
  </conditionalFormatting>
  <conditionalFormatting sqref="B63:C63">
    <cfRule type="cellIs" dxfId="70" priority="99" operator="lessThan">
      <formula>$B$29</formula>
    </cfRule>
    <cfRule type="cellIs" dxfId="69" priority="100" operator="greaterThan">
      <formula>$C$29</formula>
    </cfRule>
  </conditionalFormatting>
  <conditionalFormatting sqref="B38">
    <cfRule type="cellIs" dxfId="68" priority="89" operator="lessThan">
      <formula>0</formula>
    </cfRule>
  </conditionalFormatting>
  <conditionalFormatting sqref="B119:B121">
    <cfRule type="cellIs" dxfId="67" priority="66" operator="lessThan">
      <formula>0</formula>
    </cfRule>
    <cfRule type="cellIs" dxfId="66" priority="82" operator="lessThan">
      <formula>0</formula>
    </cfRule>
  </conditionalFormatting>
  <conditionalFormatting sqref="B76">
    <cfRule type="cellIs" dxfId="65" priority="81" operator="lessThan">
      <formula>0</formula>
    </cfRule>
  </conditionalFormatting>
  <conditionalFormatting sqref="B78">
    <cfRule type="cellIs" dxfId="64" priority="80" operator="lessThan">
      <formula>0</formula>
    </cfRule>
  </conditionalFormatting>
  <conditionalFormatting sqref="B85">
    <cfRule type="cellIs" dxfId="63" priority="79" operator="lessThan">
      <formula>0</formula>
    </cfRule>
  </conditionalFormatting>
  <conditionalFormatting sqref="B89:B91">
    <cfRule type="cellIs" dxfId="62" priority="78" operator="lessThan">
      <formula>0</formula>
    </cfRule>
  </conditionalFormatting>
  <conditionalFormatting sqref="B87">
    <cfRule type="cellIs" dxfId="61" priority="77" operator="lessThan">
      <formula>0</formula>
    </cfRule>
  </conditionalFormatting>
  <conditionalFormatting sqref="B158">
    <cfRule type="cellIs" dxfId="60" priority="52" operator="lessThan">
      <formula>$B$148</formula>
    </cfRule>
    <cfRule type="cellIs" dxfId="59" priority="76" operator="lessThan">
      <formula>$B$148</formula>
    </cfRule>
  </conditionalFormatting>
  <conditionalFormatting sqref="B163:B164">
    <cfRule type="cellIs" dxfId="58" priority="74" operator="lessThan">
      <formula>$B$29</formula>
    </cfRule>
    <cfRule type="cellIs" dxfId="57" priority="75" operator="greaterThan">
      <formula>$C$29</formula>
    </cfRule>
  </conditionalFormatting>
  <conditionalFormatting sqref="B206">
    <cfRule type="cellIs" dxfId="56" priority="73" operator="lessThan">
      <formula>$B$196</formula>
    </cfRule>
  </conditionalFormatting>
  <conditionalFormatting sqref="B207:B208">
    <cfRule type="cellIs" dxfId="55" priority="71" operator="lessThan">
      <formula>$B$29</formula>
    </cfRule>
    <cfRule type="cellIs" dxfId="54" priority="72" operator="greaterThan">
      <formula>$C$29</formula>
    </cfRule>
  </conditionalFormatting>
  <conditionalFormatting sqref="B184:C184">
    <cfRule type="cellIs" dxfId="53" priority="69" operator="lessThan">
      <formula>$B$29</formula>
    </cfRule>
    <cfRule type="cellIs" dxfId="52" priority="70" operator="greaterThan">
      <formula>$C$29</formula>
    </cfRule>
  </conditionalFormatting>
  <conditionalFormatting sqref="B75:B78">
    <cfRule type="cellIs" dxfId="51" priority="68" operator="lessThan">
      <formula>0</formula>
    </cfRule>
  </conditionalFormatting>
  <conditionalFormatting sqref="B85:B91">
    <cfRule type="cellIs" dxfId="50" priority="67" operator="lessThan">
      <formula>0</formula>
    </cfRule>
  </conditionalFormatting>
  <conditionalFormatting sqref="B125:B127">
    <cfRule type="cellIs" dxfId="49" priority="65" operator="lessThan">
      <formula>0</formula>
    </cfRule>
  </conditionalFormatting>
  <conditionalFormatting sqref="B129:B130">
    <cfRule type="cellIs" dxfId="48" priority="64" operator="lessThan">
      <formula>0</formula>
    </cfRule>
  </conditionalFormatting>
  <conditionalFormatting sqref="B173:B179">
    <cfRule type="cellIs" dxfId="47" priority="63" operator="lessThan">
      <formula>0</formula>
    </cfRule>
  </conditionalFormatting>
  <conditionalFormatting sqref="B213:B214">
    <cfRule type="cellIs" dxfId="46" priority="62" operator="lessThan">
      <formula>0</formula>
    </cfRule>
  </conditionalFormatting>
  <conditionalFormatting sqref="B216:B217">
    <cfRule type="cellIs" dxfId="45" priority="61" operator="lessThan">
      <formula>0</formula>
    </cfRule>
  </conditionalFormatting>
  <conditionalFormatting sqref="B222:B227">
    <cfRule type="cellIs" dxfId="44" priority="60" operator="lessThan">
      <formula>0</formula>
    </cfRule>
  </conditionalFormatting>
  <conditionalFormatting sqref="B96:C96">
    <cfRule type="cellIs" dxfId="43" priority="58" operator="lessThan">
      <formula>$B$29</formula>
    </cfRule>
    <cfRule type="cellIs" dxfId="42" priority="59" operator="greaterThan">
      <formula>$C$29</formula>
    </cfRule>
  </conditionalFormatting>
  <conditionalFormatting sqref="B136:C136">
    <cfRule type="cellIs" dxfId="41" priority="56" operator="lessThan">
      <formula>$B$29</formula>
    </cfRule>
    <cfRule type="cellIs" dxfId="40" priority="57" operator="greaterThan">
      <formula>$C$29</formula>
    </cfRule>
  </conditionalFormatting>
  <conditionalFormatting sqref="B232:C232">
    <cfRule type="cellIs" dxfId="39" priority="54" operator="lessThan">
      <formula>$B$29</formula>
    </cfRule>
    <cfRule type="cellIs" dxfId="38" priority="55" operator="greaterThan">
      <formula>$C$29</formula>
    </cfRule>
  </conditionalFormatting>
  <conditionalFormatting sqref="B199:B200">
    <cfRule type="cellIs" dxfId="37" priority="53" operator="lessThan">
      <formula>0</formula>
    </cfRule>
  </conditionalFormatting>
  <conditionalFormatting sqref="B204:B205">
    <cfRule type="cellIs" dxfId="36" priority="51" operator="lessThan">
      <formula>0</formula>
    </cfRule>
  </conditionalFormatting>
  <conditionalFormatting sqref="I26:I30">
    <cfRule type="expression" dxfId="35" priority="136">
      <formula>I26="Fails"</formula>
    </cfRule>
    <cfRule type="expression" dxfId="34" priority="137">
      <formula>I26="Works"</formula>
    </cfRule>
  </conditionalFormatting>
  <conditionalFormatting sqref="I233:I234 E234:H234">
    <cfRule type="expression" dxfId="33" priority="25">
      <formula>T192=FALSE</formula>
    </cfRule>
    <cfRule type="expression" dxfId="32" priority="26">
      <formula>T192=TRUE</formula>
    </cfRule>
  </conditionalFormatting>
  <conditionalFormatting sqref="E186:I186">
    <cfRule type="expression" dxfId="31" priority="23">
      <formula>T143=FALSE</formula>
    </cfRule>
    <cfRule type="expression" dxfId="30" priority="24">
      <formula>T143=TRUE</formula>
    </cfRule>
  </conditionalFormatting>
  <conditionalFormatting sqref="E96:I97">
    <cfRule type="expression" dxfId="29" priority="19">
      <formula>T79=FALSE</formula>
    </cfRule>
    <cfRule type="expression" dxfId="28" priority="20">
      <formula>T79=TRUE</formula>
    </cfRule>
  </conditionalFormatting>
  <conditionalFormatting sqref="I63:I64">
    <cfRule type="expression" dxfId="27" priority="17">
      <formula>X49=FALSE</formula>
    </cfRule>
    <cfRule type="expression" dxfId="26" priority="18">
      <formula>X49=TRUE</formula>
    </cfRule>
  </conditionalFormatting>
  <conditionalFormatting sqref="B30">
    <cfRule type="cellIs" dxfId="25" priority="16" operator="equal">
      <formula>0</formula>
    </cfRule>
  </conditionalFormatting>
  <conditionalFormatting sqref="B248">
    <cfRule type="cellIs" dxfId="24" priority="15" operator="lessThan">
      <formula>$B$196</formula>
    </cfRule>
  </conditionalFormatting>
  <conditionalFormatting sqref="B252:B253">
    <cfRule type="cellIs" dxfId="23" priority="12" operator="lessThan">
      <formula>0</formula>
    </cfRule>
  </conditionalFormatting>
  <conditionalFormatting sqref="B255:B256">
    <cfRule type="cellIs" dxfId="22" priority="11" operator="lessThan">
      <formula>0</formula>
    </cfRule>
  </conditionalFormatting>
  <conditionalFormatting sqref="B261:B266">
    <cfRule type="cellIs" dxfId="21" priority="10" operator="lessThan">
      <formula>0</formula>
    </cfRule>
  </conditionalFormatting>
  <conditionalFormatting sqref="B271:C271">
    <cfRule type="cellIs" dxfId="20" priority="8" operator="lessThan">
      <formula>$B$29</formula>
    </cfRule>
    <cfRule type="cellIs" dxfId="19" priority="9" operator="greaterThan">
      <formula>$C$29</formula>
    </cfRule>
  </conditionalFormatting>
  <conditionalFormatting sqref="B246:B247">
    <cfRule type="cellIs" dxfId="18" priority="6" operator="lessThan">
      <formula>0</formula>
    </cfRule>
  </conditionalFormatting>
  <conditionalFormatting sqref="I272:I273 E273:H273">
    <cfRule type="expression" dxfId="17" priority="4">
      <formula>T230=FALSE</formula>
    </cfRule>
    <cfRule type="expression" dxfId="16" priority="5">
      <formula>T230=TRUE</formula>
    </cfRule>
  </conditionalFormatting>
  <conditionalFormatting sqref="I31">
    <cfRule type="expression" dxfId="15" priority="1">
      <formula>I31="Fails"</formula>
    </cfRule>
    <cfRule type="expression" dxfId="14" priority="2">
      <formula>I31="Works"</formula>
    </cfRule>
  </conditionalFormatting>
  <conditionalFormatting sqref="E63:H63">
    <cfRule type="expression" dxfId="13" priority="140">
      <formula>T61=FALSE</formula>
    </cfRule>
    <cfRule type="expression" dxfId="12" priority="141">
      <formula>T61=TRUE</formula>
    </cfRule>
  </conditionalFormatting>
  <conditionalFormatting sqref="E64:H64">
    <cfRule type="expression" dxfId="11" priority="142">
      <formula>#REF!=FALSE</formula>
    </cfRule>
    <cfRule type="expression" dxfId="10" priority="143">
      <formula>#REF!=TRUE</formula>
    </cfRule>
  </conditionalFormatting>
  <conditionalFormatting sqref="E137:G137">
    <cfRule type="expression" dxfId="9" priority="146">
      <formula>T132=FALSE</formula>
    </cfRule>
    <cfRule type="expression" dxfId="8" priority="147">
      <formula>T132=TRUE</formula>
    </cfRule>
  </conditionalFormatting>
  <conditionalFormatting sqref="H137:I138 E138:G138">
    <cfRule type="expression" dxfId="7" priority="148">
      <formula>#REF!=FALSE</formula>
    </cfRule>
    <cfRule type="expression" dxfId="6" priority="149">
      <formula>#REF!=TRUE</formula>
    </cfRule>
  </conditionalFormatting>
  <conditionalFormatting sqref="E185:I185">
    <cfRule type="expression" dxfId="5" priority="152">
      <formula>T167=FALSE</formula>
    </cfRule>
    <cfRule type="expression" dxfId="4" priority="153">
      <formula>T167=TRUE</formula>
    </cfRule>
  </conditionalFormatting>
  <conditionalFormatting sqref="E233:H233">
    <cfRule type="expression" dxfId="3" priority="156">
      <formula>T214=FALSE</formula>
    </cfRule>
    <cfRule type="expression" dxfId="2" priority="157">
      <formula>T214=TRUE</formula>
    </cfRule>
  </conditionalFormatting>
  <conditionalFormatting sqref="E272:H272">
    <cfRule type="expression" dxfId="1" priority="160">
      <formula>T261=FALSE</formula>
    </cfRule>
    <cfRule type="expression" dxfId="0" priority="161">
      <formula>T261=TRUE</formula>
    </cfRule>
  </conditionalFormatting>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8"/>
  <sheetViews>
    <sheetView zoomScale="130" zoomScaleNormal="130" workbookViewId="0">
      <selection activeCell="E3" sqref="E3"/>
    </sheetView>
  </sheetViews>
  <sheetFormatPr defaultRowHeight="12.5" x14ac:dyDescent="0.25"/>
  <cols>
    <col min="1" max="1" width="23.453125" customWidth="1"/>
    <col min="2" max="3" width="14.81640625" style="1" customWidth="1"/>
    <col min="4" max="4" width="12.453125" style="1" customWidth="1"/>
    <col min="5" max="5" width="12.453125" customWidth="1"/>
    <col min="6" max="7" width="10.453125" bestFit="1" customWidth="1"/>
    <col min="8" max="8" width="10.1796875" bestFit="1" customWidth="1"/>
  </cols>
  <sheetData>
    <row r="1" spans="1:14" ht="13" x14ac:dyDescent="0.3">
      <c r="A1" s="7" t="s">
        <v>38</v>
      </c>
      <c r="B1"/>
      <c r="C1"/>
      <c r="D1"/>
      <c r="J1" s="42" t="s">
        <v>239</v>
      </c>
      <c r="K1" s="234">
        <v>1</v>
      </c>
    </row>
    <row r="2" spans="1:14" x14ac:dyDescent="0.25">
      <c r="B2"/>
      <c r="C2"/>
      <c r="D2" s="39" t="s">
        <v>37</v>
      </c>
      <c r="E2" s="39"/>
      <c r="F2" s="39"/>
      <c r="G2" s="39"/>
      <c r="J2" s="439" t="s">
        <v>240</v>
      </c>
      <c r="K2" s="439"/>
      <c r="L2" s="439"/>
      <c r="M2" s="439"/>
      <c r="N2" s="439"/>
    </row>
    <row r="3" spans="1:14" x14ac:dyDescent="0.25">
      <c r="B3"/>
      <c r="C3"/>
      <c r="D3"/>
      <c r="J3" s="439"/>
      <c r="K3" s="439"/>
      <c r="L3" s="439"/>
      <c r="M3" s="439"/>
      <c r="N3" s="439"/>
    </row>
    <row r="4" spans="1:14" x14ac:dyDescent="0.25">
      <c r="B4"/>
      <c r="C4"/>
      <c r="D4"/>
      <c r="J4" s="439"/>
      <c r="K4" s="439"/>
      <c r="L4" s="439"/>
      <c r="M4" s="439"/>
      <c r="N4" s="439"/>
    </row>
    <row r="5" spans="1:14" x14ac:dyDescent="0.25">
      <c r="B5"/>
      <c r="C5"/>
      <c r="D5"/>
      <c r="J5" s="439"/>
      <c r="K5" s="439"/>
      <c r="L5" s="439"/>
      <c r="M5" s="439"/>
      <c r="N5" s="439"/>
    </row>
    <row r="6" spans="1:14" x14ac:dyDescent="0.25">
      <c r="B6"/>
      <c r="C6"/>
      <c r="D6"/>
      <c r="J6" s="439"/>
      <c r="K6" s="439"/>
      <c r="L6" s="439"/>
      <c r="M6" s="439"/>
      <c r="N6" s="439"/>
    </row>
    <row r="7" spans="1:14" x14ac:dyDescent="0.25">
      <c r="B7"/>
      <c r="C7"/>
      <c r="D7"/>
      <c r="J7" s="439"/>
      <c r="K7" s="439"/>
      <c r="L7" s="439"/>
      <c r="M7" s="439"/>
      <c r="N7" s="439"/>
    </row>
    <row r="8" spans="1:14" x14ac:dyDescent="0.25">
      <c r="B8"/>
      <c r="C8"/>
      <c r="D8"/>
      <c r="J8" s="439"/>
      <c r="K8" s="439"/>
      <c r="L8" s="439"/>
      <c r="M8" s="439"/>
      <c r="N8" s="439"/>
    </row>
    <row r="9" spans="1:14" x14ac:dyDescent="0.25">
      <c r="B9"/>
      <c r="C9"/>
      <c r="D9"/>
    </row>
    <row r="10" spans="1:14" x14ac:dyDescent="0.25">
      <c r="B10"/>
      <c r="C10"/>
      <c r="D10"/>
    </row>
    <row r="11" spans="1:14" x14ac:dyDescent="0.25">
      <c r="B11"/>
      <c r="C11"/>
      <c r="D11"/>
    </row>
    <row r="12" spans="1:14" x14ac:dyDescent="0.25">
      <c r="B12"/>
      <c r="C12"/>
      <c r="D12"/>
    </row>
    <row r="13" spans="1:14" x14ac:dyDescent="0.25">
      <c r="B13"/>
      <c r="C13"/>
      <c r="D13"/>
    </row>
    <row r="14" spans="1:14" x14ac:dyDescent="0.25">
      <c r="B14"/>
      <c r="C14"/>
      <c r="D14"/>
    </row>
    <row r="15" spans="1:14" ht="13" thickBot="1" x14ac:dyDescent="0.3">
      <c r="B15"/>
      <c r="C15"/>
      <c r="D15"/>
    </row>
    <row r="16" spans="1:14" ht="13" x14ac:dyDescent="0.3">
      <c r="A16" s="274" t="s">
        <v>36</v>
      </c>
      <c r="B16" s="275" t="s">
        <v>35</v>
      </c>
      <c r="C16" s="275" t="s">
        <v>34</v>
      </c>
      <c r="D16" s="275" t="s">
        <v>273</v>
      </c>
      <c r="E16" s="190"/>
    </row>
    <row r="17" spans="1:7" x14ac:dyDescent="0.25">
      <c r="A17" s="276" t="s">
        <v>33</v>
      </c>
      <c r="B17" s="277">
        <v>-10</v>
      </c>
      <c r="C17" s="277">
        <v>10</v>
      </c>
      <c r="D17" s="252" t="s">
        <v>61</v>
      </c>
      <c r="E17" s="170"/>
    </row>
    <row r="18" spans="1:7" x14ac:dyDescent="0.25">
      <c r="A18" s="276" t="s">
        <v>32</v>
      </c>
      <c r="B18" s="277">
        <v>0</v>
      </c>
      <c r="C18" s="277">
        <v>2.5</v>
      </c>
      <c r="D18" s="252" t="s">
        <v>61</v>
      </c>
      <c r="E18" s="170"/>
    </row>
    <row r="19" spans="1:7" ht="13" thickBot="1" x14ac:dyDescent="0.3">
      <c r="A19" s="278" t="s">
        <v>31</v>
      </c>
      <c r="B19" s="279">
        <v>3.3</v>
      </c>
      <c r="C19" s="493" t="s">
        <v>30</v>
      </c>
      <c r="D19" s="493"/>
      <c r="E19" s="494"/>
    </row>
    <row r="20" spans="1:7" x14ac:dyDescent="0.25">
      <c r="A20" s="37"/>
      <c r="B20" s="35"/>
      <c r="C20" s="2"/>
    </row>
    <row r="21" spans="1:7" ht="13" x14ac:dyDescent="0.3">
      <c r="A21" s="36" t="s">
        <v>29</v>
      </c>
      <c r="B21" s="35"/>
      <c r="C21" s="2"/>
    </row>
    <row r="22" spans="1:7" x14ac:dyDescent="0.25">
      <c r="A22" s="56" t="s">
        <v>316</v>
      </c>
      <c r="B22" s="35">
        <f>IFERROR((B18-C18)/(B17-C17),-1000000000000000)</f>
        <v>0.125</v>
      </c>
      <c r="C22" s="34" t="s">
        <v>28</v>
      </c>
    </row>
    <row r="23" spans="1:7" x14ac:dyDescent="0.25">
      <c r="A23" s="171" t="s">
        <v>317</v>
      </c>
      <c r="B23" s="35">
        <f>B18-B22*B17</f>
        <v>1.25</v>
      </c>
      <c r="C23" s="34" t="s">
        <v>27</v>
      </c>
    </row>
    <row r="25" spans="1:7" ht="13" x14ac:dyDescent="0.3">
      <c r="A25" s="7" t="s">
        <v>26</v>
      </c>
      <c r="G25" s="33"/>
    </row>
    <row r="26" spans="1:7" x14ac:dyDescent="0.25">
      <c r="A26" s="9" t="s">
        <v>25</v>
      </c>
      <c r="G26" s="32"/>
    </row>
    <row r="27" spans="1:7" x14ac:dyDescent="0.25">
      <c r="A27" s="9" t="s">
        <v>24</v>
      </c>
      <c r="G27" s="32"/>
    </row>
    <row r="28" spans="1:7" x14ac:dyDescent="0.25">
      <c r="A28" s="9" t="s">
        <v>23</v>
      </c>
    </row>
    <row r="29" spans="1:7" x14ac:dyDescent="0.25">
      <c r="A29" s="9" t="s">
        <v>22</v>
      </c>
    </row>
    <row r="31" spans="1:7" x14ac:dyDescent="0.25">
      <c r="A31" s="9" t="s">
        <v>21</v>
      </c>
      <c r="B31" s="1" t="s">
        <v>13</v>
      </c>
      <c r="C31" s="1" t="s">
        <v>12</v>
      </c>
      <c r="D31" s="1" t="s">
        <v>15</v>
      </c>
      <c r="E31" s="1" t="s">
        <v>11</v>
      </c>
    </row>
    <row r="32" spans="1:7" x14ac:dyDescent="0.25">
      <c r="A32" s="31" t="s">
        <v>20</v>
      </c>
      <c r="B32" s="16">
        <f>(B22-1)</f>
        <v>-0.875</v>
      </c>
      <c r="C32" s="16">
        <f>B22</f>
        <v>0.125</v>
      </c>
      <c r="D32" s="16">
        <f>B22</f>
        <v>0.125</v>
      </c>
      <c r="E32" s="30">
        <v>0</v>
      </c>
    </row>
    <row r="33" spans="1:9" x14ac:dyDescent="0.25">
      <c r="A33" s="29" t="s">
        <v>19</v>
      </c>
      <c r="B33" s="14">
        <f>B23</f>
        <v>1.25</v>
      </c>
      <c r="C33" s="14">
        <f>B23</f>
        <v>1.25</v>
      </c>
      <c r="D33" s="14">
        <f>(B23-B19)</f>
        <v>-2.0499999999999998</v>
      </c>
      <c r="E33" s="28">
        <v>0</v>
      </c>
      <c r="F33" s="1"/>
      <c r="G33" s="1"/>
      <c r="H33" s="1"/>
      <c r="I33" s="27"/>
    </row>
    <row r="34" spans="1:9" x14ac:dyDescent="0.25">
      <c r="A34" s="26" t="s">
        <v>18</v>
      </c>
      <c r="B34" s="25">
        <v>1</v>
      </c>
      <c r="C34" s="25">
        <v>0</v>
      </c>
      <c r="D34" s="25">
        <v>0</v>
      </c>
      <c r="E34" s="24">
        <f>1/10000</f>
        <v>1E-4</v>
      </c>
      <c r="F34" s="23"/>
      <c r="G34" s="23"/>
      <c r="H34" s="23"/>
    </row>
    <row r="35" spans="1:9" x14ac:dyDescent="0.25">
      <c r="F35" s="23"/>
      <c r="G35" s="23"/>
      <c r="H35" s="23"/>
    </row>
    <row r="36" spans="1:9" ht="13" x14ac:dyDescent="0.3">
      <c r="A36" s="7" t="s">
        <v>17</v>
      </c>
      <c r="F36" s="23"/>
      <c r="G36" s="23"/>
    </row>
    <row r="37" spans="1:9" x14ac:dyDescent="0.25">
      <c r="B37" s="1" t="s">
        <v>11</v>
      </c>
      <c r="C37" s="1" t="s">
        <v>12</v>
      </c>
      <c r="D37" s="1" t="s">
        <v>15</v>
      </c>
    </row>
    <row r="38" spans="1:9" x14ac:dyDescent="0.25">
      <c r="A38" s="490" t="s">
        <v>16</v>
      </c>
      <c r="B38" s="22">
        <f>E32</f>
        <v>0</v>
      </c>
      <c r="C38" s="16">
        <f t="shared" ref="C38:D40" si="0">C32</f>
        <v>0.125</v>
      </c>
      <c r="D38" s="21">
        <f t="shared" si="0"/>
        <v>0.125</v>
      </c>
    </row>
    <row r="39" spans="1:9" x14ac:dyDescent="0.25">
      <c r="A39" s="491"/>
      <c r="B39" s="20">
        <f>E33</f>
        <v>0</v>
      </c>
      <c r="C39" s="14">
        <f t="shared" si="0"/>
        <v>1.25</v>
      </c>
      <c r="D39" s="19">
        <f t="shared" si="0"/>
        <v>-2.0499999999999998</v>
      </c>
    </row>
    <row r="40" spans="1:9" x14ac:dyDescent="0.25">
      <c r="A40" s="492"/>
      <c r="B40" s="18">
        <f>E34</f>
        <v>1E-4</v>
      </c>
      <c r="C40" s="12">
        <f t="shared" si="0"/>
        <v>0</v>
      </c>
      <c r="D40" s="17">
        <f t="shared" si="0"/>
        <v>0</v>
      </c>
    </row>
    <row r="41" spans="1:9" x14ac:dyDescent="0.25">
      <c r="B41" s="1" t="s">
        <v>13</v>
      </c>
      <c r="C41" s="1" t="s">
        <v>11</v>
      </c>
      <c r="D41" s="1" t="s">
        <v>15</v>
      </c>
    </row>
    <row r="42" spans="1:9" x14ac:dyDescent="0.25">
      <c r="A42" s="490" t="s">
        <v>14</v>
      </c>
      <c r="B42" s="16">
        <f>B32</f>
        <v>-0.875</v>
      </c>
      <c r="C42" s="22">
        <f>E32</f>
        <v>0</v>
      </c>
      <c r="D42" s="21">
        <f>D38</f>
        <v>0.125</v>
      </c>
    </row>
    <row r="43" spans="1:9" x14ac:dyDescent="0.25">
      <c r="A43" s="491"/>
      <c r="B43" s="14">
        <f>B33</f>
        <v>1.25</v>
      </c>
      <c r="C43" s="20">
        <f>E33</f>
        <v>0</v>
      </c>
      <c r="D43" s="19">
        <f>D39</f>
        <v>-2.0499999999999998</v>
      </c>
    </row>
    <row r="44" spans="1:9" x14ac:dyDescent="0.25">
      <c r="A44" s="492"/>
      <c r="B44" s="12">
        <f>B34</f>
        <v>1</v>
      </c>
      <c r="C44" s="18">
        <f>E34</f>
        <v>1E-4</v>
      </c>
      <c r="D44" s="17">
        <f>D40</f>
        <v>0</v>
      </c>
    </row>
    <row r="45" spans="1:9" x14ac:dyDescent="0.25">
      <c r="B45" s="1" t="s">
        <v>13</v>
      </c>
      <c r="C45" s="1" t="s">
        <v>12</v>
      </c>
      <c r="D45" s="1" t="s">
        <v>11</v>
      </c>
    </row>
    <row r="46" spans="1:9" x14ac:dyDescent="0.25">
      <c r="A46" s="490" t="s">
        <v>10</v>
      </c>
      <c r="B46" s="16">
        <f>B42</f>
        <v>-0.875</v>
      </c>
      <c r="C46" s="16">
        <f>C38</f>
        <v>0.125</v>
      </c>
      <c r="D46" s="15">
        <f>E32</f>
        <v>0</v>
      </c>
    </row>
    <row r="47" spans="1:9" x14ac:dyDescent="0.25">
      <c r="A47" s="491"/>
      <c r="B47" s="14">
        <f>B43</f>
        <v>1.25</v>
      </c>
      <c r="C47" s="14">
        <f>C39</f>
        <v>1.25</v>
      </c>
      <c r="D47" s="13">
        <f>E33</f>
        <v>0</v>
      </c>
    </row>
    <row r="48" spans="1:9" x14ac:dyDescent="0.25">
      <c r="A48" s="492"/>
      <c r="B48" s="12">
        <f>B44</f>
        <v>1</v>
      </c>
      <c r="C48" s="12">
        <f>C40</f>
        <v>0</v>
      </c>
      <c r="D48" s="11">
        <f>E34</f>
        <v>1E-4</v>
      </c>
    </row>
    <row r="49" spans="1:6" s="1" customFormat="1" x14ac:dyDescent="0.25">
      <c r="A49" s="9"/>
    </row>
    <row r="50" spans="1:6" s="1" customFormat="1" ht="25" x14ac:dyDescent="0.25">
      <c r="A50" s="10" t="s">
        <v>9</v>
      </c>
      <c r="B50" s="1">
        <f>MDETERM(B32:D34)</f>
        <v>-0.41250000000000009</v>
      </c>
    </row>
    <row r="51" spans="1:6" s="1" customFormat="1" x14ac:dyDescent="0.25">
      <c r="A51" s="9" t="s">
        <v>8</v>
      </c>
      <c r="B51" s="8">
        <f>MDETERM(B38:D40)/B50</f>
        <v>9.9999999999999964E-5</v>
      </c>
    </row>
    <row r="52" spans="1:6" s="1" customFormat="1" x14ac:dyDescent="0.25">
      <c r="A52" s="9" t="s">
        <v>7</v>
      </c>
      <c r="B52" s="8">
        <f>MDETERM(B42:D44)/B50</f>
        <v>3.9696969696969685E-4</v>
      </c>
    </row>
    <row r="53" spans="1:6" s="1" customFormat="1" x14ac:dyDescent="0.25">
      <c r="A53" s="9" t="s">
        <v>6</v>
      </c>
      <c r="B53" s="8">
        <f>MDETERM(B46:D48)/B50</f>
        <v>3.0303030303030298E-4</v>
      </c>
    </row>
    <row r="55" spans="1:6" s="1" customFormat="1" ht="13" x14ac:dyDescent="0.3">
      <c r="A55" s="7" t="s">
        <v>5</v>
      </c>
    </row>
    <row r="56" spans="1:6" s="1" customFormat="1" ht="13" x14ac:dyDescent="0.3">
      <c r="A56" s="6" t="s">
        <v>4</v>
      </c>
      <c r="B56" s="394">
        <f>IF(B51=0,1000000000000000,1/B51)</f>
        <v>10000.000000000004</v>
      </c>
      <c r="C56" s="235" t="s">
        <v>243</v>
      </c>
      <c r="E56" s="38" t="s">
        <v>214</v>
      </c>
    </row>
    <row r="57" spans="1:6" s="1" customFormat="1" ht="13" x14ac:dyDescent="0.3">
      <c r="A57" s="5" t="s">
        <v>3</v>
      </c>
      <c r="B57" s="395">
        <f t="shared" ref="B57:B58" si="1">IF(B52=0,1000000000000000,1/B52)</f>
        <v>2519.0839694656497</v>
      </c>
      <c r="C57" s="236" t="s">
        <v>243</v>
      </c>
    </row>
    <row r="58" spans="1:6" s="1" customFormat="1" ht="13" x14ac:dyDescent="0.3">
      <c r="A58" s="4" t="s">
        <v>2</v>
      </c>
      <c r="B58" s="396">
        <f t="shared" si="1"/>
        <v>3300.0000000000005</v>
      </c>
      <c r="C58" s="237" t="s">
        <v>243</v>
      </c>
    </row>
    <row r="59" spans="1:6" s="1" customFormat="1" x14ac:dyDescent="0.25">
      <c r="A59" s="3" t="s">
        <v>0</v>
      </c>
    </row>
    <row r="61" spans="1:6" s="1" customFormat="1" x14ac:dyDescent="0.25">
      <c r="A61" s="489" t="s">
        <v>303</v>
      </c>
      <c r="B61" s="489"/>
      <c r="C61" s="489"/>
      <c r="D61" s="322" t="s">
        <v>304</v>
      </c>
      <c r="E61" s="323"/>
      <c r="F61" s="323"/>
    </row>
    <row r="62" spans="1:6" s="1" customFormat="1" ht="13.5" thickBot="1" x14ac:dyDescent="0.35">
      <c r="A62" s="7" t="s">
        <v>283</v>
      </c>
      <c r="C62" s="2"/>
    </row>
    <row r="63" spans="1:6" s="1" customFormat="1" ht="13" x14ac:dyDescent="0.3">
      <c r="A63" s="310" t="s">
        <v>4</v>
      </c>
      <c r="B63" s="397">
        <f>B56</f>
        <v>10000.000000000004</v>
      </c>
      <c r="C63" s="311" t="s">
        <v>243</v>
      </c>
      <c r="D63" s="288" t="s">
        <v>281</v>
      </c>
    </row>
    <row r="64" spans="1:6" s="1" customFormat="1" ht="13" x14ac:dyDescent="0.3">
      <c r="A64" s="303" t="s">
        <v>3</v>
      </c>
      <c r="B64" s="381">
        <f>B57</f>
        <v>2519.0839694656497</v>
      </c>
      <c r="C64" s="312" t="s">
        <v>243</v>
      </c>
      <c r="D64" s="288" t="s">
        <v>282</v>
      </c>
    </row>
    <row r="65" spans="1:6" ht="13" x14ac:dyDescent="0.3">
      <c r="A65" s="303" t="s">
        <v>2</v>
      </c>
      <c r="B65" s="381">
        <f>B58</f>
        <v>3300.0000000000005</v>
      </c>
      <c r="C65" s="312" t="s">
        <v>243</v>
      </c>
      <c r="D65" s="288" t="s">
        <v>284</v>
      </c>
    </row>
    <row r="66" spans="1:6" ht="13.5" thickBot="1" x14ac:dyDescent="0.35">
      <c r="A66" s="304" t="s">
        <v>294</v>
      </c>
      <c r="B66" s="309">
        <f>B19</f>
        <v>3.3</v>
      </c>
      <c r="C66" s="313" t="s">
        <v>46</v>
      </c>
      <c r="D66" s="288" t="s">
        <v>295</v>
      </c>
    </row>
    <row r="67" spans="1:6" ht="13" thickBot="1" x14ac:dyDescent="0.3"/>
    <row r="68" spans="1:6" ht="13" x14ac:dyDescent="0.3">
      <c r="A68" s="55" t="s">
        <v>301</v>
      </c>
      <c r="B68" s="320" t="s">
        <v>35</v>
      </c>
      <c r="C68" s="320" t="s">
        <v>34</v>
      </c>
      <c r="D68" s="320" t="s">
        <v>273</v>
      </c>
      <c r="E68" s="305"/>
      <c r="F68" s="54"/>
    </row>
    <row r="69" spans="1:6" x14ac:dyDescent="0.25">
      <c r="A69" s="306" t="s">
        <v>33</v>
      </c>
      <c r="B69" s="63">
        <f>B17</f>
        <v>-10</v>
      </c>
      <c r="C69" s="63">
        <f>C17</f>
        <v>10</v>
      </c>
      <c r="D69" s="73" t="s">
        <v>61</v>
      </c>
      <c r="E69" s="307"/>
      <c r="F69" s="54"/>
    </row>
    <row r="70" spans="1:6" x14ac:dyDescent="0.25">
      <c r="A70" s="306" t="s">
        <v>32</v>
      </c>
      <c r="B70" s="308">
        <f>B69*$B75+$B76</f>
        <v>0</v>
      </c>
      <c r="C70" s="308">
        <f>C69*$B75+$B76</f>
        <v>2.5</v>
      </c>
      <c r="D70" s="73" t="s">
        <v>61</v>
      </c>
      <c r="E70" s="321" t="s">
        <v>302</v>
      </c>
      <c r="F70" s="54"/>
    </row>
    <row r="71" spans="1:6" ht="13" x14ac:dyDescent="0.3">
      <c r="A71" s="306"/>
      <c r="B71" s="318" t="s">
        <v>44</v>
      </c>
      <c r="C71" s="318" t="s">
        <v>59</v>
      </c>
      <c r="D71" s="319" t="s">
        <v>298</v>
      </c>
      <c r="E71" s="307"/>
      <c r="F71" s="54"/>
    </row>
    <row r="72" spans="1:6" ht="13" x14ac:dyDescent="0.3">
      <c r="A72" s="306" t="s">
        <v>292</v>
      </c>
      <c r="B72" s="398">
        <f>B63+B77</f>
        <v>11428.571428571433</v>
      </c>
      <c r="C72" s="286" t="s">
        <v>243</v>
      </c>
      <c r="D72" s="73" t="s">
        <v>299</v>
      </c>
      <c r="E72" s="315"/>
      <c r="F72" s="54"/>
    </row>
    <row r="73" spans="1:6" ht="13" x14ac:dyDescent="0.3">
      <c r="A73" s="306" t="s">
        <v>293</v>
      </c>
      <c r="B73" s="398">
        <f>1/(1/B63+1/B77)</f>
        <v>1250.0000000000002</v>
      </c>
      <c r="C73" s="286" t="s">
        <v>243</v>
      </c>
      <c r="D73" s="73" t="s">
        <v>300</v>
      </c>
      <c r="E73" s="315"/>
      <c r="F73" s="54"/>
    </row>
    <row r="74" spans="1:6" x14ac:dyDescent="0.25">
      <c r="A74" s="316" t="s">
        <v>285</v>
      </c>
      <c r="B74" s="79" t="s">
        <v>44</v>
      </c>
      <c r="C74" s="79" t="s">
        <v>45</v>
      </c>
      <c r="D74" s="46"/>
      <c r="E74" s="170"/>
    </row>
    <row r="75" spans="1:6" x14ac:dyDescent="0.25">
      <c r="A75" s="316" t="s">
        <v>287</v>
      </c>
      <c r="B75" s="400">
        <f>B77/(B63+B77)</f>
        <v>0.12499999999999999</v>
      </c>
      <c r="C75" s="314" t="s">
        <v>290</v>
      </c>
      <c r="D75" s="46"/>
      <c r="E75" s="170"/>
    </row>
    <row r="76" spans="1:6" x14ac:dyDescent="0.25">
      <c r="A76" s="316" t="s">
        <v>286</v>
      </c>
      <c r="B76" s="400">
        <f>B66*B78/(B65+B78)</f>
        <v>1.25</v>
      </c>
      <c r="C76" s="314" t="s">
        <v>291</v>
      </c>
      <c r="D76" s="46"/>
      <c r="E76" s="170"/>
    </row>
    <row r="77" spans="1:6" x14ac:dyDescent="0.25">
      <c r="A77" s="316" t="s">
        <v>288</v>
      </c>
      <c r="B77" s="374">
        <f>1/(1/B64+1/B65)</f>
        <v>1428.5714285714289</v>
      </c>
      <c r="C77" s="79" t="s">
        <v>296</v>
      </c>
      <c r="D77" s="46"/>
      <c r="E77" s="170"/>
    </row>
    <row r="78" spans="1:6" ht="13" thickBot="1" x14ac:dyDescent="0.3">
      <c r="A78" s="317" t="s">
        <v>289</v>
      </c>
      <c r="B78" s="399">
        <f>1/(1/B63+1/B64)</f>
        <v>2012.1951219512202</v>
      </c>
      <c r="C78" s="81" t="s">
        <v>297</v>
      </c>
      <c r="D78" s="259"/>
      <c r="E78" s="173"/>
    </row>
  </sheetData>
  <mergeCells count="6">
    <mergeCell ref="A61:C61"/>
    <mergeCell ref="A38:A40"/>
    <mergeCell ref="A42:A44"/>
    <mergeCell ref="A46:A48"/>
    <mergeCell ref="J2:N8"/>
    <mergeCell ref="C19:E19"/>
  </mergeCell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4"/>
  <sheetViews>
    <sheetView zoomScale="130" zoomScaleNormal="130" workbookViewId="0">
      <selection activeCell="E23" sqref="E23"/>
    </sheetView>
  </sheetViews>
  <sheetFormatPr defaultColWidth="8.81640625" defaultRowHeight="12.5" x14ac:dyDescent="0.25"/>
  <cols>
    <col min="1" max="1" width="23.453125" style="48" customWidth="1"/>
    <col min="2" max="3" width="12.453125" style="49" customWidth="1"/>
    <col min="4" max="4" width="21.54296875" style="49" customWidth="1"/>
    <col min="5" max="5" width="12.453125" style="48" customWidth="1"/>
    <col min="6" max="6" width="6.36328125" style="48" customWidth="1"/>
    <col min="7" max="7" width="19.81640625" style="48" bestFit="1" customWidth="1"/>
    <col min="8" max="16384" width="8.81640625" style="48"/>
  </cols>
  <sheetData>
    <row r="1" spans="1:12" ht="13" x14ac:dyDescent="0.3">
      <c r="A1" s="47" t="s">
        <v>98</v>
      </c>
      <c r="B1" s="288"/>
      <c r="C1" s="288"/>
      <c r="D1" s="288"/>
      <c r="E1" s="288"/>
      <c r="F1" s="288"/>
      <c r="G1" s="288"/>
      <c r="H1" s="42" t="s">
        <v>239</v>
      </c>
      <c r="I1" s="234">
        <v>1</v>
      </c>
      <c r="J1" s="9"/>
      <c r="K1" s="9"/>
      <c r="L1" s="9"/>
    </row>
    <row r="2" spans="1:12" x14ac:dyDescent="0.25">
      <c r="A2" s="288"/>
      <c r="B2" s="288"/>
      <c r="C2" s="288"/>
      <c r="D2" s="289" t="s">
        <v>238</v>
      </c>
      <c r="E2" s="289"/>
      <c r="F2" s="289"/>
      <c r="G2" s="290"/>
      <c r="H2" s="439" t="s">
        <v>240</v>
      </c>
      <c r="I2" s="439"/>
      <c r="J2" s="439"/>
      <c r="K2" s="439"/>
      <c r="L2" s="439"/>
    </row>
    <row r="3" spans="1:12" x14ac:dyDescent="0.25">
      <c r="A3" s="288"/>
      <c r="B3" s="288"/>
      <c r="C3" s="288"/>
      <c r="D3" s="497" t="s">
        <v>319</v>
      </c>
      <c r="E3" s="497"/>
      <c r="F3" s="497"/>
      <c r="G3" s="288"/>
      <c r="H3" s="439"/>
      <c r="I3" s="439"/>
      <c r="J3" s="439"/>
      <c r="K3" s="439"/>
      <c r="L3" s="439"/>
    </row>
    <row r="4" spans="1:12" ht="13" thickBot="1" x14ac:dyDescent="0.3">
      <c r="A4" s="288"/>
      <c r="B4" s="288"/>
      <c r="C4" s="288"/>
      <c r="D4" s="288"/>
      <c r="E4" s="288"/>
      <c r="F4" s="288"/>
      <c r="G4" s="288"/>
      <c r="H4" s="439"/>
      <c r="I4" s="439"/>
      <c r="J4" s="439"/>
      <c r="K4" s="439"/>
      <c r="L4" s="439"/>
    </row>
    <row r="5" spans="1:12" ht="13" x14ac:dyDescent="0.3">
      <c r="A5" s="288"/>
      <c r="B5" s="288"/>
      <c r="C5" s="288"/>
      <c r="D5" s="280" t="s">
        <v>36</v>
      </c>
      <c r="E5" s="281" t="s">
        <v>11</v>
      </c>
      <c r="F5" s="282"/>
      <c r="G5" s="288"/>
      <c r="H5" s="439"/>
      <c r="I5" s="439"/>
      <c r="J5" s="439"/>
      <c r="K5" s="439"/>
      <c r="L5" s="439"/>
    </row>
    <row r="6" spans="1:12" x14ac:dyDescent="0.25">
      <c r="A6" s="288"/>
      <c r="B6" s="288"/>
      <c r="C6" s="288"/>
      <c r="D6" s="283" t="s">
        <v>99</v>
      </c>
      <c r="E6" s="291">
        <v>5</v>
      </c>
      <c r="F6" s="292" t="s">
        <v>62</v>
      </c>
      <c r="G6" s="288"/>
      <c r="H6" s="439"/>
      <c r="I6" s="439"/>
      <c r="J6" s="439"/>
      <c r="K6" s="439"/>
      <c r="L6" s="439"/>
    </row>
    <row r="7" spans="1:12" x14ac:dyDescent="0.25">
      <c r="A7" s="288"/>
      <c r="B7" s="288"/>
      <c r="C7" s="288"/>
      <c r="D7" s="283" t="s">
        <v>32</v>
      </c>
      <c r="E7" s="291">
        <v>1.5</v>
      </c>
      <c r="F7" s="292" t="s">
        <v>62</v>
      </c>
      <c r="G7" s="288"/>
      <c r="H7" s="439"/>
      <c r="I7" s="439"/>
      <c r="J7" s="439"/>
      <c r="K7" s="439"/>
      <c r="L7" s="439"/>
    </row>
    <row r="8" spans="1:12" ht="13" thickBot="1" x14ac:dyDescent="0.3">
      <c r="A8" s="288"/>
      <c r="B8" s="288"/>
      <c r="C8" s="288"/>
      <c r="D8" s="284" t="s">
        <v>100</v>
      </c>
      <c r="E8" s="293">
        <v>1000</v>
      </c>
      <c r="F8" s="294" t="s">
        <v>243</v>
      </c>
      <c r="G8" s="288"/>
      <c r="H8" s="439"/>
      <c r="I8" s="439"/>
      <c r="J8" s="439"/>
      <c r="K8" s="439"/>
      <c r="L8" s="439"/>
    </row>
    <row r="9" spans="1:12" x14ac:dyDescent="0.25">
      <c r="A9" s="288"/>
      <c r="B9" s="288"/>
      <c r="C9" s="288"/>
      <c r="D9" s="50"/>
      <c r="E9" s="288"/>
      <c r="F9" s="288"/>
      <c r="G9" s="288"/>
      <c r="H9" s="288"/>
      <c r="I9" s="288"/>
      <c r="J9" s="288"/>
      <c r="K9" s="288"/>
      <c r="L9" s="288"/>
    </row>
    <row r="10" spans="1:12" x14ac:dyDescent="0.25">
      <c r="A10" s="288"/>
      <c r="B10" s="288"/>
      <c r="C10" s="288"/>
      <c r="D10" s="288"/>
      <c r="E10" s="288"/>
      <c r="F10" s="288"/>
      <c r="G10" s="288"/>
      <c r="H10" s="288"/>
      <c r="I10" s="288"/>
      <c r="J10" s="288"/>
      <c r="K10" s="288"/>
      <c r="L10" s="288"/>
    </row>
    <row r="11" spans="1:12" ht="13" thickBot="1" x14ac:dyDescent="0.3">
      <c r="A11" s="288"/>
      <c r="B11" s="288"/>
      <c r="C11" s="288"/>
      <c r="D11" s="288"/>
      <c r="E11" s="288"/>
      <c r="F11" s="288"/>
      <c r="G11" s="288"/>
      <c r="H11" s="288"/>
      <c r="I11" s="288"/>
      <c r="J11" s="288"/>
      <c r="K11" s="288"/>
      <c r="L11" s="288"/>
    </row>
    <row r="12" spans="1:12" x14ac:dyDescent="0.25">
      <c r="A12" s="288"/>
      <c r="B12" s="288"/>
      <c r="C12" s="288"/>
      <c r="D12" s="495" t="s">
        <v>186</v>
      </c>
      <c r="E12" s="496"/>
      <c r="F12" s="496"/>
      <c r="G12" s="295" t="s">
        <v>45</v>
      </c>
      <c r="H12" s="288"/>
      <c r="I12" s="288"/>
      <c r="J12" s="288"/>
      <c r="K12" s="288"/>
      <c r="L12" s="288"/>
    </row>
    <row r="13" spans="1:12" x14ac:dyDescent="0.25">
      <c r="A13" s="288"/>
      <c r="B13" s="288"/>
      <c r="C13" s="288"/>
      <c r="D13" s="285" t="s">
        <v>4</v>
      </c>
      <c r="E13" s="401">
        <f>E8*E6/E7</f>
        <v>3333.3333333333335</v>
      </c>
      <c r="F13" s="296" t="s">
        <v>243</v>
      </c>
      <c r="G13" s="297" t="s">
        <v>241</v>
      </c>
      <c r="H13" s="288"/>
      <c r="I13" s="288"/>
      <c r="J13" s="288"/>
      <c r="K13" s="288"/>
      <c r="L13" s="288"/>
    </row>
    <row r="14" spans="1:12" ht="13" thickBot="1" x14ac:dyDescent="0.3">
      <c r="A14" s="288"/>
      <c r="B14" s="288"/>
      <c r="C14" s="288"/>
      <c r="D14" s="287" t="s">
        <v>3</v>
      </c>
      <c r="E14" s="402">
        <f>E7*E13/(E6-E7)</f>
        <v>1428.5714285714287</v>
      </c>
      <c r="F14" s="298" t="s">
        <v>243</v>
      </c>
      <c r="G14" s="299" t="s">
        <v>242</v>
      </c>
      <c r="H14" s="288"/>
      <c r="I14" s="288"/>
      <c r="J14" s="288"/>
      <c r="K14" s="288"/>
      <c r="L14" s="288"/>
    </row>
    <row r="15" spans="1:12" x14ac:dyDescent="0.25">
      <c r="A15" s="288"/>
      <c r="B15" s="288"/>
      <c r="C15" s="288"/>
      <c r="D15" s="50"/>
      <c r="E15" s="288"/>
      <c r="F15" s="288"/>
      <c r="G15" s="288"/>
      <c r="H15" s="288"/>
      <c r="I15" s="288"/>
      <c r="J15" s="288"/>
      <c r="K15" s="288"/>
      <c r="L15" s="288"/>
    </row>
    <row r="16" spans="1:12" x14ac:dyDescent="0.25">
      <c r="A16" s="288"/>
      <c r="B16" s="50"/>
      <c r="C16" s="50"/>
      <c r="D16" s="50"/>
      <c r="E16" s="288"/>
      <c r="F16" s="288"/>
      <c r="G16" s="288"/>
      <c r="H16" s="288"/>
      <c r="I16" s="288"/>
      <c r="J16" s="288"/>
      <c r="K16" s="288"/>
      <c r="L16" s="288"/>
    </row>
    <row r="17" spans="1:12" x14ac:dyDescent="0.25">
      <c r="A17" s="288"/>
      <c r="B17" s="288"/>
      <c r="C17" s="288"/>
      <c r="D17" s="288"/>
      <c r="E17" s="288"/>
      <c r="F17" s="288"/>
      <c r="G17" s="288"/>
      <c r="H17" s="288"/>
      <c r="I17" s="288"/>
      <c r="J17" s="288"/>
      <c r="K17" s="288"/>
      <c r="L17" s="288"/>
    </row>
    <row r="18" spans="1:12" ht="13" x14ac:dyDescent="0.3">
      <c r="A18" s="47" t="s">
        <v>318</v>
      </c>
      <c r="B18" s="288"/>
      <c r="C18" s="288"/>
      <c r="D18" s="288"/>
      <c r="E18" s="288"/>
      <c r="F18" s="288"/>
      <c r="G18" s="288"/>
      <c r="H18" s="288"/>
      <c r="I18" s="288"/>
      <c r="J18" s="288"/>
      <c r="K18" s="288"/>
      <c r="L18" s="288"/>
    </row>
    <row r="19" spans="1:12" x14ac:dyDescent="0.25">
      <c r="A19" s="288"/>
      <c r="B19" s="288"/>
      <c r="C19" s="288"/>
      <c r="D19" s="289" t="s">
        <v>277</v>
      </c>
      <c r="E19" s="289"/>
      <c r="F19" s="289"/>
      <c r="G19" s="290"/>
      <c r="H19" s="288"/>
      <c r="I19" s="288"/>
      <c r="J19" s="288"/>
      <c r="K19" s="288"/>
      <c r="L19" s="288"/>
    </row>
    <row r="20" spans="1:12" x14ac:dyDescent="0.25">
      <c r="A20" s="288"/>
      <c r="B20" s="288"/>
      <c r="C20" s="288"/>
      <c r="D20" s="50"/>
      <c r="E20" s="288"/>
      <c r="F20" s="288"/>
      <c r="G20" s="288"/>
      <c r="H20" s="288"/>
      <c r="I20" s="288"/>
      <c r="J20" s="288"/>
      <c r="K20" s="288"/>
      <c r="L20" s="288"/>
    </row>
    <row r="21" spans="1:12" ht="13" thickBot="1" x14ac:dyDescent="0.3">
      <c r="A21" s="288"/>
      <c r="B21" s="288"/>
      <c r="C21" s="288"/>
      <c r="D21" s="288"/>
      <c r="E21" s="288"/>
      <c r="F21" s="288"/>
      <c r="G21" s="288"/>
      <c r="H21" s="288"/>
      <c r="I21" s="288"/>
      <c r="J21" s="288"/>
      <c r="K21" s="288"/>
      <c r="L21" s="288"/>
    </row>
    <row r="22" spans="1:12" ht="13" x14ac:dyDescent="0.3">
      <c r="A22" s="288"/>
      <c r="B22" s="288"/>
      <c r="C22" s="288"/>
      <c r="D22" s="280" t="s">
        <v>36</v>
      </c>
      <c r="E22" s="281" t="s">
        <v>11</v>
      </c>
      <c r="F22" s="282"/>
      <c r="G22" s="288"/>
      <c r="H22" s="288"/>
      <c r="I22" s="288"/>
      <c r="J22" s="288"/>
      <c r="K22" s="288"/>
      <c r="L22" s="288"/>
    </row>
    <row r="23" spans="1:12" x14ac:dyDescent="0.25">
      <c r="A23" s="288"/>
      <c r="B23" s="288"/>
      <c r="C23" s="288"/>
      <c r="D23" s="283" t="s">
        <v>99</v>
      </c>
      <c r="E23" s="300">
        <f>E6</f>
        <v>5</v>
      </c>
      <c r="F23" s="292" t="s">
        <v>62</v>
      </c>
      <c r="G23" s="288" t="s">
        <v>280</v>
      </c>
      <c r="H23" s="288"/>
      <c r="I23" s="288"/>
      <c r="J23" s="288"/>
      <c r="K23" s="288"/>
      <c r="L23" s="288"/>
    </row>
    <row r="24" spans="1:12" x14ac:dyDescent="0.25">
      <c r="A24" s="288"/>
      <c r="B24" s="288"/>
      <c r="C24" s="288"/>
      <c r="D24" s="283" t="s">
        <v>51</v>
      </c>
      <c r="E24" s="403">
        <f>E13</f>
        <v>3333.3333333333335</v>
      </c>
      <c r="F24" s="301" t="s">
        <v>243</v>
      </c>
      <c r="G24" s="288" t="s">
        <v>281</v>
      </c>
      <c r="H24" s="288"/>
      <c r="I24" s="288"/>
      <c r="J24" s="288"/>
      <c r="K24" s="288"/>
      <c r="L24" s="288"/>
    </row>
    <row r="25" spans="1:12" ht="13" thickBot="1" x14ac:dyDescent="0.3">
      <c r="A25" s="288"/>
      <c r="B25" s="288"/>
      <c r="C25" s="288"/>
      <c r="D25" s="284" t="s">
        <v>63</v>
      </c>
      <c r="E25" s="404">
        <f>E14</f>
        <v>1428.5714285714287</v>
      </c>
      <c r="F25" s="294" t="s">
        <v>243</v>
      </c>
      <c r="G25" s="288" t="s">
        <v>282</v>
      </c>
      <c r="H25" s="288"/>
      <c r="I25" s="288"/>
      <c r="J25" s="288"/>
      <c r="K25" s="288"/>
      <c r="L25" s="288"/>
    </row>
    <row r="26" spans="1:12" x14ac:dyDescent="0.25">
      <c r="A26" s="288"/>
      <c r="B26" s="288"/>
      <c r="C26" s="288"/>
      <c r="D26" s="288"/>
      <c r="E26" s="288"/>
      <c r="F26" s="288"/>
      <c r="G26" s="288"/>
      <c r="H26" s="288"/>
      <c r="I26" s="288"/>
      <c r="J26" s="288"/>
      <c r="K26" s="288"/>
      <c r="L26" s="288"/>
    </row>
    <row r="27" spans="1:12" x14ac:dyDescent="0.25">
      <c r="A27" s="288"/>
      <c r="B27" s="288"/>
      <c r="C27" s="288"/>
      <c r="D27" s="288"/>
      <c r="E27" s="288"/>
      <c r="F27" s="288"/>
      <c r="G27" s="288"/>
      <c r="H27" s="288"/>
      <c r="I27" s="288"/>
      <c r="J27" s="288"/>
      <c r="K27" s="288"/>
      <c r="L27" s="288"/>
    </row>
    <row r="28" spans="1:12" ht="13" thickBot="1" x14ac:dyDescent="0.3">
      <c r="A28" s="288"/>
      <c r="B28" s="288"/>
      <c r="C28" s="288"/>
      <c r="D28" s="288"/>
      <c r="E28" s="288"/>
      <c r="F28" s="288"/>
      <c r="G28" s="288"/>
      <c r="H28" s="288"/>
      <c r="I28" s="288"/>
      <c r="J28" s="288"/>
      <c r="K28" s="288"/>
      <c r="L28" s="288"/>
    </row>
    <row r="29" spans="1:12" x14ac:dyDescent="0.25">
      <c r="A29" s="288"/>
      <c r="B29" s="288"/>
      <c r="C29" s="288"/>
      <c r="D29" s="495" t="s">
        <v>274</v>
      </c>
      <c r="E29" s="496"/>
      <c r="F29" s="496"/>
      <c r="G29" s="295" t="s">
        <v>45</v>
      </c>
      <c r="H29" s="288"/>
      <c r="I29" s="288"/>
      <c r="J29" s="288"/>
      <c r="K29" s="288"/>
      <c r="L29" s="288"/>
    </row>
    <row r="30" spans="1:12" x14ac:dyDescent="0.25">
      <c r="A30" s="288"/>
      <c r="B30" s="288"/>
      <c r="C30" s="288"/>
      <c r="D30" s="285" t="s">
        <v>275</v>
      </c>
      <c r="E30" s="302">
        <f>E23*E25/(E24+E25)</f>
        <v>1.5</v>
      </c>
      <c r="F30" s="296" t="s">
        <v>62</v>
      </c>
      <c r="G30" s="297" t="s">
        <v>278</v>
      </c>
      <c r="H30" s="288"/>
      <c r="I30" s="288"/>
      <c r="J30" s="288"/>
      <c r="K30" s="288"/>
      <c r="L30" s="288"/>
    </row>
    <row r="31" spans="1:12" ht="13" thickBot="1" x14ac:dyDescent="0.3">
      <c r="A31" s="288"/>
      <c r="B31" s="288"/>
      <c r="C31" s="288"/>
      <c r="D31" s="287" t="s">
        <v>276</v>
      </c>
      <c r="E31" s="402">
        <f>1/(1/E24+1/E25)</f>
        <v>1000</v>
      </c>
      <c r="F31" s="298" t="s">
        <v>243</v>
      </c>
      <c r="G31" s="299" t="s">
        <v>279</v>
      </c>
      <c r="H31" s="288"/>
      <c r="I31" s="288"/>
      <c r="J31" s="288"/>
      <c r="K31" s="288"/>
      <c r="L31" s="288"/>
    </row>
    <row r="32" spans="1:12" ht="12.75" customHeight="1" x14ac:dyDescent="0.25">
      <c r="B32" s="48"/>
      <c r="C32" s="48"/>
    </row>
    <row r="35" spans="1:6" ht="12.75" customHeight="1" x14ac:dyDescent="0.25"/>
    <row r="37" spans="1:6" x14ac:dyDescent="0.25">
      <c r="A37" s="51"/>
      <c r="B37" s="53"/>
      <c r="C37" s="52"/>
      <c r="D37" s="48"/>
    </row>
    <row r="38" spans="1:6" x14ac:dyDescent="0.25">
      <c r="B38" s="48"/>
      <c r="C38" s="48"/>
      <c r="D38" s="48"/>
    </row>
    <row r="39" spans="1:6" ht="12.75" customHeight="1" x14ac:dyDescent="0.25">
      <c r="B39" s="48"/>
      <c r="C39" s="48"/>
      <c r="D39" s="48"/>
    </row>
    <row r="40" spans="1:6" x14ac:dyDescent="0.25">
      <c r="B40" s="48"/>
      <c r="C40" s="48"/>
      <c r="E40" s="49"/>
      <c r="F40" s="49"/>
    </row>
    <row r="41" spans="1:6" s="49" customFormat="1" x14ac:dyDescent="0.25"/>
    <row r="42" spans="1:6" s="49" customFormat="1" x14ac:dyDescent="0.25"/>
    <row r="43" spans="1:6" s="49" customFormat="1" x14ac:dyDescent="0.25"/>
    <row r="44" spans="1:6" s="49" customFormat="1" x14ac:dyDescent="0.25"/>
    <row r="45" spans="1:6" s="49" customFormat="1" x14ac:dyDescent="0.25">
      <c r="D45" s="48"/>
      <c r="E45" s="48"/>
      <c r="F45" s="48"/>
    </row>
    <row r="46" spans="1:6" x14ac:dyDescent="0.25">
      <c r="B46" s="48"/>
      <c r="C46" s="48"/>
      <c r="E46" s="49"/>
      <c r="F46" s="49"/>
    </row>
    <row r="47" spans="1:6" s="49" customFormat="1" x14ac:dyDescent="0.25"/>
    <row r="48" spans="1:6" s="49" customFormat="1" x14ac:dyDescent="0.25"/>
    <row r="49" spans="2:6" s="49" customFormat="1" x14ac:dyDescent="0.25"/>
    <row r="50" spans="2:6" s="49" customFormat="1" x14ac:dyDescent="0.25"/>
    <row r="51" spans="2:6" s="49" customFormat="1" x14ac:dyDescent="0.25">
      <c r="D51" s="48"/>
      <c r="E51" s="48"/>
      <c r="F51" s="48"/>
    </row>
    <row r="52" spans="2:6" x14ac:dyDescent="0.25">
      <c r="B52" s="48"/>
      <c r="C52" s="48"/>
      <c r="E52" s="49"/>
      <c r="F52" s="49"/>
    </row>
    <row r="53" spans="2:6" s="49" customFormat="1" x14ac:dyDescent="0.25"/>
    <row r="54" spans="2:6" s="49" customFormat="1" x14ac:dyDescent="0.25"/>
    <row r="55" spans="2:6" s="49" customFormat="1" x14ac:dyDescent="0.25"/>
    <row r="56" spans="2:6" s="49" customFormat="1" x14ac:dyDescent="0.25">
      <c r="D56" s="48"/>
      <c r="E56" s="48"/>
      <c r="F56" s="48"/>
    </row>
    <row r="57" spans="2:6" x14ac:dyDescent="0.25">
      <c r="B57" s="48"/>
      <c r="C57" s="48"/>
      <c r="D57" s="48"/>
    </row>
    <row r="58" spans="2:6" x14ac:dyDescent="0.25">
      <c r="B58" s="48"/>
      <c r="C58" s="48"/>
      <c r="D58" s="48"/>
    </row>
    <row r="59" spans="2:6" x14ac:dyDescent="0.25">
      <c r="B59" s="48"/>
      <c r="C59" s="48"/>
      <c r="D59" s="48"/>
    </row>
    <row r="60" spans="2:6" x14ac:dyDescent="0.25">
      <c r="B60" s="48"/>
      <c r="C60" s="48"/>
      <c r="D60" s="48"/>
    </row>
    <row r="61" spans="2:6" x14ac:dyDescent="0.25">
      <c r="B61" s="48"/>
      <c r="C61" s="48"/>
      <c r="D61" s="48"/>
    </row>
    <row r="62" spans="2:6" x14ac:dyDescent="0.25">
      <c r="B62" s="48"/>
      <c r="C62" s="48"/>
      <c r="D62" s="48"/>
    </row>
    <row r="63" spans="2:6" x14ac:dyDescent="0.25">
      <c r="B63" s="48"/>
      <c r="C63" s="48"/>
      <c r="D63" s="48"/>
    </row>
    <row r="64" spans="2:6" x14ac:dyDescent="0.25">
      <c r="B64" s="48"/>
      <c r="C64" s="48"/>
    </row>
  </sheetData>
  <mergeCells count="4">
    <mergeCell ref="H2:L8"/>
    <mergeCell ref="D12:F12"/>
    <mergeCell ref="D29:F29"/>
    <mergeCell ref="D3:F3"/>
  </mergeCells>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34"/>
  <sheetViews>
    <sheetView workbookViewId="0">
      <selection activeCell="E25" sqref="E25"/>
    </sheetView>
  </sheetViews>
  <sheetFormatPr defaultColWidth="8.81640625" defaultRowHeight="14.5" x14ac:dyDescent="0.25"/>
  <cols>
    <col min="1" max="1" width="1.81640625" style="238" customWidth="1"/>
    <col min="2" max="7" width="8.81640625" style="238"/>
    <col min="8" max="8" width="5.81640625" style="238" customWidth="1"/>
    <col min="9" max="16384" width="8.81640625" style="238"/>
  </cols>
  <sheetData>
    <row r="1" spans="2:14" ht="15" customHeight="1" thickBot="1" x14ac:dyDescent="0.3">
      <c r="B1" s="251" t="s">
        <v>246</v>
      </c>
    </row>
    <row r="2" spans="2:14" ht="33.5" x14ac:dyDescent="0.25">
      <c r="B2" s="498" t="s">
        <v>244</v>
      </c>
      <c r="C2" s="499"/>
      <c r="D2" s="499"/>
      <c r="E2" s="499"/>
      <c r="F2" s="499"/>
      <c r="G2" s="500"/>
      <c r="I2" s="498" t="s">
        <v>245</v>
      </c>
      <c r="J2" s="499"/>
      <c r="K2" s="499"/>
      <c r="L2" s="499"/>
      <c r="M2" s="499"/>
      <c r="N2" s="500"/>
    </row>
    <row r="3" spans="2:14" ht="15.5" x14ac:dyDescent="0.25">
      <c r="B3" s="241">
        <v>100</v>
      </c>
      <c r="C3" s="239">
        <v>147</v>
      </c>
      <c r="D3" s="239">
        <v>215</v>
      </c>
      <c r="E3" s="239">
        <v>316</v>
      </c>
      <c r="F3" s="239">
        <v>464</v>
      </c>
      <c r="G3" s="242">
        <v>681</v>
      </c>
      <c r="I3" s="246">
        <v>100</v>
      </c>
      <c r="J3" s="240">
        <v>147</v>
      </c>
      <c r="K3" s="240">
        <v>215</v>
      </c>
      <c r="L3" s="240">
        <v>316</v>
      </c>
      <c r="M3" s="240">
        <v>464</v>
      </c>
      <c r="N3" s="247">
        <v>681</v>
      </c>
    </row>
    <row r="4" spans="2:14" ht="15.5" x14ac:dyDescent="0.25">
      <c r="B4" s="241">
        <v>102</v>
      </c>
      <c r="C4" s="239">
        <v>150</v>
      </c>
      <c r="D4" s="239">
        <v>221</v>
      </c>
      <c r="E4" s="239">
        <v>324</v>
      </c>
      <c r="F4" s="239">
        <v>475</v>
      </c>
      <c r="G4" s="242">
        <v>698</v>
      </c>
      <c r="I4" s="246">
        <v>101</v>
      </c>
      <c r="J4" s="240">
        <v>149</v>
      </c>
      <c r="K4" s="240">
        <v>218</v>
      </c>
      <c r="L4" s="240">
        <v>320</v>
      </c>
      <c r="M4" s="240">
        <v>470</v>
      </c>
      <c r="N4" s="247">
        <v>690</v>
      </c>
    </row>
    <row r="5" spans="2:14" ht="15.5" x14ac:dyDescent="0.25">
      <c r="B5" s="241">
        <v>105</v>
      </c>
      <c r="C5" s="239">
        <v>154</v>
      </c>
      <c r="D5" s="239">
        <v>226</v>
      </c>
      <c r="E5" s="239">
        <v>332</v>
      </c>
      <c r="F5" s="239">
        <v>487</v>
      </c>
      <c r="G5" s="242">
        <v>715</v>
      </c>
      <c r="I5" s="246">
        <v>102</v>
      </c>
      <c r="J5" s="240">
        <v>150</v>
      </c>
      <c r="K5" s="240">
        <v>221</v>
      </c>
      <c r="L5" s="240">
        <v>324</v>
      </c>
      <c r="M5" s="240">
        <v>475</v>
      </c>
      <c r="N5" s="247">
        <v>698</v>
      </c>
    </row>
    <row r="6" spans="2:14" ht="15.5" x14ac:dyDescent="0.25">
      <c r="B6" s="241">
        <v>107</v>
      </c>
      <c r="C6" s="239">
        <v>158</v>
      </c>
      <c r="D6" s="239">
        <v>232</v>
      </c>
      <c r="E6" s="239">
        <v>340</v>
      </c>
      <c r="F6" s="239">
        <v>499</v>
      </c>
      <c r="G6" s="242">
        <v>732</v>
      </c>
      <c r="I6" s="246">
        <v>104</v>
      </c>
      <c r="J6" s="240">
        <v>152</v>
      </c>
      <c r="K6" s="240">
        <v>223</v>
      </c>
      <c r="L6" s="240">
        <v>328</v>
      </c>
      <c r="M6" s="240">
        <v>481</v>
      </c>
      <c r="N6" s="247">
        <v>706</v>
      </c>
    </row>
    <row r="7" spans="2:14" ht="15.5" x14ac:dyDescent="0.25">
      <c r="B7" s="241">
        <v>110</v>
      </c>
      <c r="C7" s="239">
        <v>162</v>
      </c>
      <c r="D7" s="239">
        <v>237</v>
      </c>
      <c r="E7" s="239">
        <v>348</v>
      </c>
      <c r="F7" s="239">
        <v>511</v>
      </c>
      <c r="G7" s="242">
        <v>750</v>
      </c>
      <c r="I7" s="246">
        <v>105</v>
      </c>
      <c r="J7" s="240">
        <v>154</v>
      </c>
      <c r="K7" s="240">
        <v>226</v>
      </c>
      <c r="L7" s="240">
        <v>332</v>
      </c>
      <c r="M7" s="240">
        <v>487</v>
      </c>
      <c r="N7" s="247">
        <v>715</v>
      </c>
    </row>
    <row r="8" spans="2:14" ht="15.5" x14ac:dyDescent="0.25">
      <c r="B8" s="241">
        <v>113</v>
      </c>
      <c r="C8" s="239">
        <v>165</v>
      </c>
      <c r="D8" s="239">
        <v>243</v>
      </c>
      <c r="E8" s="239">
        <v>357</v>
      </c>
      <c r="F8" s="239">
        <v>523</v>
      </c>
      <c r="G8" s="242">
        <v>768</v>
      </c>
      <c r="I8" s="246">
        <v>106</v>
      </c>
      <c r="J8" s="240">
        <v>156</v>
      </c>
      <c r="K8" s="240">
        <v>229</v>
      </c>
      <c r="L8" s="240">
        <v>336</v>
      </c>
      <c r="M8" s="240">
        <v>493</v>
      </c>
      <c r="N8" s="247">
        <v>723</v>
      </c>
    </row>
    <row r="9" spans="2:14" ht="15.5" x14ac:dyDescent="0.25">
      <c r="B9" s="241">
        <v>115</v>
      </c>
      <c r="C9" s="239">
        <v>169</v>
      </c>
      <c r="D9" s="239">
        <v>249</v>
      </c>
      <c r="E9" s="239">
        <v>365</v>
      </c>
      <c r="F9" s="239">
        <v>536</v>
      </c>
      <c r="G9" s="242">
        <v>787</v>
      </c>
      <c r="I9" s="246">
        <v>107</v>
      </c>
      <c r="J9" s="240">
        <v>158</v>
      </c>
      <c r="K9" s="240">
        <v>232</v>
      </c>
      <c r="L9" s="240">
        <v>340</v>
      </c>
      <c r="M9" s="240">
        <v>499</v>
      </c>
      <c r="N9" s="247">
        <v>732</v>
      </c>
    </row>
    <row r="10" spans="2:14" ht="15.5" x14ac:dyDescent="0.25">
      <c r="B10" s="241">
        <v>118</v>
      </c>
      <c r="C10" s="239">
        <v>174</v>
      </c>
      <c r="D10" s="239">
        <v>255</v>
      </c>
      <c r="E10" s="239">
        <v>374</v>
      </c>
      <c r="F10" s="239">
        <v>549</v>
      </c>
      <c r="G10" s="242">
        <v>806</v>
      </c>
      <c r="I10" s="246">
        <v>109</v>
      </c>
      <c r="J10" s="240">
        <v>160</v>
      </c>
      <c r="K10" s="240">
        <v>234</v>
      </c>
      <c r="L10" s="240">
        <v>344</v>
      </c>
      <c r="M10" s="240">
        <v>505</v>
      </c>
      <c r="N10" s="247">
        <v>741</v>
      </c>
    </row>
    <row r="11" spans="2:14" ht="15.5" x14ac:dyDescent="0.25">
      <c r="B11" s="241">
        <v>121</v>
      </c>
      <c r="C11" s="239">
        <v>178</v>
      </c>
      <c r="D11" s="239">
        <v>261</v>
      </c>
      <c r="E11" s="239">
        <v>383</v>
      </c>
      <c r="F11" s="239">
        <v>562</v>
      </c>
      <c r="G11" s="242">
        <v>825</v>
      </c>
      <c r="I11" s="246">
        <v>110</v>
      </c>
      <c r="J11" s="240">
        <v>162</v>
      </c>
      <c r="K11" s="240">
        <v>237</v>
      </c>
      <c r="L11" s="240">
        <v>348</v>
      </c>
      <c r="M11" s="240">
        <v>511</v>
      </c>
      <c r="N11" s="247">
        <v>750</v>
      </c>
    </row>
    <row r="12" spans="2:14" ht="15.5" x14ac:dyDescent="0.25">
      <c r="B12" s="241">
        <v>124</v>
      </c>
      <c r="C12" s="239">
        <v>182</v>
      </c>
      <c r="D12" s="239">
        <v>267</v>
      </c>
      <c r="E12" s="239">
        <v>392</v>
      </c>
      <c r="F12" s="239">
        <v>576</v>
      </c>
      <c r="G12" s="242">
        <v>845</v>
      </c>
      <c r="I12" s="246">
        <v>111</v>
      </c>
      <c r="J12" s="240">
        <v>164</v>
      </c>
      <c r="K12" s="240">
        <v>240</v>
      </c>
      <c r="L12" s="240">
        <v>352</v>
      </c>
      <c r="M12" s="240">
        <v>517</v>
      </c>
      <c r="N12" s="247">
        <v>759</v>
      </c>
    </row>
    <row r="13" spans="2:14" ht="15.5" x14ac:dyDescent="0.25">
      <c r="B13" s="241">
        <v>127</v>
      </c>
      <c r="C13" s="239">
        <v>187</v>
      </c>
      <c r="D13" s="239">
        <v>274</v>
      </c>
      <c r="E13" s="239">
        <v>402</v>
      </c>
      <c r="F13" s="239">
        <v>590</v>
      </c>
      <c r="G13" s="242">
        <v>866</v>
      </c>
      <c r="I13" s="246">
        <v>113</v>
      </c>
      <c r="J13" s="240">
        <v>165</v>
      </c>
      <c r="K13" s="240">
        <v>243</v>
      </c>
      <c r="L13" s="240">
        <v>357</v>
      </c>
      <c r="M13" s="240">
        <v>523</v>
      </c>
      <c r="N13" s="247">
        <v>768</v>
      </c>
    </row>
    <row r="14" spans="2:14" ht="15.5" x14ac:dyDescent="0.25">
      <c r="B14" s="241">
        <v>130</v>
      </c>
      <c r="C14" s="239">
        <v>191</v>
      </c>
      <c r="D14" s="239">
        <v>280</v>
      </c>
      <c r="E14" s="239">
        <v>412</v>
      </c>
      <c r="F14" s="239">
        <v>604</v>
      </c>
      <c r="G14" s="242">
        <v>887</v>
      </c>
      <c r="I14" s="246">
        <v>114</v>
      </c>
      <c r="J14" s="240">
        <v>167</v>
      </c>
      <c r="K14" s="240">
        <v>246</v>
      </c>
      <c r="L14" s="240">
        <v>361</v>
      </c>
      <c r="M14" s="240">
        <v>530</v>
      </c>
      <c r="N14" s="247">
        <v>777</v>
      </c>
    </row>
    <row r="15" spans="2:14" ht="15.5" x14ac:dyDescent="0.25">
      <c r="B15" s="241">
        <v>133</v>
      </c>
      <c r="C15" s="239">
        <v>196</v>
      </c>
      <c r="D15" s="239">
        <v>287</v>
      </c>
      <c r="E15" s="239">
        <v>422</v>
      </c>
      <c r="F15" s="239">
        <v>619</v>
      </c>
      <c r="G15" s="242">
        <v>909</v>
      </c>
      <c r="I15" s="246">
        <v>115</v>
      </c>
      <c r="J15" s="240">
        <v>169</v>
      </c>
      <c r="K15" s="240">
        <v>249</v>
      </c>
      <c r="L15" s="240">
        <v>365</v>
      </c>
      <c r="M15" s="240">
        <v>536</v>
      </c>
      <c r="N15" s="247">
        <v>787</v>
      </c>
    </row>
    <row r="16" spans="2:14" ht="15.5" x14ac:dyDescent="0.25">
      <c r="B16" s="241">
        <v>137</v>
      </c>
      <c r="C16" s="239">
        <v>200</v>
      </c>
      <c r="D16" s="239">
        <v>294</v>
      </c>
      <c r="E16" s="239">
        <v>432</v>
      </c>
      <c r="F16" s="239">
        <v>634</v>
      </c>
      <c r="G16" s="242">
        <v>931</v>
      </c>
      <c r="I16" s="246">
        <v>117</v>
      </c>
      <c r="J16" s="240">
        <v>172</v>
      </c>
      <c r="K16" s="240">
        <v>252</v>
      </c>
      <c r="L16" s="240">
        <v>370</v>
      </c>
      <c r="M16" s="240">
        <v>542</v>
      </c>
      <c r="N16" s="247">
        <v>796</v>
      </c>
    </row>
    <row r="17" spans="2:14" ht="15.5" x14ac:dyDescent="0.25">
      <c r="B17" s="241">
        <v>140</v>
      </c>
      <c r="C17" s="239">
        <v>205</v>
      </c>
      <c r="D17" s="239">
        <v>301</v>
      </c>
      <c r="E17" s="239">
        <v>442</v>
      </c>
      <c r="F17" s="239">
        <v>649</v>
      </c>
      <c r="G17" s="242">
        <v>953</v>
      </c>
      <c r="I17" s="246">
        <v>118</v>
      </c>
      <c r="J17" s="240">
        <v>174</v>
      </c>
      <c r="K17" s="240">
        <v>255</v>
      </c>
      <c r="L17" s="240">
        <v>374</v>
      </c>
      <c r="M17" s="240">
        <v>549</v>
      </c>
      <c r="N17" s="247">
        <v>806</v>
      </c>
    </row>
    <row r="18" spans="2:14" ht="16" thickBot="1" x14ac:dyDescent="0.3">
      <c r="B18" s="243">
        <v>143</v>
      </c>
      <c r="C18" s="244">
        <v>210</v>
      </c>
      <c r="D18" s="244">
        <v>309</v>
      </c>
      <c r="E18" s="244">
        <v>452</v>
      </c>
      <c r="F18" s="244">
        <v>665</v>
      </c>
      <c r="G18" s="245">
        <v>976</v>
      </c>
      <c r="I18" s="246">
        <v>120</v>
      </c>
      <c r="J18" s="240">
        <v>176</v>
      </c>
      <c r="K18" s="240">
        <v>258</v>
      </c>
      <c r="L18" s="240">
        <v>379</v>
      </c>
      <c r="M18" s="240">
        <v>556</v>
      </c>
      <c r="N18" s="247">
        <v>816</v>
      </c>
    </row>
    <row r="19" spans="2:14" x14ac:dyDescent="0.25">
      <c r="I19" s="246">
        <v>121</v>
      </c>
      <c r="J19" s="240">
        <v>178</v>
      </c>
      <c r="K19" s="240">
        <v>261</v>
      </c>
      <c r="L19" s="240">
        <v>383</v>
      </c>
      <c r="M19" s="240">
        <v>562</v>
      </c>
      <c r="N19" s="247">
        <v>825</v>
      </c>
    </row>
    <row r="20" spans="2:14" x14ac:dyDescent="0.25">
      <c r="I20" s="246">
        <v>123</v>
      </c>
      <c r="J20" s="240">
        <v>180</v>
      </c>
      <c r="K20" s="240">
        <v>264</v>
      </c>
      <c r="L20" s="240">
        <v>388</v>
      </c>
      <c r="M20" s="240">
        <v>569</v>
      </c>
      <c r="N20" s="247">
        <v>835</v>
      </c>
    </row>
    <row r="21" spans="2:14" x14ac:dyDescent="0.25">
      <c r="I21" s="246">
        <v>124</v>
      </c>
      <c r="J21" s="240">
        <v>182</v>
      </c>
      <c r="K21" s="240">
        <v>267</v>
      </c>
      <c r="L21" s="240">
        <v>392</v>
      </c>
      <c r="M21" s="240">
        <v>576</v>
      </c>
      <c r="N21" s="247">
        <v>845</v>
      </c>
    </row>
    <row r="22" spans="2:14" x14ac:dyDescent="0.25">
      <c r="I22" s="246">
        <v>126</v>
      </c>
      <c r="J22" s="240">
        <v>184</v>
      </c>
      <c r="K22" s="240">
        <v>271</v>
      </c>
      <c r="L22" s="240">
        <v>397</v>
      </c>
      <c r="M22" s="240">
        <v>583</v>
      </c>
      <c r="N22" s="247">
        <v>856</v>
      </c>
    </row>
    <row r="23" spans="2:14" x14ac:dyDescent="0.25">
      <c r="I23" s="246">
        <v>127</v>
      </c>
      <c r="J23" s="240">
        <v>187</v>
      </c>
      <c r="K23" s="240">
        <v>274</v>
      </c>
      <c r="L23" s="240">
        <v>402</v>
      </c>
      <c r="M23" s="240">
        <v>590</v>
      </c>
      <c r="N23" s="247">
        <v>866</v>
      </c>
    </row>
    <row r="24" spans="2:14" x14ac:dyDescent="0.25">
      <c r="I24" s="246">
        <v>129</v>
      </c>
      <c r="J24" s="240">
        <v>189</v>
      </c>
      <c r="K24" s="240">
        <v>277</v>
      </c>
      <c r="L24" s="240">
        <v>407</v>
      </c>
      <c r="M24" s="240">
        <v>597</v>
      </c>
      <c r="N24" s="247">
        <v>876</v>
      </c>
    </row>
    <row r="25" spans="2:14" x14ac:dyDescent="0.25">
      <c r="I25" s="246">
        <v>130</v>
      </c>
      <c r="J25" s="240">
        <v>191</v>
      </c>
      <c r="K25" s="240">
        <v>280</v>
      </c>
      <c r="L25" s="240">
        <v>412</v>
      </c>
      <c r="M25" s="240">
        <v>604</v>
      </c>
      <c r="N25" s="247">
        <v>887</v>
      </c>
    </row>
    <row r="26" spans="2:14" x14ac:dyDescent="0.25">
      <c r="I26" s="246">
        <v>132</v>
      </c>
      <c r="J26" s="240">
        <v>193</v>
      </c>
      <c r="K26" s="240">
        <v>284</v>
      </c>
      <c r="L26" s="240">
        <v>417</v>
      </c>
      <c r="M26" s="240">
        <v>612</v>
      </c>
      <c r="N26" s="247">
        <v>898</v>
      </c>
    </row>
    <row r="27" spans="2:14" x14ac:dyDescent="0.25">
      <c r="I27" s="246">
        <v>133</v>
      </c>
      <c r="J27" s="240">
        <v>196</v>
      </c>
      <c r="K27" s="240">
        <v>287</v>
      </c>
      <c r="L27" s="240">
        <v>422</v>
      </c>
      <c r="M27" s="240">
        <v>619</v>
      </c>
      <c r="N27" s="247">
        <v>909</v>
      </c>
    </row>
    <row r="28" spans="2:14" x14ac:dyDescent="0.25">
      <c r="I28" s="246">
        <v>135</v>
      </c>
      <c r="J28" s="240">
        <v>198</v>
      </c>
      <c r="K28" s="240">
        <v>291</v>
      </c>
      <c r="L28" s="240">
        <v>427</v>
      </c>
      <c r="M28" s="240">
        <v>626</v>
      </c>
      <c r="N28" s="247">
        <v>920</v>
      </c>
    </row>
    <row r="29" spans="2:14" x14ac:dyDescent="0.25">
      <c r="I29" s="246">
        <v>137</v>
      </c>
      <c r="J29" s="240">
        <v>200</v>
      </c>
      <c r="K29" s="240">
        <v>294</v>
      </c>
      <c r="L29" s="240">
        <v>432</v>
      </c>
      <c r="M29" s="240">
        <v>634</v>
      </c>
      <c r="N29" s="247">
        <v>931</v>
      </c>
    </row>
    <row r="30" spans="2:14" x14ac:dyDescent="0.25">
      <c r="I30" s="246">
        <v>138</v>
      </c>
      <c r="J30" s="240">
        <v>203</v>
      </c>
      <c r="K30" s="240">
        <v>298</v>
      </c>
      <c r="L30" s="240">
        <v>437</v>
      </c>
      <c r="M30" s="240">
        <v>642</v>
      </c>
      <c r="N30" s="247">
        <v>942</v>
      </c>
    </row>
    <row r="31" spans="2:14" x14ac:dyDescent="0.25">
      <c r="I31" s="246">
        <v>140</v>
      </c>
      <c r="J31" s="240">
        <v>205</v>
      </c>
      <c r="K31" s="240">
        <v>301</v>
      </c>
      <c r="L31" s="240">
        <v>442</v>
      </c>
      <c r="M31" s="240">
        <v>649</v>
      </c>
      <c r="N31" s="247">
        <v>953</v>
      </c>
    </row>
    <row r="32" spans="2:14" x14ac:dyDescent="0.25">
      <c r="I32" s="246">
        <v>142</v>
      </c>
      <c r="J32" s="240">
        <v>208</v>
      </c>
      <c r="K32" s="240">
        <v>305</v>
      </c>
      <c r="L32" s="240">
        <v>448</v>
      </c>
      <c r="M32" s="240">
        <v>657</v>
      </c>
      <c r="N32" s="247">
        <v>965</v>
      </c>
    </row>
    <row r="33" spans="9:14" x14ac:dyDescent="0.25">
      <c r="I33" s="246">
        <v>143</v>
      </c>
      <c r="J33" s="240">
        <v>210</v>
      </c>
      <c r="K33" s="240">
        <v>309</v>
      </c>
      <c r="L33" s="240">
        <v>453</v>
      </c>
      <c r="M33" s="240">
        <v>665</v>
      </c>
      <c r="N33" s="247">
        <v>976</v>
      </c>
    </row>
    <row r="34" spans="9:14" ht="15" thickBot="1" x14ac:dyDescent="0.3">
      <c r="I34" s="248">
        <v>145</v>
      </c>
      <c r="J34" s="249">
        <v>213</v>
      </c>
      <c r="K34" s="249">
        <v>312</v>
      </c>
      <c r="L34" s="249">
        <v>459</v>
      </c>
      <c r="M34" s="249">
        <v>673</v>
      </c>
      <c r="N34" s="250">
        <v>988</v>
      </c>
    </row>
  </sheetData>
  <mergeCells count="2">
    <mergeCell ref="B2:G2"/>
    <mergeCell ref="I2:N2"/>
  </mergeCells>
  <pageMargins left="0.25" right="0.25"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Inverting Calculator</vt:lpstr>
      <vt:lpstr>Non-inverting Calculator</vt:lpstr>
      <vt:lpstr>3 Resistor Calculator tool</vt:lpstr>
      <vt:lpstr>Reverse Thevenin tool</vt:lpstr>
      <vt:lpstr>Standard Resistor 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2020-09-18T18:58:24Z</dcterms:created>
  <dcterms:modified xsi:type="dcterms:W3CDTF">2021-05-07T17:19:16Z</dcterms:modified>
</cp:coreProperties>
</file>