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0488729\Documents\"/>
    </mc:Choice>
  </mc:AlternateContent>
  <xr:revisionPtr revIDLastSave="0" documentId="8_{91573603-F116-44D0-991E-89EF66CB0DD1}" xr6:coauthVersionLast="36" xr6:coauthVersionMax="36" xr10:uidLastSave="{00000000-0000-0000-0000-000000000000}"/>
  <bookViews>
    <workbookView xWindow="0" yWindow="-48" windowWidth="19200" windowHeight="7464" xr2:uid="{00000000-000D-0000-FFFF-FFFF00000000}"/>
  </bookViews>
  <sheets>
    <sheet name="Tool" sheetId="3" r:id="rId1"/>
    <sheet name="behind_the_scenes" sheetId="2" state="hidden" r:id="rId2"/>
  </sheets>
  <definedNames>
    <definedName name="INV">behind_the_scenes!$K$16</definedName>
    <definedName name="NON">behind_the_scenes!$K$17</definedName>
    <definedName name="ODINV">behind_the_scenes!$K$12</definedName>
    <definedName name="ODNON">behind_the_scenes!$K$13</definedName>
    <definedName name="PPINV">behind_the_scenes!$K$14</definedName>
    <definedName name="PPNON">behind_the_scenes!$K$15</definedName>
    <definedName name="Schematic">INDIRECT(behind_the_scenes!$E$9)</definedName>
    <definedName name="TRANSFER">INDIRECT(Tool!$C$7)</definedName>
  </definedNames>
  <calcPr calcId="191029"/>
  <customWorkbookViews>
    <customWorkbookView name="Default" guid="{90253191-EC49-4460-9A21-265ADBDE51A0}" maximized="1" windowWidth="1680" windowHeight="850" activeSheetId="3" showFormulaBar="0"/>
  </customWorkbookViews>
</workbook>
</file>

<file path=xl/calcChain.xml><?xml version="1.0" encoding="utf-8"?>
<calcChain xmlns="http://schemas.openxmlformats.org/spreadsheetml/2006/main">
  <c r="E5" i="2" l="1"/>
  <c r="C5" i="2"/>
  <c r="B5" i="2"/>
  <c r="B11" i="3"/>
  <c r="D5" i="2" s="1"/>
  <c r="E11" i="3"/>
  <c r="I2" i="2" l="1"/>
  <c r="H2" i="2"/>
  <c r="D14" i="3"/>
  <c r="F14" i="3" s="1"/>
  <c r="C14" i="3"/>
  <c r="E9" i="2" l="1"/>
  <c r="G2" i="2"/>
  <c r="F2" i="2" l="1"/>
  <c r="C2" i="2"/>
  <c r="F5" i="2" l="1"/>
  <c r="D2" i="2" l="1"/>
  <c r="G5" i="2"/>
  <c r="H5" i="2"/>
  <c r="I5" i="2" l="1"/>
  <c r="J2" i="2"/>
  <c r="B2" i="2" s="1"/>
  <c r="A2" i="2" s="1"/>
  <c r="E2" i="2" l="1"/>
  <c r="D11" i="3" s="1"/>
  <c r="A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supply voltage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Voltage supply for comparator reference voltage.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Pull-up output stage voltage.</t>
        </r>
      </text>
    </comment>
    <comment ref="D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 voltage threshold.
For an inverting case, it’s the threshold voltage  necessary to transition from high to low.
For a non-inverting case, its the threshold voltage necessary to transition from low to high.</t>
        </r>
      </text>
    </comment>
    <comment ref="E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Low voltage threshold.
For an inverting case, it’s the threshold voltage necessary to transition from low to high.
For a non-inverting case, its the threshold voltage necessary to transition from high to low.</t>
        </r>
      </text>
    </comment>
    <comment ref="F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Internal Hysteresis voltage of the device.
Read the datasheet for the comparator to get this spec.</t>
        </r>
      </text>
    </comment>
    <comment ref="A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Type of output stage, either 'OD' for open drain or PP for 'push-pull' Defaulted to 'OD'.</t>
        </r>
      </text>
    </comment>
    <comment ref="B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Choose the general range of resistor values in the circuit. This setting simply changes the assumed resistor values for R2 and/or R5 depending on the comparator configuration.</t>
        </r>
      </text>
    </comment>
    <comment ref="C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Configuration: either 'INV' for inverting or 'NON' for non-inverting. Defaulted to 'NON'</t>
        </r>
      </text>
    </comment>
    <comment ref="F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Highlighter yellow boxes indicate inputs.</t>
        </r>
      </text>
    </comment>
    <comment ref="H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Light blue boxes indicate outputs.</t>
        </r>
      </text>
    </comment>
    <comment ref="B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This resistor value has a direct relationship with the value of R1. Therefore an increase this resistance value to increase R1.</t>
        </r>
      </text>
    </comment>
    <comment ref="C1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100k.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D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1k.</t>
        </r>
      </text>
    </comment>
  </commentList>
</comments>
</file>

<file path=xl/sharedStrings.xml><?xml version="1.0" encoding="utf-8"?>
<sst xmlns="http://schemas.openxmlformats.org/spreadsheetml/2006/main" count="65" uniqueCount="54">
  <si>
    <t>OD</t>
  </si>
  <si>
    <t>PP</t>
  </si>
  <si>
    <t>Vh (V)</t>
  </si>
  <si>
    <t>Vl (V)</t>
  </si>
  <si>
    <t>R5 (Ώ)</t>
  </si>
  <si>
    <r>
      <t>R4 (</t>
    </r>
    <r>
      <rPr>
        <sz val="11"/>
        <color theme="1"/>
        <rFont val="Calibri"/>
        <family val="2"/>
      </rPr>
      <t>Ώ)</t>
    </r>
  </si>
  <si>
    <t>R3 (Ώ)</t>
  </si>
  <si>
    <t>R2 (Ώ)</t>
  </si>
  <si>
    <t>R1 (Ώ)</t>
  </si>
  <si>
    <t>Vpu (V)</t>
  </si>
  <si>
    <t>R4 (Ώ)</t>
  </si>
  <si>
    <t>NON</t>
  </si>
  <si>
    <t>X</t>
  </si>
  <si>
    <t>X^2</t>
  </si>
  <si>
    <t>Vth</t>
  </si>
  <si>
    <t>Root</t>
  </si>
  <si>
    <t>INV</t>
  </si>
  <si>
    <t>A</t>
  </si>
  <si>
    <t>B</t>
  </si>
  <si>
    <t>C</t>
  </si>
  <si>
    <t>D</t>
  </si>
  <si>
    <t>root</t>
  </si>
  <si>
    <t>Resistors</t>
  </si>
  <si>
    <t>Modes</t>
  </si>
  <si>
    <t>Voltages</t>
  </si>
  <si>
    <t>Power 
Options</t>
  </si>
  <si>
    <t>Output
Stage</t>
  </si>
  <si>
    <t>Out Stage
Options</t>
  </si>
  <si>
    <t>Comp
mode
options</t>
  </si>
  <si>
    <t>Image
Options</t>
  </si>
  <si>
    <t>Vcc (V)</t>
  </si>
  <si>
    <t>Image
Combo</t>
  </si>
  <si>
    <t>ODINV</t>
  </si>
  <si>
    <t>ODNON</t>
  </si>
  <si>
    <t>PPINV</t>
  </si>
  <si>
    <t>PPNON</t>
  </si>
  <si>
    <t>Comparator
Configuration</t>
  </si>
  <si>
    <t>Resistor 
Range</t>
  </si>
  <si>
    <r>
      <t>M</t>
    </r>
    <r>
      <rPr>
        <sz val="11"/>
        <color theme="1"/>
        <rFont val="Arial"/>
        <family val="2"/>
      </rPr>
      <t>Ω</t>
    </r>
  </si>
  <si>
    <t>100kΩ</t>
  </si>
  <si>
    <t>10kΩ</t>
  </si>
  <si>
    <t>S
C
H
E
M
A
T
I
C</t>
  </si>
  <si>
    <t>Vdiv (V)</t>
  </si>
  <si>
    <t>Transfer Curve</t>
  </si>
  <si>
    <t>**Check input parameters for incorrect voltage values**</t>
  </si>
  <si>
    <t>**Inputs can only be numbers, no text. (e.g. no 'k' for 1000)**</t>
  </si>
  <si>
    <t>**R3 cannot have a negative value.**</t>
  </si>
  <si>
    <t>INPUT</t>
  </si>
  <si>
    <t>OUTPUT</t>
  </si>
  <si>
    <t>Vhyst_int (mV)</t>
  </si>
  <si>
    <t>Non-inverting solution</t>
  </si>
  <si>
    <t>Inverting Solution</t>
  </si>
  <si>
    <t>Inverting Comparator Example Solution</t>
  </si>
  <si>
    <t>Non-Inverting Comparator Example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</si>
</sst>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E+0"/>
  </numFmts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10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medium">
        <color theme="1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theme="1"/>
      </right>
      <top style="medium">
        <color indexed="64"/>
      </top>
      <bottom style="thin">
        <color rgb="FFB2B2B2"/>
      </bottom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11" fillId="6" borderId="0" applyNumberFormat="0" applyBorder="0" applyAlignment="0" applyProtection="0"/>
    <xf numFmtId="0" fontId="16" fillId="7" borderId="16" applyNumberFormat="0" applyFont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11" fontId="0" fillId="0" borderId="0" xfId="0" applyNumberFormat="1"/>
    <xf numFmtId="0" fontId="0" fillId="5" borderId="0" xfId="0" applyFill="1"/>
    <xf numFmtId="0" fontId="1" fillId="2" borderId="0" xfId="1" applyAlignment="1">
      <alignment horizontal="center"/>
    </xf>
    <xf numFmtId="0" fontId="9" fillId="5" borderId="0" xfId="0" applyFont="1" applyFill="1"/>
    <xf numFmtId="0" fontId="1" fillId="2" borderId="0" xfId="1" applyAlignment="1">
      <alignment horizontal="center" wrapText="1"/>
    </xf>
    <xf numFmtId="0" fontId="1" fillId="0" borderId="0" xfId="1" applyFill="1" applyAlignment="1">
      <alignment horizontal="center"/>
    </xf>
    <xf numFmtId="0" fontId="1" fillId="2" borderId="0" xfId="1" applyAlignment="1">
      <alignment horizontal="center" vertical="center" wrapText="1"/>
    </xf>
    <xf numFmtId="0" fontId="14" fillId="6" borderId="0" xfId="5" applyFont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2" fillId="0" borderId="13" xfId="0" applyFont="1" applyBorder="1"/>
    <xf numFmtId="11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17" fillId="9" borderId="0" xfId="0" applyFont="1" applyFill="1"/>
    <xf numFmtId="0" fontId="17" fillId="9" borderId="1" xfId="4" applyFont="1" applyFill="1" applyAlignment="1">
      <alignment horizontal="center"/>
    </xf>
    <xf numFmtId="0" fontId="17" fillId="9" borderId="1" xfId="4" applyFont="1" applyFill="1" applyAlignment="1">
      <alignment wrapText="1"/>
    </xf>
    <xf numFmtId="0" fontId="17" fillId="9" borderId="16" xfId="6" applyFont="1" applyFill="1" applyAlignment="1" applyProtection="1">
      <alignment horizontal="center"/>
    </xf>
    <xf numFmtId="164" fontId="3" fillId="10" borderId="2" xfId="3" applyNumberFormat="1" applyFill="1" applyProtection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0" xfId="0" applyBorder="1" applyAlignment="1">
      <alignment horizontal="center" wrapText="1"/>
    </xf>
    <xf numFmtId="164" fontId="10" fillId="8" borderId="1" xfId="2" applyNumberFormat="1" applyFont="1" applyFill="1" applyProtection="1">
      <protection locked="0"/>
    </xf>
    <xf numFmtId="0" fontId="17" fillId="9" borderId="20" xfId="4" applyFont="1" applyFill="1" applyBorder="1" applyAlignment="1">
      <alignment horizontal="center"/>
    </xf>
    <xf numFmtId="0" fontId="17" fillId="9" borderId="20" xfId="4" applyFont="1" applyFill="1" applyBorder="1" applyAlignment="1">
      <alignment wrapText="1"/>
    </xf>
    <xf numFmtId="0" fontId="17" fillId="9" borderId="21" xfId="6" applyFont="1" applyFill="1" applyBorder="1" applyAlignment="1" applyProtection="1">
      <alignment horizontal="center"/>
    </xf>
    <xf numFmtId="164" fontId="3" fillId="10" borderId="22" xfId="3" applyNumberFormat="1" applyFill="1" applyBorder="1" applyProtection="1"/>
    <xf numFmtId="0" fontId="10" fillId="8" borderId="23" xfId="2" applyFont="1" applyFill="1" applyBorder="1" applyProtection="1">
      <protection locked="0"/>
    </xf>
    <xf numFmtId="0" fontId="10" fillId="8" borderId="24" xfId="2" applyFont="1" applyFill="1" applyBorder="1" applyProtection="1">
      <protection locked="0"/>
    </xf>
    <xf numFmtId="0" fontId="5" fillId="10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2" fillId="0" borderId="15" xfId="0" applyFont="1" applyBorder="1"/>
    <xf numFmtId="0" fontId="0" fillId="0" borderId="0" xfId="0" applyAlignment="1" applyProtection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1" applyFont="1" applyFill="1" applyAlignment="1">
      <alignment horizontal="center"/>
    </xf>
    <xf numFmtId="0" fontId="20" fillId="0" borderId="15" xfId="7" applyFont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0" borderId="14" xfId="7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0" xfId="0"/>
  </cellXfs>
  <cellStyles count="8">
    <cellStyle name="Calculation" xfId="4" builtinId="22"/>
    <cellStyle name="Good" xfId="5" builtinId="26"/>
    <cellStyle name="Hyperlink" xfId="7" builtinId="8"/>
    <cellStyle name="Input" xfId="2" builtinId="20"/>
    <cellStyle name="Neutral" xfId="1" builtinId="28"/>
    <cellStyle name="Normal" xfId="0" builtinId="0"/>
    <cellStyle name="Note" xfId="6" builtinId="10"/>
    <cellStyle name="Output" xfId="3" builtinId="21"/>
  </cellStyles>
  <dxfs count="10">
    <dxf>
      <font>
        <b/>
        <i val="0"/>
        <color theme="1"/>
      </font>
      <fill>
        <patternFill>
          <bgColor rgb="FFFF0000"/>
        </patternFill>
      </fill>
    </dxf>
    <dxf>
      <font>
        <strike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  <border>
        <left/>
        <right/>
        <top/>
        <bottom style="thin">
          <color theme="1"/>
        </bottom>
      </border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872864</xdr:colOff>
          <xdr:row>13</xdr:row>
          <xdr:rowOff>1047</xdr:rowOff>
        </xdr:from>
        <xdr:to>
          <xdr:col>6</xdr:col>
          <xdr:colOff>72493</xdr:colOff>
          <xdr:row>14</xdr:row>
          <xdr:rowOff>35130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chematic" spid="_x0000_s539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6828" r="4284"/>
            <a:stretch>
              <a:fillRect/>
            </a:stretch>
          </xdr:blipFill>
          <xdr:spPr bwMode="auto">
            <a:xfrm>
              <a:off x="863974" y="2744882"/>
              <a:ext cx="4917169" cy="3308143"/>
            </a:xfrm>
            <a:prstGeom prst="rect">
              <a:avLst/>
            </a:prstGeom>
            <a:noFill/>
            <a:ln>
              <a:noFill/>
            </a:ln>
            <a:extLst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948690</xdr:colOff>
          <xdr:row>11</xdr:row>
          <xdr:rowOff>117633</xdr:rowOff>
        </xdr:from>
        <xdr:to>
          <xdr:col>13</xdr:col>
          <xdr:colOff>419099</xdr:colOff>
          <xdr:row>13</xdr:row>
          <xdr:rowOff>3272809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 preferRelativeResize="0">
              <a:picLocks noChangeAspect="1"/>
              <a:extLst>
                <a:ext uri="{84589F7E-364E-4C9E-8A38-B11213B215E9}">
                  <a14:cameraTool cellRange="TRANSFER" spid="_x0000_s539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19725" y="2502058"/>
              <a:ext cx="5695949" cy="3512046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11</xdr:row>
      <xdr:rowOff>75161</xdr:rowOff>
    </xdr:from>
    <xdr:to>
      <xdr:col>10</xdr:col>
      <xdr:colOff>4657725</xdr:colOff>
      <xdr:row>11</xdr:row>
      <xdr:rowOff>3127611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899" y="2742161"/>
          <a:ext cx="3933826" cy="3052450"/>
        </a:xfrm>
        <a:prstGeom prst="rect">
          <a:avLst/>
        </a:prstGeom>
      </xdr:spPr>
    </xdr:pic>
    <xdr:clientData/>
  </xdr:twoCellAnchor>
  <xdr:twoCellAnchor editAs="absolute">
    <xdr:from>
      <xdr:col>10</xdr:col>
      <xdr:colOff>973782</xdr:colOff>
      <xdr:row>13</xdr:row>
      <xdr:rowOff>95251</xdr:rowOff>
    </xdr:from>
    <xdr:to>
      <xdr:col>10</xdr:col>
      <xdr:colOff>4582106</xdr:colOff>
      <xdr:row>13</xdr:row>
      <xdr:rowOff>3048819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9782" y="9182101"/>
          <a:ext cx="3608324" cy="2953568"/>
        </a:xfrm>
        <a:prstGeom prst="rect">
          <a:avLst/>
        </a:prstGeom>
      </xdr:spPr>
    </xdr:pic>
    <xdr:clientData/>
  </xdr:twoCellAnchor>
  <xdr:twoCellAnchor editAs="absolute">
    <xdr:from>
      <xdr:col>10</xdr:col>
      <xdr:colOff>115314</xdr:colOff>
      <xdr:row>15</xdr:row>
      <xdr:rowOff>98596</xdr:rowOff>
    </xdr:from>
    <xdr:to>
      <xdr:col>10</xdr:col>
      <xdr:colOff>5294885</xdr:colOff>
      <xdr:row>15</xdr:row>
      <xdr:rowOff>3371849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314" y="15633871"/>
          <a:ext cx="5179571" cy="3273253"/>
        </a:xfrm>
        <a:prstGeom prst="rect">
          <a:avLst/>
        </a:prstGeom>
      </xdr:spPr>
    </xdr:pic>
    <xdr:clientData/>
  </xdr:twoCellAnchor>
  <xdr:twoCellAnchor editAs="absolute">
    <xdr:from>
      <xdr:col>10</xdr:col>
      <xdr:colOff>228601</xdr:colOff>
      <xdr:row>16</xdr:row>
      <xdr:rowOff>67189</xdr:rowOff>
    </xdr:from>
    <xdr:to>
      <xdr:col>10</xdr:col>
      <xdr:colOff>5105401</xdr:colOff>
      <xdr:row>16</xdr:row>
      <xdr:rowOff>2924175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2" r="4758" b="9220"/>
        <a:stretch/>
      </xdr:blipFill>
      <xdr:spPr>
        <a:xfrm>
          <a:off x="6324601" y="18983839"/>
          <a:ext cx="4876800" cy="285698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1010262</xdr:colOff>
      <xdr:row>12</xdr:row>
      <xdr:rowOff>1952</xdr:rowOff>
    </xdr:from>
    <xdr:to>
      <xdr:col>10</xdr:col>
      <xdr:colOff>4448175</xdr:colOff>
      <xdr:row>13</xdr:row>
      <xdr:rowOff>1023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06262" y="5878877"/>
          <a:ext cx="3437913" cy="320899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1063168</xdr:colOff>
      <xdr:row>14</xdr:row>
      <xdr:rowOff>45613</xdr:rowOff>
    </xdr:from>
    <xdr:to>
      <xdr:col>10</xdr:col>
      <xdr:colOff>4648200</xdr:colOff>
      <xdr:row>15</xdr:row>
      <xdr:rowOff>33765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59168" y="12351913"/>
          <a:ext cx="3585032" cy="321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.com/lit/an/snoa997a/snoa997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.com/lit/an/sboa313a/sboa313a.pdf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27"/>
  <sheetViews>
    <sheetView showGridLines="0" showRowColHeaders="0" tabSelected="1" showRuler="0" zoomScaleNormal="100" workbookViewId="0">
      <selection activeCell="B7" sqref="B7"/>
    </sheetView>
  </sheetViews>
  <sheetFormatPr defaultRowHeight="14.4" x14ac:dyDescent="0.3"/>
  <cols>
    <col min="1" max="1" width="13.21875" customWidth="1"/>
    <col min="2" max="2" width="13.77734375" customWidth="1"/>
    <col min="3" max="3" width="14.5546875" customWidth="1"/>
    <col min="4" max="4" width="13.77734375" customWidth="1"/>
    <col min="5" max="5" width="12.21875" customWidth="1"/>
    <col min="6" max="6" width="18.44140625" customWidth="1"/>
    <col min="8" max="8" width="19.77734375" customWidth="1"/>
    <col min="14" max="14" width="10.77734375" customWidth="1"/>
    <col min="20" max="20" width="10.77734375" bestFit="1" customWidth="1"/>
  </cols>
  <sheetData>
    <row r="1" spans="1:22" ht="15" thickBot="1" x14ac:dyDescent="0.35">
      <c r="A1" s="47" t="s">
        <v>24</v>
      </c>
      <c r="B1" s="47"/>
      <c r="C1" s="47"/>
      <c r="D1" s="47"/>
      <c r="E1" s="47"/>
      <c r="F1" s="48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">
      <c r="A2" s="18" t="s">
        <v>30</v>
      </c>
      <c r="B2" s="19" t="s">
        <v>42</v>
      </c>
      <c r="C2" s="19" t="s">
        <v>9</v>
      </c>
      <c r="D2" s="19" t="s">
        <v>2</v>
      </c>
      <c r="E2" s="19" t="s">
        <v>3</v>
      </c>
      <c r="F2" s="31" t="s">
        <v>49</v>
      </c>
      <c r="G2" s="14"/>
      <c r="H2" s="50" t="s">
        <v>46</v>
      </c>
      <c r="I2" s="49"/>
      <c r="J2" s="49"/>
      <c r="K2" s="49"/>
      <c r="L2" s="49"/>
      <c r="M2" s="51"/>
      <c r="N2" s="15"/>
      <c r="O2" s="15"/>
      <c r="P2" s="15"/>
      <c r="Q2" s="15"/>
      <c r="R2" s="15"/>
      <c r="S2" s="15"/>
      <c r="T2" s="15"/>
      <c r="U2" s="15"/>
      <c r="V2" s="15"/>
    </row>
    <row r="3" spans="1:22" ht="15" thickBot="1" x14ac:dyDescent="0.35">
      <c r="A3" s="35">
        <v>10</v>
      </c>
      <c r="B3" s="35">
        <v>10</v>
      </c>
      <c r="C3" s="35">
        <v>10</v>
      </c>
      <c r="D3" s="35">
        <v>2.2400000000000002</v>
      </c>
      <c r="E3" s="35">
        <v>1.06</v>
      </c>
      <c r="F3" s="36">
        <v>0</v>
      </c>
      <c r="G3" s="14"/>
      <c r="H3" s="50" t="s">
        <v>45</v>
      </c>
      <c r="I3" s="49"/>
      <c r="J3" s="49"/>
      <c r="K3" s="49"/>
      <c r="L3" s="49"/>
      <c r="M3" s="51"/>
      <c r="N3" s="15"/>
      <c r="O3" s="15"/>
      <c r="P3" s="15"/>
      <c r="Q3" s="15"/>
      <c r="R3" s="15"/>
      <c r="S3" s="15"/>
      <c r="T3" s="15"/>
      <c r="U3" s="15"/>
      <c r="V3" s="15"/>
    </row>
    <row r="4" spans="1:22" ht="15" thickBot="1" x14ac:dyDescent="0.35">
      <c r="A4" s="13"/>
      <c r="B4" s="13"/>
      <c r="C4" s="13"/>
      <c r="D4" s="41"/>
      <c r="E4" s="13"/>
      <c r="F4" s="13"/>
      <c r="G4" s="13"/>
      <c r="H4" s="49" t="s">
        <v>44</v>
      </c>
      <c r="I4" s="49"/>
      <c r="J4" s="49"/>
      <c r="K4" s="49"/>
      <c r="L4" s="49"/>
      <c r="M4" s="49"/>
      <c r="N4" s="13"/>
      <c r="O4" s="13"/>
      <c r="P4" s="13"/>
      <c r="Q4" s="9"/>
      <c r="R4" s="9"/>
      <c r="S4" s="9"/>
      <c r="T4" s="9"/>
      <c r="U4" s="9"/>
      <c r="V4" s="9"/>
    </row>
    <row r="5" spans="1:22" ht="15" thickBot="1" x14ac:dyDescent="0.35">
      <c r="A5" s="52" t="s">
        <v>23</v>
      </c>
      <c r="B5" s="52"/>
      <c r="C5" s="53"/>
      <c r="D5" s="23"/>
      <c r="E5" s="23"/>
      <c r="F5" s="23"/>
      <c r="G5" s="23"/>
      <c r="H5" s="23"/>
      <c r="I5" s="23"/>
      <c r="J5" s="67"/>
      <c r="K5" s="67"/>
      <c r="L5" s="67"/>
      <c r="M5" s="67"/>
      <c r="N5" s="67"/>
      <c r="O5" s="23"/>
      <c r="P5" s="24"/>
      <c r="Q5" s="9"/>
      <c r="R5" s="9"/>
      <c r="S5" s="9"/>
      <c r="T5" s="9"/>
      <c r="U5" s="9"/>
      <c r="V5" s="9"/>
    </row>
    <row r="6" spans="1:22" ht="29.4" thickBot="1" x14ac:dyDescent="0.35">
      <c r="A6" s="20" t="s">
        <v>26</v>
      </c>
      <c r="B6" s="20" t="s">
        <v>37</v>
      </c>
      <c r="C6" s="32" t="s">
        <v>36</v>
      </c>
      <c r="D6" s="25"/>
      <c r="E6" s="25"/>
      <c r="F6" s="38" t="s">
        <v>47</v>
      </c>
      <c r="G6" s="29"/>
      <c r="H6" s="37" t="s">
        <v>48</v>
      </c>
      <c r="I6" s="25"/>
      <c r="J6" s="67"/>
      <c r="K6" s="67"/>
      <c r="L6" s="67"/>
      <c r="M6" s="67"/>
      <c r="N6" s="67"/>
      <c r="O6" s="25"/>
      <c r="P6" s="26"/>
      <c r="Q6" s="9"/>
      <c r="R6" s="9"/>
      <c r="S6" s="9"/>
      <c r="T6" s="9"/>
      <c r="U6" s="9"/>
      <c r="V6" s="9"/>
    </row>
    <row r="7" spans="1:22" ht="15" thickBot="1" x14ac:dyDescent="0.35">
      <c r="A7" s="35" t="s">
        <v>0</v>
      </c>
      <c r="B7" s="35" t="s">
        <v>39</v>
      </c>
      <c r="C7" s="36" t="s">
        <v>16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9"/>
      <c r="R7" s="9"/>
      <c r="S7" s="9"/>
      <c r="T7" s="9"/>
      <c r="U7" s="9"/>
      <c r="V7" s="9"/>
    </row>
    <row r="8" spans="1:22" ht="15" thickBot="1" x14ac:dyDescent="0.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9"/>
      <c r="R8" s="9"/>
      <c r="S8" s="9"/>
      <c r="T8" s="9"/>
      <c r="U8" s="9"/>
      <c r="V8" s="9"/>
    </row>
    <row r="9" spans="1:22" ht="15.75" customHeight="1" thickBot="1" x14ac:dyDescent="0.35">
      <c r="A9" s="52" t="s">
        <v>22</v>
      </c>
      <c r="B9" s="52"/>
      <c r="C9" s="52"/>
      <c r="D9" s="52"/>
      <c r="E9" s="53"/>
      <c r="F9" s="61" t="s">
        <v>43</v>
      </c>
      <c r="G9" s="61"/>
      <c r="H9" s="61"/>
      <c r="I9" s="61"/>
      <c r="J9" s="61"/>
      <c r="K9" s="61"/>
      <c r="L9" s="61"/>
      <c r="M9" s="61"/>
      <c r="N9" s="61"/>
      <c r="O9" s="62"/>
      <c r="P9" s="16"/>
      <c r="Q9" s="9"/>
      <c r="R9" s="9"/>
      <c r="S9" s="9"/>
      <c r="T9" s="9"/>
      <c r="U9" s="9"/>
      <c r="V9" s="9"/>
    </row>
    <row r="10" spans="1:22" x14ac:dyDescent="0.3">
      <c r="A10" s="21" t="s">
        <v>8</v>
      </c>
      <c r="B10" s="21" t="s">
        <v>7</v>
      </c>
      <c r="C10" s="21" t="s">
        <v>6</v>
      </c>
      <c r="D10" s="21" t="s">
        <v>10</v>
      </c>
      <c r="E10" s="33" t="s">
        <v>4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16"/>
      <c r="Q10" s="9"/>
      <c r="R10" s="9"/>
      <c r="S10" s="9"/>
      <c r="T10" s="9"/>
      <c r="U10" s="9"/>
      <c r="V10" s="9"/>
    </row>
    <row r="11" spans="1:22" ht="15" thickBot="1" x14ac:dyDescent="0.35">
      <c r="A11" s="22">
        <f>IF(Tool!C7="INV", behind_the_scenes!B5*B11*D11/(B11+D11), behind_the_scenes!B2)</f>
        <v>725159.25793060788</v>
      </c>
      <c r="B11" s="22">
        <f>IF(B7="MΩ", 1000000, IF(B7="10kΩ", 10000, 100000))</f>
        <v>100000</v>
      </c>
      <c r="C11" s="30">
        <v>50000</v>
      </c>
      <c r="D11" s="22">
        <f>IF(C7="INV", behind_the_scenes!I5, behind_the_scenes!E2)</f>
        <v>613310.09008891752</v>
      </c>
      <c r="E11" s="34">
        <f>IF(B7="MΩ", 1000000, IF(B7="10kΩ", 10000, 100000))</f>
        <v>100000</v>
      </c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16"/>
      <c r="Q11" s="9"/>
      <c r="R11" s="9"/>
      <c r="S11" s="9"/>
      <c r="T11" s="9"/>
      <c r="U11" s="9"/>
      <c r="V11" s="9"/>
    </row>
    <row r="12" spans="1:22" x14ac:dyDescent="0.3">
      <c r="A12" s="54"/>
      <c r="B12" s="55"/>
      <c r="C12" s="55"/>
      <c r="D12" s="55"/>
      <c r="E12" s="55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  <c r="Q12" s="9"/>
      <c r="R12" s="9"/>
      <c r="S12" s="9"/>
      <c r="T12" s="9"/>
      <c r="U12" s="9"/>
      <c r="V12" s="9"/>
    </row>
    <row r="13" spans="1:22" x14ac:dyDescent="0.3">
      <c r="A13" s="56"/>
      <c r="B13" s="57"/>
      <c r="C13" s="57"/>
      <c r="D13" s="57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9"/>
      <c r="R13" s="9"/>
      <c r="S13" s="9"/>
      <c r="T13" s="9"/>
      <c r="U13" s="9"/>
      <c r="V13" s="9"/>
    </row>
    <row r="14" spans="1:22" ht="258" customHeight="1" x14ac:dyDescent="0.3">
      <c r="A14" s="8" t="s">
        <v>41</v>
      </c>
      <c r="B14" s="39"/>
      <c r="C14" s="39">
        <f ca="1">TRANSFER</f>
        <v>0</v>
      </c>
      <c r="D14" s="39">
        <f>IF(C7="INV",behind_the_scenes!K12,behind_the_scenes!K12)</f>
        <v>0</v>
      </c>
      <c r="E14" s="39"/>
      <c r="F14" s="11" t="b">
        <f>D14=IF(C7="INV",behind_the_scenes!K12,behind_the_scenes!K12)</f>
        <v>1</v>
      </c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9"/>
      <c r="R14" s="9"/>
      <c r="S14" s="9"/>
      <c r="T14" s="9"/>
      <c r="U14" s="9"/>
      <c r="V14" s="9"/>
    </row>
    <row r="15" spans="1:22" x14ac:dyDescent="0.3">
      <c r="A15" s="9"/>
      <c r="B15" s="44" t="s">
        <v>52</v>
      </c>
      <c r="C15" s="45"/>
      <c r="D15" s="46"/>
      <c r="E15" s="44" t="s">
        <v>53</v>
      </c>
      <c r="F15" s="45"/>
      <c r="G15" s="46"/>
      <c r="H15" s="11"/>
      <c r="I15" s="11"/>
      <c r="J15" s="11"/>
      <c r="K15" s="11"/>
      <c r="L15" s="11"/>
      <c r="M15" s="11"/>
      <c r="N15" s="11"/>
      <c r="O15" s="11"/>
      <c r="P15" s="40"/>
      <c r="Q15" s="9"/>
      <c r="R15" s="9"/>
      <c r="S15" s="9"/>
      <c r="T15" s="9"/>
      <c r="U15" s="9"/>
      <c r="V15" s="9"/>
    </row>
    <row r="16" spans="1:22" x14ac:dyDescent="0.3">
      <c r="A16" s="9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40"/>
      <c r="Q16" s="9"/>
      <c r="R16" s="9"/>
      <c r="S16" s="9"/>
      <c r="T16" s="9"/>
      <c r="U16" s="9"/>
      <c r="V16" s="9"/>
    </row>
    <row r="17" spans="1:22" x14ac:dyDescent="0.3">
      <c r="A17" s="9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40"/>
      <c r="Q17" s="9"/>
      <c r="R17" s="9"/>
      <c r="S17" s="9"/>
      <c r="T17" s="9"/>
      <c r="U17" s="9"/>
      <c r="V17" s="9"/>
    </row>
    <row r="18" spans="1:22" x14ac:dyDescent="0.3">
      <c r="A18" s="9"/>
      <c r="B18" s="9"/>
      <c r="C18" s="9"/>
      <c r="D18" s="11"/>
      <c r="E18" s="11"/>
      <c r="F18" s="11"/>
      <c r="G18" s="11"/>
      <c r="H18" s="9"/>
      <c r="I18" s="9"/>
      <c r="J18" s="9"/>
      <c r="K18" s="9"/>
      <c r="L18" s="11"/>
      <c r="M18" s="11"/>
      <c r="N18" s="11"/>
      <c r="O18" s="11"/>
      <c r="P18" s="40"/>
      <c r="Q18" s="9"/>
      <c r="R18" s="9"/>
      <c r="S18" s="9"/>
      <c r="T18" s="9"/>
      <c r="U18" s="9"/>
      <c r="V18" s="9"/>
    </row>
    <row r="19" spans="1:22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7"/>
      <c r="Q19" s="9"/>
      <c r="R19" s="9"/>
      <c r="S19" s="9"/>
      <c r="T19" s="9"/>
      <c r="U19" s="9"/>
      <c r="V19" s="9"/>
    </row>
    <row r="20" spans="1:22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/>
      <c r="Q20" s="9"/>
      <c r="R20" s="9"/>
      <c r="S20" s="9"/>
      <c r="T20" s="9"/>
      <c r="U20" s="9"/>
      <c r="V20" s="9"/>
    </row>
    <row r="21" spans="1:22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7"/>
      <c r="Q21" s="9"/>
      <c r="R21" s="9"/>
      <c r="S21" s="9"/>
      <c r="T21" s="9"/>
      <c r="U21" s="9"/>
      <c r="V21" s="9"/>
    </row>
    <row r="22" spans="1:22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  <c r="Q22" s="9"/>
      <c r="R22" s="9"/>
      <c r="S22" s="9"/>
      <c r="T22" s="9"/>
      <c r="U22" s="9"/>
      <c r="V22" s="9"/>
    </row>
    <row r="23" spans="1:22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  <c r="Q23" s="9"/>
      <c r="R23" s="9"/>
      <c r="S23" s="9"/>
      <c r="T23" s="9"/>
      <c r="U23" s="9"/>
      <c r="V23" s="9"/>
    </row>
    <row r="24" spans="1:22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  <c r="Q24" s="9"/>
      <c r="R24" s="9"/>
      <c r="S24" s="9"/>
      <c r="T24" s="9"/>
      <c r="U24" s="9"/>
      <c r="V24" s="9"/>
    </row>
    <row r="25" spans="1:22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  <c r="Q25" s="9"/>
      <c r="R25" s="9"/>
      <c r="S25" s="9"/>
      <c r="T25" s="9"/>
      <c r="U25" s="9"/>
      <c r="V25" s="9"/>
    </row>
    <row r="26" spans="1:22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  <c r="Q26" s="9"/>
      <c r="R26" s="9"/>
      <c r="S26" s="9"/>
      <c r="T26" s="9"/>
      <c r="U26" s="9"/>
      <c r="V26" s="9"/>
    </row>
    <row r="27" spans="1:22" x14ac:dyDescent="0.3">
      <c r="A27" s="9"/>
      <c r="B27" s="9"/>
      <c r="C27" s="9"/>
      <c r="D27" s="9"/>
      <c r="E27" s="9"/>
      <c r="F27" s="9"/>
      <c r="G27" s="9"/>
      <c r="L27" s="9"/>
      <c r="M27" s="9"/>
      <c r="N27" s="9"/>
      <c r="O27" s="9"/>
      <c r="P27" s="17"/>
      <c r="Q27" s="9"/>
      <c r="R27" s="9"/>
      <c r="S27" s="9"/>
      <c r="T27" s="9"/>
      <c r="U27" s="9"/>
      <c r="V27" s="9"/>
    </row>
  </sheetData>
  <sheetProtection password="CBA3" sheet="1" objects="1" scenarios="1" selectLockedCells="1"/>
  <customSheetViews>
    <customSheetView guid="{90253191-EC49-4460-9A21-265ADBDE51A0}" showPageBreaks="1" showGridLines="0" showRowCol="0" showRuler="0">
      <selection activeCell="H18" sqref="H18"/>
      <pageMargins left="0.7" right="0.7" top="0.75" bottom="0.75" header="0.3" footer="0.3"/>
      <pageSetup orientation="landscape" r:id="rId1"/>
    </customSheetView>
  </customSheetViews>
  <mergeCells count="15">
    <mergeCell ref="B15:D15"/>
    <mergeCell ref="E15:G15"/>
    <mergeCell ref="A1:F1"/>
    <mergeCell ref="H4:M4"/>
    <mergeCell ref="H3:M3"/>
    <mergeCell ref="H2:M2"/>
    <mergeCell ref="G14:P14"/>
    <mergeCell ref="A5:C5"/>
    <mergeCell ref="A12:E13"/>
    <mergeCell ref="F12:P13"/>
    <mergeCell ref="A8:P8"/>
    <mergeCell ref="A9:E9"/>
    <mergeCell ref="F9:O11"/>
    <mergeCell ref="J5:N5"/>
    <mergeCell ref="J6:N6"/>
  </mergeCells>
  <conditionalFormatting sqref="C10">
    <cfRule type="expression" dxfId="9" priority="13">
      <formula>A7="PP"</formula>
    </cfRule>
  </conditionalFormatting>
  <conditionalFormatting sqref="C11">
    <cfRule type="expression" dxfId="8" priority="12">
      <formula>A7="PP"</formula>
    </cfRule>
  </conditionalFormatting>
  <conditionalFormatting sqref="E10">
    <cfRule type="expression" dxfId="7" priority="11">
      <formula>C7="INV"</formula>
    </cfRule>
  </conditionalFormatting>
  <conditionalFormatting sqref="C3">
    <cfRule type="expression" dxfId="6" priority="9">
      <formula>$A$7="PP"</formula>
    </cfRule>
  </conditionalFormatting>
  <conditionalFormatting sqref="C2">
    <cfRule type="expression" dxfId="5" priority="7">
      <formula>A7="PP"</formula>
    </cfRule>
  </conditionalFormatting>
  <conditionalFormatting sqref="E11">
    <cfRule type="expression" dxfId="4" priority="6">
      <formula>C7="INV"</formula>
    </cfRule>
  </conditionalFormatting>
  <conditionalFormatting sqref="H4:M4">
    <cfRule type="expression" dxfId="3" priority="5">
      <formula>OR($A$11&lt;0, $D$11&lt;0, $C$3="")</formula>
    </cfRule>
  </conditionalFormatting>
  <conditionalFormatting sqref="H3:M3">
    <cfRule type="expression" dxfId="2" priority="3">
      <formula>NOT(ISNUMBER($C$11+$A$3+$B$3+$C$3+$D$3+$E$3+$F$3))</formula>
    </cfRule>
  </conditionalFormatting>
  <conditionalFormatting sqref="A11:E11">
    <cfRule type="expression" dxfId="1" priority="2">
      <formula>OR($A$11&lt;0, $D$11&lt;0, AND($C$11&lt;0,$A$7="OD"))</formula>
    </cfRule>
  </conditionalFormatting>
  <conditionalFormatting sqref="H2:M2">
    <cfRule type="expression" dxfId="0" priority="1">
      <formula>AND($C$11&lt;0,$A$7="OD")</formula>
    </cfRule>
  </conditionalFormatting>
  <hyperlinks>
    <hyperlink ref="E15:G15" r:id="rId2" display="Non-Inverting Comparator Example Solution" xr:uid="{00000000-0004-0000-0000-000000000000}"/>
    <hyperlink ref="B15:D15" r:id="rId3" display="Inverting Comparator Example Solution" xr:uid="{00000000-0004-0000-0000-000001000000}"/>
  </hyperlinks>
  <pageMargins left="0.25" right="0.25" top="0.75" bottom="0.75" header="0.3" footer="0.3"/>
  <pageSetup orientation="landscape" r:id="rId4"/>
  <colBreaks count="1" manualBreakCount="1">
    <brk id="14" max="1048575" man="1"/>
  </col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behind_the_scenes!$B$9:$B$11</xm:f>
          </x14:formula1>
          <xm:sqref>B7</xm:sqref>
        </x14:dataValidation>
        <x14:dataValidation type="list" allowBlank="1" showInputMessage="1" showErrorMessage="1" xr:uid="{00000000-0002-0000-0000-000001000000}">
          <x14:formula1>
            <xm:f>behind_the_scenes!$C$9:$C$10</xm:f>
          </x14:formula1>
          <xm:sqref>A7</xm:sqref>
        </x14:dataValidation>
        <x14:dataValidation type="list" allowBlank="1" showInputMessage="1" showErrorMessage="1" xr:uid="{00000000-0002-0000-0000-000002000000}">
          <x14:formula1>
            <xm:f>behind_the_scenes!$D$9:$D$10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H5" sqref="H5"/>
    </sheetView>
  </sheetViews>
  <sheetFormatPr defaultRowHeight="14.4" x14ac:dyDescent="0.3"/>
  <cols>
    <col min="9" max="10" width="9.21875" customWidth="1"/>
    <col min="11" max="11" width="80.77734375" customWidth="1"/>
  </cols>
  <sheetData>
    <row r="1" spans="1:11" x14ac:dyDescent="0.3">
      <c r="A1" s="4" t="s">
        <v>14</v>
      </c>
      <c r="B1" s="2" t="s">
        <v>8</v>
      </c>
      <c r="C1" s="2" t="s">
        <v>7</v>
      </c>
      <c r="D1" s="2" t="s">
        <v>6</v>
      </c>
      <c r="E1" s="2" t="s">
        <v>5</v>
      </c>
      <c r="F1" s="2" t="s">
        <v>4</v>
      </c>
      <c r="G1" s="2" t="s">
        <v>13</v>
      </c>
      <c r="H1" s="2" t="s">
        <v>12</v>
      </c>
      <c r="I1" s="2">
        <v>1</v>
      </c>
      <c r="J1" s="2" t="s">
        <v>15</v>
      </c>
      <c r="K1" s="42" t="s">
        <v>50</v>
      </c>
    </row>
    <row r="2" spans="1:11" x14ac:dyDescent="0.3">
      <c r="A2" s="1">
        <f>(Tool!D3-0.5*Tool!F3/1000)*behind_the_scenes!C2/(behind_the_scenes!C2+behind_the_scenes!B2)</f>
        <v>1.9286525510485424</v>
      </c>
      <c r="B2" s="1">
        <f>J2</f>
        <v>16143.262755242711</v>
      </c>
      <c r="C2" s="1">
        <f>Tool!B11</f>
        <v>100000</v>
      </c>
      <c r="D2" s="1">
        <f>IF(Tool!A7="OD",Tool!C11,0)</f>
        <v>50000</v>
      </c>
      <c r="E2" s="1">
        <f>F2*(Tool!B3-behind_the_scenes!A2)/behind_the_scenes!A2</f>
        <v>0</v>
      </c>
      <c r="F2" s="1">
        <f>IF(Tool!C7="NON",Tool!E11, 0)</f>
        <v>0</v>
      </c>
      <c r="G2">
        <f>IF(Tool!A7="OD",Tool!C3,Tool!A3)</f>
        <v>10</v>
      </c>
      <c r="H2" s="1">
        <f>IF(Tool!A7="OD",Tool!C3*Tool!B11+(Tool!E3+0.5*Tool!F3/1000)*(Tool!C11+Tool!B11)-(Tool!D3-0.5*Tool!F3/1000)*Tool!B11,Tool!A3*Tool!B11+(Tool!E3+0.5*Tool!F3/1000)*(Tool!C11+Tool!B11)-(Tool!D3-0.5*Tool!F3/1000)*Tool!B11)</f>
        <v>935000</v>
      </c>
      <c r="I2" s="1">
        <f>((Tool!E3+0.5*Tool!F3/1000)-(Tool!D3-0.5*Tool!F3/1000))*(Tool!B11^2+Tool!C11*Tool!B11)</f>
        <v>-17700000000.000004</v>
      </c>
      <c r="J2" s="1">
        <f>(-H2+SQRT(H2*H2-4*G2*I2))/(2*G2)</f>
        <v>16143.262755242711</v>
      </c>
    </row>
    <row r="4" spans="1:11" x14ac:dyDescent="0.3">
      <c r="B4" s="3" t="s">
        <v>17</v>
      </c>
      <c r="C4" s="3" t="s">
        <v>18</v>
      </c>
      <c r="D4" s="3" t="s">
        <v>19</v>
      </c>
      <c r="E4" s="3" t="s">
        <v>20</v>
      </c>
      <c r="F4" s="3" t="s">
        <v>13</v>
      </c>
      <c r="G4" s="3" t="s">
        <v>12</v>
      </c>
      <c r="H4" s="3">
        <v>1</v>
      </c>
      <c r="I4" s="3" t="s">
        <v>21</v>
      </c>
      <c r="K4" s="43" t="s">
        <v>51</v>
      </c>
    </row>
    <row r="5" spans="1:11" x14ac:dyDescent="0.3">
      <c r="B5">
        <f>Tool!B3/(Tool!E3+0.5*Tool!F3/1000)-1</f>
        <v>8.4339622641509422</v>
      </c>
      <c r="C5">
        <f>Tool!B3-(Tool!D3-0.5*Tool!F3/1000)</f>
        <v>7.76</v>
      </c>
      <c r="D5" s="1">
        <f>(Tool!D3-0.5*Tool!F3/1000)/Tool!B11</f>
        <v>2.2400000000000002E-5</v>
      </c>
      <c r="E5">
        <f>IF(Tool!A7="OD",Tool!C3-(Tool!D3-0.5*Tool!F3/1000),Tool!A3-(Tool!D3-0.5*Tool!F3/1000))</f>
        <v>7.76</v>
      </c>
      <c r="F5" s="1">
        <f>behind_the_scenes!C5/behind_the_scenes!B5-behind_the_scenes!D5*Tool!B11</f>
        <v>-1.319910514541387</v>
      </c>
      <c r="G5" s="1">
        <f>IF(Tool!A7="OD",(behind_the_scenes!C5/behind_the_scenes!B5)*(Tool!B11+Tool!C11)-behind_the_scenes!D5*Tool!C11*Tool!B11+behind_the_scenes!E5*Tool!B11, (behind_the_scenes!C5/behind_the_scenes!B5)*(Tool!B11)+behind_the_scenes!E5*Tool!B11)</f>
        <v>802013.42281879194</v>
      </c>
      <c r="H5" s="1">
        <f>IF(Tool!A7="OD",(behind_the_scenes!C5/behind_the_scenes!B5)*Tool!B11*Tool!C11,0)</f>
        <v>4600447427.293066</v>
      </c>
      <c r="I5" s="1">
        <f>IF(Tool!A7="OD",(-behind_the_scenes!G5-SQRT(behind_the_scenes!G5*behind_the_scenes!G5-4*behind_the_scenes!F5*behind_the_scenes!H5))/(2*behind_the_scenes!F5), (behind_the_scenes!C5/behind_the_scenes!B5*Tool!B11+behind_the_scenes!E5*Tool!B11)/(behind_the_scenes!D5*Tool!B11-behind_the_scenes!C5/behind_the_scenes!B5))</f>
        <v>613310.09008891752</v>
      </c>
    </row>
    <row r="8" spans="1:11" ht="43.2" x14ac:dyDescent="0.3">
      <c r="B8" s="7" t="s">
        <v>25</v>
      </c>
      <c r="C8" s="5" t="s">
        <v>27</v>
      </c>
      <c r="D8" s="5" t="s">
        <v>28</v>
      </c>
      <c r="E8" s="7" t="s">
        <v>31</v>
      </c>
      <c r="F8" s="6"/>
      <c r="G8" s="6"/>
    </row>
    <row r="9" spans="1:11" x14ac:dyDescent="0.3">
      <c r="B9" t="s">
        <v>38</v>
      </c>
      <c r="C9" t="s">
        <v>1</v>
      </c>
      <c r="D9" s="1" t="s">
        <v>16</v>
      </c>
      <c r="E9" t="str">
        <f>Tool!$A$7&amp;Tool!$C$7</f>
        <v>ODINV</v>
      </c>
      <c r="F9" s="1"/>
      <c r="G9" s="1"/>
    </row>
    <row r="10" spans="1:11" x14ac:dyDescent="0.3">
      <c r="B10" t="s">
        <v>39</v>
      </c>
      <c r="C10" t="s">
        <v>0</v>
      </c>
      <c r="D10" t="s">
        <v>11</v>
      </c>
    </row>
    <row r="11" spans="1:11" ht="28.8" x14ac:dyDescent="0.3">
      <c r="B11" t="s">
        <v>40</v>
      </c>
      <c r="J11" s="5" t="s">
        <v>29</v>
      </c>
    </row>
    <row r="12" spans="1:11" ht="252.75" customHeight="1" x14ac:dyDescent="0.3">
      <c r="J12" s="12" t="s">
        <v>32</v>
      </c>
      <c r="K12" s="9"/>
    </row>
    <row r="13" spans="1:11" ht="252.75" customHeight="1" x14ac:dyDescent="0.3">
      <c r="J13" s="10" t="s">
        <v>33</v>
      </c>
      <c r="K13" s="9"/>
    </row>
    <row r="14" spans="1:11" ht="253.5" customHeight="1" x14ac:dyDescent="0.3">
      <c r="J14" s="12" t="s">
        <v>34</v>
      </c>
      <c r="K14" s="9"/>
    </row>
    <row r="15" spans="1:11" ht="254.25" customHeight="1" x14ac:dyDescent="0.3">
      <c r="J15" s="10" t="s">
        <v>35</v>
      </c>
      <c r="K15" s="9"/>
    </row>
    <row r="16" spans="1:11" ht="266.25" customHeight="1" x14ac:dyDescent="0.3">
      <c r="J16" s="10" t="s">
        <v>16</v>
      </c>
      <c r="K16" s="9"/>
    </row>
    <row r="17" spans="10:11" ht="238.5" customHeight="1" x14ac:dyDescent="0.3">
      <c r="J17" s="10" t="s">
        <v>11</v>
      </c>
      <c r="K17" s="9"/>
    </row>
  </sheetData>
  <sheetProtection password="CBA3" sheet="1" objects="1" scenarios="1"/>
  <customSheetViews>
    <customSheetView guid="{90253191-EC49-4460-9A21-265ADBDE51A0}" state="hidden" topLeftCell="A16">
      <selection activeCell="M15" sqref="M1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rxez xmlns="5885ef9e-08c5-4027-88f8-e3f1cef881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8261CE4C17B4290A80BCF6B9F7817" ma:contentTypeVersion="4" ma:contentTypeDescription="Create a new document." ma:contentTypeScope="" ma:versionID="2a23c90c4a866d2f5f1343fd42ce81b7">
  <xsd:schema xmlns:xsd="http://www.w3.org/2001/XMLSchema" xmlns:xs="http://www.w3.org/2001/XMLSchema" xmlns:p="http://schemas.microsoft.com/office/2006/metadata/properties" xmlns:ns2="ecd71431-ebd8-4723-aa1c-f81788cc8bd2" xmlns:ns3="http://schemas.microsoft.com/sharepoint/v4" xmlns:ns4="5885ef9e-08c5-4027-88f8-e3f1cef881ff" targetNamespace="http://schemas.microsoft.com/office/2006/metadata/properties" ma:root="true" ma:fieldsID="2d409ace1ee346c5fd2ff84367d7177a" ns2:_="" ns3:_="" ns4:_="">
    <xsd:import namespace="ecd71431-ebd8-4723-aa1c-f81788cc8bd2"/>
    <xsd:import namespace="http://schemas.microsoft.com/sharepoint/v4"/>
    <xsd:import namespace="5885ef9e-08c5-4027-88f8-e3f1cef88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IconOverlay" minOccurs="0"/>
                <xsd:element ref="ns4:rxe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71431-ebd8-4723-aa1c-f81788cc8b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5ef9e-08c5-4027-88f8-e3f1cef881ff" elementFormDefault="qualified">
    <xsd:import namespace="http://schemas.microsoft.com/office/2006/documentManagement/types"/>
    <xsd:import namespace="http://schemas.microsoft.com/office/infopath/2007/PartnerControls"/>
    <xsd:element name="rxez" ma:index="10" nillable="true" ma:displayName="Comments" ma:internalName="rxez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F72F8-1FD8-4102-BC09-EB695337BB05}">
  <ds:schemaRefs>
    <ds:schemaRef ds:uri="http://purl.org/dc/elements/1.1/"/>
    <ds:schemaRef ds:uri="http://schemas.microsoft.com/office/2006/documentManagement/types"/>
    <ds:schemaRef ds:uri="http://schemas.microsoft.com/sharepoint/v4"/>
    <ds:schemaRef ds:uri="http://schemas.microsoft.com/office/infopath/2007/PartnerControls"/>
    <ds:schemaRef ds:uri="http://schemas.microsoft.com/office/2006/metadata/properties"/>
    <ds:schemaRef ds:uri="ecd71431-ebd8-4723-aa1c-f81788cc8bd2"/>
    <ds:schemaRef ds:uri="http://www.w3.org/XML/1998/namespace"/>
    <ds:schemaRef ds:uri="http://purl.org/dc/dcmitype/"/>
    <ds:schemaRef ds:uri="http://schemas.openxmlformats.org/package/2006/metadata/core-properties"/>
    <ds:schemaRef ds:uri="5885ef9e-08c5-4027-88f8-e3f1cef881f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44245B-F113-4D2B-9D08-01C4BDF4D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71431-ebd8-4723-aa1c-f81788cc8bd2"/>
    <ds:schemaRef ds:uri="http://schemas.microsoft.com/sharepoint/v4"/>
    <ds:schemaRef ds:uri="5885ef9e-08c5-4027-88f8-e3f1cef88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F8273-6E41-44EF-A471-2F5CCCF59D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Tool</vt:lpstr>
      <vt:lpstr>behind_the_scenes</vt:lpstr>
      <vt:lpstr>INV</vt:lpstr>
      <vt:lpstr>NON</vt:lpstr>
      <vt:lpstr>ODINV</vt:lpstr>
      <vt:lpstr>ODNON</vt:lpstr>
      <vt:lpstr>PPINV</vt:lpstr>
      <vt:lpstr>PPNON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Vanacore, Joe</dc:creator>
  <cp:lastModifiedBy>Nguyen, Chi</cp:lastModifiedBy>
  <dcterms:created xsi:type="dcterms:W3CDTF">2019-06-26T23:12:49Z</dcterms:created>
  <dcterms:modified xsi:type="dcterms:W3CDTF">2022-12-16T21:04:07Z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0x010100FC38261CE4C17B4290A80BCF6B9F7817</vt:lpwstr>
  </property>
</Properties>
</file>