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88" windowWidth="15480" windowHeight="6132" activeTab="2"/>
  </bookViews>
  <sheets>
    <sheet name="Vac_Vbus_Iret" sheetId="19" r:id="rId1"/>
    <sheet name="Li &amp; Cf Sel" sheetId="22" r:id="rId2"/>
    <sheet name="SPLL Calculations" sheetId="25" r:id="rId3"/>
  </sheets>
  <calcPr calcId="145621"/>
</workbook>
</file>

<file path=xl/calcChain.xml><?xml version="1.0" encoding="utf-8"?>
<calcChain xmlns="http://schemas.openxmlformats.org/spreadsheetml/2006/main">
  <c r="B7" i="22" l="1"/>
  <c r="B15" i="19" l="1"/>
  <c r="B18" i="19" s="1"/>
  <c r="B21" i="19"/>
  <c r="B11" i="19"/>
  <c r="B6" i="19" l="1"/>
  <c r="C34" i="25" l="1"/>
  <c r="C20" i="25"/>
  <c r="C21" i="25" s="1"/>
  <c r="C22" i="25" s="1"/>
  <c r="C23" i="25" s="1"/>
  <c r="C25" i="25" l="1"/>
  <c r="C26" i="25" s="1"/>
  <c r="C27" i="25" l="1"/>
  <c r="C36" i="25" s="1"/>
  <c r="C35" i="25" l="1"/>
  <c r="D7" i="22" l="1"/>
  <c r="F7" i="22" s="1"/>
  <c r="B6" i="22"/>
  <c r="D6" i="22" s="1"/>
  <c r="B12" i="22" s="1"/>
  <c r="B17" i="22" s="1"/>
  <c r="F6" i="22" l="1"/>
  <c r="B14" i="22"/>
  <c r="B8" i="19" l="1"/>
  <c r="B9" i="19" s="1"/>
</calcChain>
</file>

<file path=xl/sharedStrings.xml><?xml version="1.0" encoding="utf-8"?>
<sst xmlns="http://schemas.openxmlformats.org/spreadsheetml/2006/main" count="95" uniqueCount="77">
  <si>
    <t>Amps</t>
  </si>
  <si>
    <t>R16</t>
  </si>
  <si>
    <t>Ohms</t>
  </si>
  <si>
    <t>R8+R11+R15</t>
  </si>
  <si>
    <t>V</t>
  </si>
  <si>
    <t>Vadc</t>
  </si>
  <si>
    <t>Volts</t>
  </si>
  <si>
    <t>Irms</t>
  </si>
  <si>
    <t>Ra</t>
  </si>
  <si>
    <t>Rb</t>
  </si>
  <si>
    <t>ADC Ref. Voltage</t>
  </si>
  <si>
    <t>Re</t>
  </si>
  <si>
    <t>Rf</t>
  </si>
  <si>
    <t>Resitor Divider Gain</t>
  </si>
  <si>
    <r>
      <t>I</t>
    </r>
    <r>
      <rPr>
        <b/>
        <vertAlign val="subscript"/>
        <sz val="14"/>
        <rFont val="Arial"/>
        <family val="2"/>
      </rPr>
      <t>max_sense</t>
    </r>
  </si>
  <si>
    <r>
      <t>V</t>
    </r>
    <r>
      <rPr>
        <vertAlign val="subscript"/>
        <sz val="14"/>
        <rFont val="Arial"/>
        <family val="2"/>
      </rPr>
      <t>bus_max_sense</t>
    </r>
  </si>
  <si>
    <t>VA</t>
  </si>
  <si>
    <t>Switching Frequency</t>
  </si>
  <si>
    <t>Hz</t>
  </si>
  <si>
    <t>Current at 110Vrms</t>
  </si>
  <si>
    <t>Current at 220Vrms</t>
  </si>
  <si>
    <t>Ipeak</t>
  </si>
  <si>
    <t>percent</t>
  </si>
  <si>
    <t>Li (min)</t>
  </si>
  <si>
    <t>DC Bus</t>
  </si>
  <si>
    <t>Inductance Li Calculation</t>
  </si>
  <si>
    <t>H</t>
  </si>
  <si>
    <t>Ripple Toerable at 110</t>
  </si>
  <si>
    <t>Ripple Tolerable at 220</t>
  </si>
  <si>
    <t>delta I</t>
  </si>
  <si>
    <t>Cf</t>
  </si>
  <si>
    <t>uF</t>
  </si>
  <si>
    <t>LC Filter Cuttoff</t>
  </si>
  <si>
    <t>Capacitance Cf Calculation</t>
  </si>
  <si>
    <t xml:space="preserve">First get the values for natural frequency from an assumption of setlling time </t>
  </si>
  <si>
    <t>Setlling Time</t>
  </si>
  <si>
    <t>ts</t>
  </si>
  <si>
    <t>ms</t>
  </si>
  <si>
    <t>Damping Ratio</t>
  </si>
  <si>
    <t>Error Band</t>
  </si>
  <si>
    <t>c=wn/wd</t>
  </si>
  <si>
    <t>ln(c/delta)</t>
  </si>
  <si>
    <t>wn</t>
  </si>
  <si>
    <t>Compare this with generic second order equation</t>
  </si>
  <si>
    <t>Where</t>
  </si>
  <si>
    <t>Substituting we get Kp and Ki</t>
  </si>
  <si>
    <t>Assuming vgrid=1</t>
  </si>
  <si>
    <t>Ti</t>
  </si>
  <si>
    <t>Kp</t>
  </si>
  <si>
    <t>Ki</t>
  </si>
  <si>
    <t>Comparing this with digital implementation of PI controller</t>
  </si>
  <si>
    <t>Fs</t>
  </si>
  <si>
    <t>Ts</t>
  </si>
  <si>
    <t>B0</t>
  </si>
  <si>
    <t>B1</t>
  </si>
  <si>
    <t>SPLL Specification</t>
  </si>
  <si>
    <t xml:space="preserve">For tuning of the SPLL, the PLL is assumed to be a second order system and the settling time and damping ratio equation of a second order system are used to tune the loop </t>
  </si>
  <si>
    <t>Simplified  PLL TF is given as</t>
  </si>
  <si>
    <t>Analog Coefficients</t>
  </si>
  <si>
    <t>Digital Coefficients</t>
  </si>
  <si>
    <t>Fc</t>
  </si>
  <si>
    <t>C</t>
  </si>
  <si>
    <t>nF</t>
  </si>
  <si>
    <r>
      <t>V</t>
    </r>
    <r>
      <rPr>
        <b/>
        <vertAlign val="subscript"/>
        <sz val="16"/>
        <color theme="0"/>
        <rFont val="Arial"/>
        <family val="2"/>
      </rPr>
      <t>ac</t>
    </r>
    <r>
      <rPr>
        <b/>
        <sz val="16"/>
        <color theme="0"/>
        <rFont val="Arial"/>
        <family val="2"/>
      </rPr>
      <t xml:space="preserve"> / V</t>
    </r>
    <r>
      <rPr>
        <b/>
        <vertAlign val="subscript"/>
        <sz val="16"/>
        <color theme="0"/>
        <rFont val="Arial"/>
        <family val="2"/>
      </rPr>
      <t>bus</t>
    </r>
  </si>
  <si>
    <t>Rfltr</t>
  </si>
  <si>
    <t>Cfltr</t>
  </si>
  <si>
    <t>Cut off</t>
  </si>
  <si>
    <t>Current is sensed using a hall effect sensor ACS716</t>
  </si>
  <si>
    <t>Sensivity</t>
  </si>
  <si>
    <t>mV/A</t>
  </si>
  <si>
    <t>Full Range</t>
  </si>
  <si>
    <t>Voltage is sensed using a resistor divider</t>
  </si>
  <si>
    <t>Iret</t>
  </si>
  <si>
    <t>Power Rating @ 110Vrms</t>
  </si>
  <si>
    <t>Power Rating @ 220Vrms</t>
  </si>
  <si>
    <t>Max Voltage and Current Sensing Calculations</t>
  </si>
  <si>
    <t>Basic Inductance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</si>
</sst>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bscript"/>
      <sz val="16"/>
      <color theme="0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0" fillId="0" borderId="6" xfId="0" applyBorder="1"/>
    <xf numFmtId="0" fontId="0" fillId="0" borderId="11" xfId="0" applyBorder="1"/>
    <xf numFmtId="0" fontId="0" fillId="0" borderId="10" xfId="0" applyBorder="1"/>
    <xf numFmtId="11" fontId="4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0" fontId="3" fillId="0" borderId="8" xfId="0" applyFont="1" applyBorder="1"/>
    <xf numFmtId="0" fontId="6" fillId="0" borderId="4" xfId="0" applyFont="1" applyBorder="1"/>
    <xf numFmtId="0" fontId="8" fillId="0" borderId="5" xfId="0" applyFont="1" applyBorder="1"/>
    <xf numFmtId="0" fontId="8" fillId="0" borderId="0" xfId="0" applyFont="1" applyBorder="1"/>
    <xf numFmtId="0" fontId="6" fillId="0" borderId="7" xfId="0" applyFont="1" applyBorder="1"/>
    <xf numFmtId="0" fontId="8" fillId="0" borderId="4" xfId="0" applyFont="1" applyBorder="1"/>
    <xf numFmtId="0" fontId="8" fillId="0" borderId="6" xfId="0" applyFont="1" applyBorder="1" applyAlignment="1">
      <alignment horizontal="left" wrapText="1"/>
    </xf>
    <xf numFmtId="0" fontId="8" fillId="0" borderId="7" xfId="0" applyFont="1" applyBorder="1"/>
    <xf numFmtId="0" fontId="8" fillId="0" borderId="8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/>
    </xf>
    <xf numFmtId="0" fontId="8" fillId="0" borderId="8" xfId="0" applyFont="1" applyBorder="1"/>
    <xf numFmtId="0" fontId="8" fillId="0" borderId="7" xfId="0" applyFont="1" applyBorder="1" applyAlignment="1">
      <alignment wrapText="1"/>
    </xf>
    <xf numFmtId="0" fontId="8" fillId="3" borderId="0" xfId="0" applyFont="1" applyFill="1" applyBorder="1"/>
    <xf numFmtId="0" fontId="8" fillId="0" borderId="10" xfId="0" applyFont="1" applyBorder="1"/>
    <xf numFmtId="0" fontId="3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5" xfId="0" applyBorder="1"/>
    <xf numFmtId="0" fontId="8" fillId="0" borderId="9" xfId="0" applyFont="1" applyFill="1" applyBorder="1"/>
    <xf numFmtId="0" fontId="8" fillId="0" borderId="0" xfId="0" applyFont="1" applyFill="1" applyBorder="1"/>
    <xf numFmtId="0" fontId="8" fillId="0" borderId="0" xfId="0" applyFont="1"/>
    <xf numFmtId="0" fontId="8" fillId="0" borderId="10" xfId="0" applyFont="1" applyFill="1" applyBorder="1"/>
    <xf numFmtId="0" fontId="8" fillId="0" borderId="5" xfId="0" applyFont="1" applyFill="1" applyBorder="1"/>
    <xf numFmtId="0" fontId="8" fillId="3" borderId="7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0" fillId="0" borderId="0" xfId="0" applyBorder="1" applyAlignment="1">
      <alignment horizontal="center"/>
    </xf>
    <xf numFmtId="17" fontId="0" fillId="0" borderId="0" xfId="0" applyNumberFormat="1"/>
    <xf numFmtId="0" fontId="0" fillId="4" borderId="0" xfId="0" applyFill="1"/>
    <xf numFmtId="0" fontId="11" fillId="4" borderId="0" xfId="0" applyFont="1" applyFill="1" applyAlignment="1"/>
    <xf numFmtId="0" fontId="0" fillId="0" borderId="15" xfId="0" applyBorder="1"/>
    <xf numFmtId="0" fontId="0" fillId="4" borderId="15" xfId="0" applyFill="1" applyBorder="1" applyAlignment="1"/>
    <xf numFmtId="0" fontId="0" fillId="4" borderId="15" xfId="0" applyFill="1" applyBorder="1"/>
    <xf numFmtId="0" fontId="11" fillId="0" borderId="16" xfId="0" applyFont="1" applyFill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19" xfId="0" applyFill="1" applyBorder="1" applyAlignment="1"/>
    <xf numFmtId="0" fontId="11" fillId="4" borderId="20" xfId="0" applyFont="1" applyFill="1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6" fillId="0" borderId="7" xfId="0" applyFont="1" applyFill="1" applyBorder="1"/>
    <xf numFmtId="0" fontId="6" fillId="3" borderId="0" xfId="0" applyFont="1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3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wmf"/><Relationship Id="rId3" Type="http://schemas.openxmlformats.org/officeDocument/2006/relationships/image" Target="../media/image6.emf"/><Relationship Id="rId7" Type="http://schemas.openxmlformats.org/officeDocument/2006/relationships/image" Target="../media/image10.wmf"/><Relationship Id="rId2" Type="http://schemas.openxmlformats.org/officeDocument/2006/relationships/image" Target="../media/image5.emf"/><Relationship Id="rId1" Type="http://schemas.openxmlformats.org/officeDocument/2006/relationships/image" Target="../media/image4.wmf"/><Relationship Id="rId6" Type="http://schemas.openxmlformats.org/officeDocument/2006/relationships/image" Target="../media/image9.w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13</xdr:row>
      <xdr:rowOff>314325</xdr:rowOff>
    </xdr:from>
    <xdr:to>
      <xdr:col>4</xdr:col>
      <xdr:colOff>2552700</xdr:colOff>
      <xdr:row>16</xdr:row>
      <xdr:rowOff>152402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4362450"/>
          <a:ext cx="2514600" cy="1143002"/>
        </a:xfrm>
        <a:prstGeom prst="rect">
          <a:avLst/>
        </a:prstGeom>
      </xdr:spPr>
    </xdr:pic>
    <xdr:clientData/>
  </xdr:twoCellAnchor>
  <xdr:twoCellAnchor editAs="oneCell">
    <xdr:from>
      <xdr:col>4</xdr:col>
      <xdr:colOff>870848</xdr:colOff>
      <xdr:row>4</xdr:row>
      <xdr:rowOff>114300</xdr:rowOff>
    </xdr:from>
    <xdr:to>
      <xdr:col>4</xdr:col>
      <xdr:colOff>1874519</xdr:colOff>
      <xdr:row>10</xdr:row>
      <xdr:rowOff>53340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53" t="7108" r="16805"/>
        <a:stretch/>
      </xdr:blipFill>
      <xdr:spPr>
        <a:xfrm>
          <a:off x="4505588" y="541020"/>
          <a:ext cx="1003671" cy="1478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10</xdr:row>
          <xdr:rowOff>160020</xdr:rowOff>
        </xdr:from>
        <xdr:to>
          <xdr:col>6</xdr:col>
          <xdr:colOff>342900</xdr:colOff>
          <xdr:row>13</xdr:row>
          <xdr:rowOff>45720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11</xdr:row>
          <xdr:rowOff>22860</xdr:rowOff>
        </xdr:from>
        <xdr:to>
          <xdr:col>4</xdr:col>
          <xdr:colOff>45720</xdr:colOff>
          <xdr:row>13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480060</xdr:colOff>
          <xdr:row>11</xdr:row>
          <xdr:rowOff>38100</xdr:rowOff>
        </xdr:from>
        <xdr:to>
          <xdr:col>6</xdr:col>
          <xdr:colOff>518160</xdr:colOff>
          <xdr:row>13</xdr:row>
          <xdr:rowOff>152400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38100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18</xdr:row>
          <xdr:rowOff>0</xdr:rowOff>
        </xdr:from>
        <xdr:to>
          <xdr:col>1</xdr:col>
          <xdr:colOff>327660</xdr:colOff>
          <xdr:row>19</xdr:row>
          <xdr:rowOff>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21</xdr:row>
          <xdr:rowOff>22860</xdr:rowOff>
        </xdr:from>
        <xdr:to>
          <xdr:col>1</xdr:col>
          <xdr:colOff>381000</xdr:colOff>
          <xdr:row>22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</xdr:colOff>
          <xdr:row>2</xdr:row>
          <xdr:rowOff>38100</xdr:rowOff>
        </xdr:from>
        <xdr:to>
          <xdr:col>7</xdr:col>
          <xdr:colOff>411480</xdr:colOff>
          <xdr:row>6</xdr:row>
          <xdr:rowOff>160020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7</xdr:row>
          <xdr:rowOff>137160</xdr:rowOff>
        </xdr:from>
        <xdr:to>
          <xdr:col>5</xdr:col>
          <xdr:colOff>601980</xdr:colOff>
          <xdr:row>10</xdr:row>
          <xdr:rowOff>30480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28</xdr:row>
          <xdr:rowOff>45720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image" Target="../media/image8.e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10.wmf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11" Type="http://schemas.openxmlformats.org/officeDocument/2006/relationships/image" Target="../media/image7.emf"/><Relationship Id="rId5" Type="http://schemas.openxmlformats.org/officeDocument/2006/relationships/image" Target="../media/image4.wmf"/><Relationship Id="rId15" Type="http://schemas.openxmlformats.org/officeDocument/2006/relationships/image" Target="../media/image9.wmf"/><Relationship Id="rId10" Type="http://schemas.openxmlformats.org/officeDocument/2006/relationships/oleObject" Target="../embeddings/oleObject5.bin"/><Relationship Id="rId19" Type="http://schemas.openxmlformats.org/officeDocument/2006/relationships/image" Target="../media/image11.wmf"/><Relationship Id="rId4" Type="http://schemas.openxmlformats.org/officeDocument/2006/relationships/oleObject" Target="../embeddings/oleObject2.bin"/><Relationship Id="rId9" Type="http://schemas.openxmlformats.org/officeDocument/2006/relationships/image" Target="../media/image6.emf"/><Relationship Id="rId1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6"/>
  <sheetViews>
    <sheetView zoomScale="70" zoomScaleNormal="70" workbookViewId="0">
      <selection activeCell="P15" sqref="P15"/>
    </sheetView>
  </sheetViews>
  <sheetFormatPr defaultRowHeight="13.2" x14ac:dyDescent="0.25"/>
  <cols>
    <col min="1" max="1" width="17.6640625" customWidth="1"/>
    <col min="2" max="2" width="10.33203125" bestFit="1" customWidth="1"/>
    <col min="3" max="3" width="6.44140625" customWidth="1"/>
    <col min="4" max="4" width="18.5546875" customWidth="1"/>
    <col min="5" max="5" width="39" customWidth="1"/>
  </cols>
  <sheetData>
    <row r="1" spans="1:5" x14ac:dyDescent="0.25">
      <c r="A1" t="s">
        <v>75</v>
      </c>
    </row>
    <row r="2" spans="1:5" ht="13.8" thickBot="1" x14ac:dyDescent="0.3"/>
    <row r="3" spans="1:5" ht="15.6" thickBot="1" x14ac:dyDescent="0.3">
      <c r="A3" s="12" t="s">
        <v>5</v>
      </c>
      <c r="B3" s="9">
        <v>3.3</v>
      </c>
      <c r="C3" s="6" t="s">
        <v>4</v>
      </c>
      <c r="D3" s="5" t="s">
        <v>10</v>
      </c>
    </row>
    <row r="4" spans="1:5" ht="18" thickBot="1" x14ac:dyDescent="0.35">
      <c r="A4" s="56" t="s">
        <v>71</v>
      </c>
      <c r="B4" s="57"/>
      <c r="C4" s="57"/>
      <c r="D4" s="57"/>
      <c r="E4" s="58"/>
    </row>
    <row r="5" spans="1:5" ht="24" thickBot="1" x14ac:dyDescent="0.55000000000000004">
      <c r="A5" s="59" t="s">
        <v>63</v>
      </c>
      <c r="B5" s="60"/>
      <c r="C5" s="60"/>
      <c r="D5" s="61"/>
      <c r="E5" s="54"/>
    </row>
    <row r="6" spans="1:5" ht="15" x14ac:dyDescent="0.25">
      <c r="A6" s="14" t="s">
        <v>8</v>
      </c>
      <c r="B6" s="10">
        <f>348000*3</f>
        <v>1044000</v>
      </c>
      <c r="C6" s="10" t="s">
        <v>2</v>
      </c>
      <c r="D6" s="10" t="s">
        <v>3</v>
      </c>
      <c r="E6" s="55"/>
    </row>
    <row r="7" spans="1:5" ht="15" x14ac:dyDescent="0.25">
      <c r="A7" s="14" t="s">
        <v>9</v>
      </c>
      <c r="B7" s="10">
        <v>7500</v>
      </c>
      <c r="C7" s="10" t="s">
        <v>2</v>
      </c>
      <c r="D7" s="17" t="s">
        <v>1</v>
      </c>
      <c r="E7" s="55"/>
    </row>
    <row r="8" spans="1:5" ht="30" x14ac:dyDescent="0.25">
      <c r="A8" s="18" t="s">
        <v>13</v>
      </c>
      <c r="B8" s="10">
        <f>B7/(B6+B7)</f>
        <v>7.1326676176890159E-3</v>
      </c>
      <c r="C8" s="10"/>
      <c r="D8" s="17"/>
      <c r="E8" s="55"/>
    </row>
    <row r="9" spans="1:5" ht="19.8" x14ac:dyDescent="0.4">
      <c r="A9" s="50" t="s">
        <v>15</v>
      </c>
      <c r="B9" s="19">
        <f>B3/(B8)</f>
        <v>462.65999999999997</v>
      </c>
      <c r="C9" s="19" t="s">
        <v>6</v>
      </c>
      <c r="D9" s="17"/>
      <c r="E9" s="55"/>
    </row>
    <row r="10" spans="1:5" ht="17.399999999999999" x14ac:dyDescent="0.3">
      <c r="A10" s="49" t="s">
        <v>61</v>
      </c>
      <c r="B10" s="25">
        <v>0.45</v>
      </c>
      <c r="C10" s="25" t="s">
        <v>62</v>
      </c>
      <c r="D10" s="17"/>
      <c r="E10" s="55"/>
    </row>
    <row r="11" spans="1:5" ht="18" thickBot="1" x14ac:dyDescent="0.35">
      <c r="A11" s="49" t="s">
        <v>60</v>
      </c>
      <c r="B11" s="25">
        <f>1/(2*3.14*7500*B10*10^-9)</f>
        <v>47180.938900684116</v>
      </c>
      <c r="C11" s="25" t="s">
        <v>18</v>
      </c>
      <c r="D11" s="17"/>
      <c r="E11" s="55"/>
    </row>
    <row r="12" spans="1:5" ht="18" thickBot="1" x14ac:dyDescent="0.35">
      <c r="A12" s="56" t="s">
        <v>67</v>
      </c>
      <c r="B12" s="57"/>
      <c r="C12" s="57"/>
      <c r="D12" s="57"/>
      <c r="E12" s="115"/>
    </row>
    <row r="13" spans="1:5" ht="21.6" thickBot="1" x14ac:dyDescent="0.45">
      <c r="A13" s="59" t="s">
        <v>72</v>
      </c>
      <c r="B13" s="60"/>
      <c r="C13" s="60"/>
      <c r="D13" s="61"/>
      <c r="E13" s="51"/>
    </row>
    <row r="14" spans="1:5" ht="33.75" customHeight="1" x14ac:dyDescent="0.3">
      <c r="A14" s="8" t="s">
        <v>68</v>
      </c>
      <c r="B14" s="9">
        <v>37</v>
      </c>
      <c r="C14" s="9" t="s">
        <v>69</v>
      </c>
      <c r="D14" s="13"/>
      <c r="E14" s="52"/>
    </row>
    <row r="15" spans="1:5" ht="33.75" customHeight="1" x14ac:dyDescent="0.3">
      <c r="A15" s="11" t="s">
        <v>70</v>
      </c>
      <c r="B15" s="10">
        <f>1.65/(B14*10^-3)</f>
        <v>44.594594594594597</v>
      </c>
      <c r="C15" s="10" t="s">
        <v>7</v>
      </c>
      <c r="D15" s="15"/>
      <c r="E15" s="52"/>
    </row>
    <row r="16" spans="1:5" ht="35.25" customHeight="1" x14ac:dyDescent="0.25">
      <c r="A16" s="16" t="s">
        <v>11</v>
      </c>
      <c r="B16" s="10">
        <v>1000</v>
      </c>
      <c r="C16" s="10" t="s">
        <v>2</v>
      </c>
      <c r="D16" s="17"/>
      <c r="E16" s="52"/>
    </row>
    <row r="17" spans="1:5" ht="15" x14ac:dyDescent="0.25">
      <c r="A17" s="16" t="s">
        <v>12</v>
      </c>
      <c r="B17" s="10">
        <v>1800</v>
      </c>
      <c r="C17" s="10" t="s">
        <v>2</v>
      </c>
      <c r="D17" s="17"/>
      <c r="E17" s="52"/>
    </row>
    <row r="18" spans="1:5" ht="21" x14ac:dyDescent="0.45">
      <c r="A18" s="113" t="s">
        <v>14</v>
      </c>
      <c r="B18" s="19">
        <f>B15*B16/B17</f>
        <v>24.774774774774773</v>
      </c>
      <c r="C18" s="19" t="s">
        <v>0</v>
      </c>
      <c r="D18" s="17"/>
      <c r="E18" s="52"/>
    </row>
    <row r="19" spans="1:5" ht="15" x14ac:dyDescent="0.25">
      <c r="A19" s="16" t="s">
        <v>64</v>
      </c>
      <c r="B19" s="10">
        <v>47</v>
      </c>
      <c r="C19" s="10" t="s">
        <v>2</v>
      </c>
      <c r="D19" s="17"/>
      <c r="E19" s="52"/>
    </row>
    <row r="20" spans="1:5" ht="15" x14ac:dyDescent="0.25">
      <c r="A20" s="16" t="s">
        <v>65</v>
      </c>
      <c r="B20" s="25">
        <v>47</v>
      </c>
      <c r="C20" s="25" t="s">
        <v>62</v>
      </c>
      <c r="D20" s="17"/>
      <c r="E20" s="52"/>
    </row>
    <row r="21" spans="1:5" ht="15.6" thickBot="1" x14ac:dyDescent="0.3">
      <c r="A21" s="114" t="s">
        <v>66</v>
      </c>
      <c r="B21" s="27">
        <f>1/(2*3.14*B19*B20*10^-9)</f>
        <v>72084.956446269309</v>
      </c>
      <c r="C21" s="27" t="s">
        <v>18</v>
      </c>
      <c r="D21" s="2"/>
      <c r="E21" s="53"/>
    </row>
    <row r="22" spans="1:5" x14ac:dyDescent="0.25">
      <c r="B22" s="4"/>
      <c r="C22" s="4"/>
    </row>
    <row r="23" spans="1:5" ht="19.5" customHeight="1" x14ac:dyDescent="0.25">
      <c r="B23" s="4"/>
      <c r="C23" s="4"/>
    </row>
    <row r="24" spans="1:5" ht="23.25" customHeight="1" x14ac:dyDescent="0.25">
      <c r="B24" s="4"/>
      <c r="C24" s="4"/>
    </row>
    <row r="25" spans="1:5" x14ac:dyDescent="0.25">
      <c r="B25" s="4"/>
      <c r="C25" s="4"/>
    </row>
    <row r="26" spans="1:5" x14ac:dyDescent="0.25">
      <c r="B26" s="4"/>
      <c r="C26" s="4"/>
    </row>
  </sheetData>
  <mergeCells count="5">
    <mergeCell ref="E5:E11"/>
    <mergeCell ref="A4:E4"/>
    <mergeCell ref="A5:D5"/>
    <mergeCell ref="A12:E12"/>
    <mergeCell ref="A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3.2" x14ac:dyDescent="0.25"/>
  <cols>
    <col min="1" max="1" width="27.44140625" customWidth="1"/>
    <col min="2" max="2" width="10.44140625" bestFit="1" customWidth="1"/>
    <col min="5" max="5" width="7.44140625" customWidth="1"/>
  </cols>
  <sheetData>
    <row r="1" spans="1:7" x14ac:dyDescent="0.25">
      <c r="A1" t="s">
        <v>76</v>
      </c>
    </row>
    <row r="3" spans="1:7" ht="15" x14ac:dyDescent="0.25">
      <c r="A3" s="26" t="s">
        <v>73</v>
      </c>
      <c r="B3" s="26">
        <v>1600</v>
      </c>
      <c r="C3" s="26" t="s">
        <v>16</v>
      </c>
      <c r="D3" s="26"/>
      <c r="E3" s="26"/>
      <c r="F3" s="26"/>
      <c r="G3" s="26"/>
    </row>
    <row r="4" spans="1:7" ht="15" x14ac:dyDescent="0.25">
      <c r="A4" s="26" t="s">
        <v>74</v>
      </c>
      <c r="B4" s="26">
        <v>3300</v>
      </c>
      <c r="C4" s="26" t="s">
        <v>16</v>
      </c>
      <c r="D4" s="26"/>
      <c r="E4" s="26"/>
      <c r="F4" s="26"/>
      <c r="G4" s="26"/>
    </row>
    <row r="5" spans="1:7" ht="15" x14ac:dyDescent="0.25">
      <c r="A5" s="26" t="s">
        <v>17</v>
      </c>
      <c r="B5" s="26">
        <v>300000</v>
      </c>
      <c r="C5" s="26" t="s">
        <v>18</v>
      </c>
      <c r="D5" s="26"/>
      <c r="E5" s="26"/>
      <c r="F5" s="26"/>
      <c r="G5" s="26"/>
    </row>
    <row r="6" spans="1:7" ht="15" x14ac:dyDescent="0.25">
      <c r="A6" s="26" t="s">
        <v>19</v>
      </c>
      <c r="B6" s="26">
        <f>B3/110</f>
        <v>14.545454545454545</v>
      </c>
      <c r="C6" s="26" t="s">
        <v>7</v>
      </c>
      <c r="D6" s="26">
        <f>B6*1.414</f>
        <v>20.567272727272726</v>
      </c>
      <c r="E6" s="26" t="s">
        <v>21</v>
      </c>
      <c r="F6" s="26">
        <f>D6*B11*0.01</f>
        <v>2.0567272727272727</v>
      </c>
      <c r="G6" s="26" t="s">
        <v>29</v>
      </c>
    </row>
    <row r="7" spans="1:7" ht="15" x14ac:dyDescent="0.25">
      <c r="A7" s="26" t="s">
        <v>20</v>
      </c>
      <c r="B7" s="26">
        <f>B4/220</f>
        <v>15</v>
      </c>
      <c r="C7" s="26" t="s">
        <v>7</v>
      </c>
      <c r="D7" s="26">
        <f>B7*1.414</f>
        <v>21.209999999999997</v>
      </c>
      <c r="E7" s="26" t="s">
        <v>21</v>
      </c>
      <c r="F7" s="26">
        <f>D7*B13*0.01</f>
        <v>2.1209999999999996</v>
      </c>
      <c r="G7" s="26" t="s">
        <v>29</v>
      </c>
    </row>
    <row r="8" spans="1:7" ht="15" x14ac:dyDescent="0.25">
      <c r="A8" s="26" t="s">
        <v>24</v>
      </c>
      <c r="B8" s="26">
        <v>380</v>
      </c>
      <c r="C8" s="26" t="s">
        <v>4</v>
      </c>
      <c r="D8" s="26"/>
      <c r="E8" s="26"/>
      <c r="F8" s="26"/>
      <c r="G8" s="26"/>
    </row>
    <row r="9" spans="1:7" ht="13.8" thickBot="1" x14ac:dyDescent="0.3"/>
    <row r="10" spans="1:7" ht="18" thickBot="1" x14ac:dyDescent="0.35">
      <c r="A10" s="56" t="s">
        <v>25</v>
      </c>
      <c r="B10" s="57"/>
      <c r="C10" s="57"/>
      <c r="D10" s="57"/>
      <c r="E10" s="57"/>
      <c r="F10" s="57"/>
      <c r="G10" s="58"/>
    </row>
    <row r="11" spans="1:7" ht="15" x14ac:dyDescent="0.25">
      <c r="A11" s="14" t="s">
        <v>27</v>
      </c>
      <c r="B11" s="10">
        <v>10</v>
      </c>
      <c r="C11" s="10" t="s">
        <v>22</v>
      </c>
      <c r="D11" s="7"/>
      <c r="E11" s="65"/>
      <c r="F11" s="66"/>
      <c r="G11" s="62"/>
    </row>
    <row r="12" spans="1:7" ht="15" x14ac:dyDescent="0.25">
      <c r="A12" s="29" t="s">
        <v>23</v>
      </c>
      <c r="B12" s="19">
        <f>B8/(4*B5*D6*0.01*B11)</f>
        <v>1.5396628948609144E-4</v>
      </c>
      <c r="C12" s="25" t="s">
        <v>26</v>
      </c>
      <c r="D12" s="7"/>
      <c r="E12" s="67"/>
      <c r="F12" s="68"/>
      <c r="G12" s="63"/>
    </row>
    <row r="13" spans="1:7" ht="15" x14ac:dyDescent="0.25">
      <c r="A13" s="14" t="s">
        <v>28</v>
      </c>
      <c r="B13" s="10">
        <v>10</v>
      </c>
      <c r="C13" s="10" t="s">
        <v>22</v>
      </c>
      <c r="D13" s="21"/>
      <c r="E13" s="67"/>
      <c r="F13" s="68"/>
      <c r="G13" s="63"/>
    </row>
    <row r="14" spans="1:7" ht="15.6" thickBot="1" x14ac:dyDescent="0.3">
      <c r="A14" s="22" t="s">
        <v>23</v>
      </c>
      <c r="B14" s="20">
        <f>B8/(4*B5*D7*0.01*B13)</f>
        <v>1.4930064435014932E-4</v>
      </c>
      <c r="C14" s="20" t="s">
        <v>26</v>
      </c>
      <c r="D14" s="2"/>
      <c r="E14" s="69"/>
      <c r="F14" s="70"/>
      <c r="G14" s="64"/>
    </row>
    <row r="15" spans="1:7" ht="18" thickBot="1" x14ac:dyDescent="0.35">
      <c r="A15" s="56" t="s">
        <v>33</v>
      </c>
      <c r="B15" s="57"/>
      <c r="C15" s="57"/>
      <c r="D15" s="57"/>
      <c r="E15" s="57"/>
      <c r="F15" s="57"/>
      <c r="G15" s="58"/>
    </row>
    <row r="16" spans="1:7" ht="15" x14ac:dyDescent="0.25">
      <c r="A16" s="30" t="s">
        <v>30</v>
      </c>
      <c r="B16" s="31">
        <v>2.2000000000000002</v>
      </c>
      <c r="C16" s="28" t="s">
        <v>31</v>
      </c>
      <c r="D16" s="23"/>
      <c r="E16" s="23"/>
      <c r="F16" s="23"/>
      <c r="G16" s="1"/>
    </row>
    <row r="17" spans="1:7" ht="15.6" thickBot="1" x14ac:dyDescent="0.3">
      <c r="A17" s="24" t="s">
        <v>32</v>
      </c>
      <c r="B17" s="20">
        <f>1/(2*3.14*SQRT(B12*B16*10^-6))</f>
        <v>8651.993690304098</v>
      </c>
      <c r="C17" s="27" t="s">
        <v>18</v>
      </c>
      <c r="D17" s="3"/>
      <c r="E17" s="3"/>
      <c r="F17" s="3"/>
      <c r="G17" s="2"/>
    </row>
  </sheetData>
  <mergeCells count="3">
    <mergeCell ref="E11:G14"/>
    <mergeCell ref="A10:G10"/>
    <mergeCell ref="A15:G1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5" r:id="rId4">
          <objectPr defaultSize="0" autoPict="0" r:id="rId5">
            <anchor moveWithCells="1" sizeWithCells="1">
              <from>
                <xdr:col>4</xdr:col>
                <xdr:colOff>106680</xdr:colOff>
                <xdr:row>10</xdr:row>
                <xdr:rowOff>160020</xdr:rowOff>
              </from>
              <to>
                <xdr:col>6</xdr:col>
                <xdr:colOff>342900</xdr:colOff>
                <xdr:row>13</xdr:row>
                <xdr:rowOff>45720</xdr:rowOff>
              </to>
            </anchor>
          </objectPr>
        </oleObject>
      </mc:Choice>
      <mc:Fallback>
        <oleObject progId="Equation.3" shapeId="307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L22" sqref="L22"/>
    </sheetView>
  </sheetViews>
  <sheetFormatPr defaultRowHeight="13.2" x14ac:dyDescent="0.25"/>
  <cols>
    <col min="1" max="1" width="25.5546875" customWidth="1"/>
    <col min="2" max="2" width="8.44140625" customWidth="1"/>
    <col min="3" max="3" width="28.109375" customWidth="1"/>
  </cols>
  <sheetData>
    <row r="1" spans="1:10" ht="18" thickBot="1" x14ac:dyDescent="0.35">
      <c r="A1" s="56" t="s">
        <v>55</v>
      </c>
      <c r="B1" s="57"/>
      <c r="C1" s="57"/>
      <c r="D1" s="57"/>
      <c r="E1" s="57"/>
      <c r="F1" s="57"/>
      <c r="G1" s="57"/>
      <c r="H1" s="58"/>
    </row>
    <row r="2" spans="1:10" ht="32.25" customHeight="1" thickBot="1" x14ac:dyDescent="0.3">
      <c r="A2" s="89" t="s">
        <v>56</v>
      </c>
      <c r="B2" s="90"/>
      <c r="C2" s="90"/>
      <c r="D2" s="90"/>
      <c r="E2" s="90"/>
      <c r="F2" s="90"/>
      <c r="G2" s="90"/>
      <c r="H2" s="91"/>
    </row>
    <row r="3" spans="1:10" x14ac:dyDescent="0.25">
      <c r="A3" s="92" t="s">
        <v>57</v>
      </c>
      <c r="B3" s="93"/>
      <c r="C3" s="65"/>
      <c r="D3" s="66"/>
      <c r="E3" s="66"/>
      <c r="F3" s="66"/>
      <c r="G3" s="66"/>
      <c r="H3" s="62"/>
    </row>
    <row r="4" spans="1:10" x14ac:dyDescent="0.25">
      <c r="A4" s="94"/>
      <c r="B4" s="95"/>
      <c r="C4" s="67"/>
      <c r="D4" s="68"/>
      <c r="E4" s="68"/>
      <c r="F4" s="68"/>
      <c r="G4" s="68"/>
      <c r="H4" s="63"/>
    </row>
    <row r="5" spans="1:10" x14ac:dyDescent="0.25">
      <c r="A5" s="94"/>
      <c r="B5" s="95"/>
      <c r="C5" s="67"/>
      <c r="D5" s="68"/>
      <c r="E5" s="68"/>
      <c r="F5" s="68"/>
      <c r="G5" s="68"/>
      <c r="H5" s="63"/>
    </row>
    <row r="6" spans="1:10" x14ac:dyDescent="0.25">
      <c r="A6" s="94"/>
      <c r="B6" s="95"/>
      <c r="C6" s="67"/>
      <c r="D6" s="68"/>
      <c r="E6" s="68"/>
      <c r="F6" s="68"/>
      <c r="G6" s="68"/>
      <c r="H6" s="63"/>
    </row>
    <row r="7" spans="1:10" ht="13.8" thickBot="1" x14ac:dyDescent="0.3">
      <c r="A7" s="96"/>
      <c r="B7" s="97"/>
      <c r="C7" s="69"/>
      <c r="D7" s="70"/>
      <c r="E7" s="70"/>
      <c r="F7" s="70"/>
      <c r="G7" s="70"/>
      <c r="H7" s="64"/>
    </row>
    <row r="8" spans="1:10" x14ac:dyDescent="0.25">
      <c r="A8" s="98" t="s">
        <v>43</v>
      </c>
      <c r="B8" s="99"/>
      <c r="C8" s="65"/>
      <c r="D8" s="66"/>
      <c r="E8" s="66"/>
      <c r="F8" s="66"/>
      <c r="G8" s="66"/>
      <c r="H8" s="62"/>
    </row>
    <row r="9" spans="1:10" x14ac:dyDescent="0.25">
      <c r="A9" s="100"/>
      <c r="B9" s="101"/>
      <c r="C9" s="67"/>
      <c r="D9" s="68"/>
      <c r="E9" s="68"/>
      <c r="F9" s="68"/>
      <c r="G9" s="68"/>
      <c r="H9" s="63"/>
    </row>
    <row r="10" spans="1:10" x14ac:dyDescent="0.25">
      <c r="A10" s="100"/>
      <c r="B10" s="101"/>
      <c r="C10" s="67"/>
      <c r="D10" s="68"/>
      <c r="E10" s="68"/>
      <c r="F10" s="68"/>
      <c r="G10" s="68"/>
      <c r="H10" s="63"/>
    </row>
    <row r="11" spans="1:10" ht="13.8" thickBot="1" x14ac:dyDescent="0.3">
      <c r="A11" s="102"/>
      <c r="B11" s="103"/>
      <c r="C11" s="69"/>
      <c r="D11" s="70"/>
      <c r="E11" s="70"/>
      <c r="F11" s="70"/>
      <c r="G11" s="70"/>
      <c r="H11" s="64"/>
    </row>
    <row r="12" spans="1:10" x14ac:dyDescent="0.25">
      <c r="A12" s="104" t="s">
        <v>44</v>
      </c>
      <c r="B12" s="105"/>
      <c r="C12" s="104"/>
      <c r="D12" s="110"/>
      <c r="E12" s="110"/>
      <c r="F12" s="110"/>
      <c r="G12" s="110"/>
      <c r="H12" s="105"/>
    </row>
    <row r="13" spans="1:10" x14ac:dyDescent="0.25">
      <c r="A13" s="106"/>
      <c r="B13" s="107"/>
      <c r="C13" s="106"/>
      <c r="D13" s="111"/>
      <c r="E13" s="111"/>
      <c r="F13" s="111"/>
      <c r="G13" s="111"/>
      <c r="H13" s="107"/>
      <c r="J13" s="33"/>
    </row>
    <row r="14" spans="1:10" ht="13.8" thickBot="1" x14ac:dyDescent="0.3">
      <c r="A14" s="108"/>
      <c r="B14" s="109"/>
      <c r="C14" s="108"/>
      <c r="D14" s="112"/>
      <c r="E14" s="112"/>
      <c r="F14" s="112"/>
      <c r="G14" s="112"/>
      <c r="H14" s="109"/>
    </row>
    <row r="15" spans="1:10" ht="21.6" thickBot="1" x14ac:dyDescent="0.45">
      <c r="A15" s="71" t="s">
        <v>58</v>
      </c>
      <c r="B15" s="72"/>
      <c r="C15" s="72"/>
      <c r="D15" s="73"/>
    </row>
    <row r="16" spans="1:10" ht="14.4" x14ac:dyDescent="0.3">
      <c r="A16" s="39" t="s">
        <v>34</v>
      </c>
      <c r="B16" s="40"/>
      <c r="C16" s="40"/>
      <c r="D16" s="41"/>
    </row>
    <row r="17" spans="1:8" x14ac:dyDescent="0.25">
      <c r="A17" s="42" t="s">
        <v>35</v>
      </c>
      <c r="B17" s="36" t="s">
        <v>36</v>
      </c>
      <c r="C17" s="36">
        <v>0.03</v>
      </c>
      <c r="D17" s="43" t="s">
        <v>37</v>
      </c>
    </row>
    <row r="18" spans="1:8" x14ac:dyDescent="0.25">
      <c r="A18" s="42" t="s">
        <v>38</v>
      </c>
      <c r="B18" s="36"/>
      <c r="C18" s="36">
        <v>0.7</v>
      </c>
      <c r="D18" s="43"/>
    </row>
    <row r="19" spans="1:8" x14ac:dyDescent="0.25">
      <c r="A19" s="42" t="s">
        <v>39</v>
      </c>
      <c r="B19" s="36"/>
      <c r="C19" s="36">
        <v>0.05</v>
      </c>
      <c r="D19" s="43"/>
    </row>
    <row r="20" spans="1:8" x14ac:dyDescent="0.25">
      <c r="A20" s="42" t="s">
        <v>40</v>
      </c>
      <c r="B20" s="36"/>
      <c r="C20" s="36">
        <f>1/SQRT(1-C18*C18)</f>
        <v>1.4002800840280099</v>
      </c>
      <c r="D20" s="43"/>
    </row>
    <row r="21" spans="1:8" x14ac:dyDescent="0.25">
      <c r="A21" s="42" t="s">
        <v>41</v>
      </c>
      <c r="B21" s="36"/>
      <c r="C21" s="36">
        <f>LN(C20/C19)</f>
        <v>3.3324045501858737</v>
      </c>
      <c r="D21" s="43"/>
    </row>
    <row r="22" spans="1:8" x14ac:dyDescent="0.25">
      <c r="A22" s="42"/>
      <c r="B22" s="36"/>
      <c r="C22" s="36">
        <f>C21/(C17)</f>
        <v>111.08015167286246</v>
      </c>
      <c r="D22" s="43"/>
    </row>
    <row r="23" spans="1:8" x14ac:dyDescent="0.25">
      <c r="A23" s="42" t="s">
        <v>42</v>
      </c>
      <c r="B23" s="36"/>
      <c r="C23" s="36">
        <f>C22/(C18)</f>
        <v>158.68593096123209</v>
      </c>
      <c r="D23" s="43"/>
    </row>
    <row r="24" spans="1:8" ht="14.4" x14ac:dyDescent="0.3">
      <c r="A24" s="44" t="s">
        <v>45</v>
      </c>
      <c r="B24" s="37"/>
      <c r="C24" s="38"/>
      <c r="D24" s="45"/>
      <c r="E24" s="35"/>
      <c r="F24" s="35"/>
      <c r="G24" s="34"/>
    </row>
    <row r="25" spans="1:8" x14ac:dyDescent="0.25">
      <c r="A25" s="42" t="s">
        <v>47</v>
      </c>
      <c r="B25" s="36"/>
      <c r="C25" s="36">
        <f>2*C18/C23</f>
        <v>8.8224582451611813E-3</v>
      </c>
      <c r="D25" s="43"/>
      <c r="E25" s="33"/>
      <c r="G25" s="33"/>
    </row>
    <row r="26" spans="1:8" x14ac:dyDescent="0.25">
      <c r="A26" s="42" t="s">
        <v>48</v>
      </c>
      <c r="B26" s="36"/>
      <c r="C26" s="36">
        <f>C23*C23*C25</f>
        <v>222.16030334572494</v>
      </c>
      <c r="D26" s="43"/>
    </row>
    <row r="27" spans="1:8" ht="13.8" thickBot="1" x14ac:dyDescent="0.3">
      <c r="A27" s="46" t="s">
        <v>49</v>
      </c>
      <c r="B27" s="47"/>
      <c r="C27" s="47">
        <f>C26/C25</f>
        <v>25181.224685032917</v>
      </c>
      <c r="D27" s="48"/>
    </row>
    <row r="28" spans="1:8" ht="21.6" thickBot="1" x14ac:dyDescent="0.45">
      <c r="A28" s="71" t="s">
        <v>59</v>
      </c>
      <c r="B28" s="72"/>
      <c r="C28" s="72"/>
      <c r="D28" s="73"/>
    </row>
    <row r="29" spans="1:8" ht="12.75" customHeight="1" x14ac:dyDescent="0.25">
      <c r="A29" s="83" t="s">
        <v>50</v>
      </c>
      <c r="B29" s="74"/>
      <c r="C29" s="75"/>
      <c r="D29" s="76"/>
      <c r="E29" s="32"/>
      <c r="F29" s="32"/>
      <c r="G29" s="32"/>
      <c r="H29" s="32"/>
    </row>
    <row r="30" spans="1:8" x14ac:dyDescent="0.25">
      <c r="A30" s="84"/>
      <c r="B30" s="77"/>
      <c r="C30" s="78"/>
      <c r="D30" s="79"/>
      <c r="E30" s="32"/>
      <c r="F30" s="32"/>
      <c r="G30" s="32"/>
      <c r="H30" s="32"/>
    </row>
    <row r="31" spans="1:8" ht="26.25" customHeight="1" thickBot="1" x14ac:dyDescent="0.3">
      <c r="A31" s="85"/>
      <c r="B31" s="80"/>
      <c r="C31" s="81"/>
      <c r="D31" s="82"/>
      <c r="E31" s="32"/>
      <c r="F31" s="32"/>
      <c r="G31" s="32"/>
      <c r="H31" s="32"/>
    </row>
    <row r="32" spans="1:8" x14ac:dyDescent="0.25">
      <c r="A32" s="86" t="s">
        <v>46</v>
      </c>
      <c r="B32" s="87"/>
      <c r="C32" s="88"/>
      <c r="D32" s="41"/>
    </row>
    <row r="33" spans="1:4" x14ac:dyDescent="0.25">
      <c r="A33" s="42" t="s">
        <v>51</v>
      </c>
      <c r="B33" s="36"/>
      <c r="C33" s="36">
        <v>100000</v>
      </c>
      <c r="D33" s="43" t="s">
        <v>18</v>
      </c>
    </row>
    <row r="34" spans="1:4" x14ac:dyDescent="0.25">
      <c r="A34" s="42" t="s">
        <v>52</v>
      </c>
      <c r="B34" s="36"/>
      <c r="C34" s="36">
        <f>1/C33</f>
        <v>1.0000000000000001E-5</v>
      </c>
      <c r="D34" s="43"/>
    </row>
    <row r="35" spans="1:4" x14ac:dyDescent="0.25">
      <c r="A35" s="42" t="s">
        <v>53</v>
      </c>
      <c r="B35" s="36"/>
      <c r="C35" s="36">
        <f>(2*C26+C27*C34)/2</f>
        <v>222.28620946915009</v>
      </c>
      <c r="D35" s="43"/>
    </row>
    <row r="36" spans="1:4" ht="13.8" thickBot="1" x14ac:dyDescent="0.3">
      <c r="A36" s="46" t="s">
        <v>54</v>
      </c>
      <c r="B36" s="47"/>
      <c r="C36" s="47">
        <f>-(2*C26-C27*C34)/2</f>
        <v>-222.03439722229979</v>
      </c>
      <c r="D36" s="48"/>
    </row>
  </sheetData>
  <mergeCells count="13">
    <mergeCell ref="A28:D28"/>
    <mergeCell ref="B29:D31"/>
    <mergeCell ref="A29:A31"/>
    <mergeCell ref="A32:C32"/>
    <mergeCell ref="A1:H1"/>
    <mergeCell ref="A2:H2"/>
    <mergeCell ref="A15:D15"/>
    <mergeCell ref="A3:B7"/>
    <mergeCell ref="C3:H7"/>
    <mergeCell ref="A8:B11"/>
    <mergeCell ref="C8:H11"/>
    <mergeCell ref="A12:B14"/>
    <mergeCell ref="C12:H1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2</xdr:col>
                <xdr:colOff>304800</xdr:colOff>
                <xdr:row>11</xdr:row>
                <xdr:rowOff>22860</xdr:rowOff>
              </from>
              <to>
                <xdr:col>4</xdr:col>
                <xdr:colOff>45720</xdr:colOff>
                <xdr:row>13</xdr:row>
                <xdr:rowOff>152400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4</xdr:col>
                <xdr:colOff>480060</xdr:colOff>
                <xdr:row>11</xdr:row>
                <xdr:rowOff>38100</xdr:rowOff>
              </from>
              <to>
                <xdr:col>6</xdr:col>
                <xdr:colOff>518160</xdr:colOff>
                <xdr:row>13</xdr:row>
                <xdr:rowOff>152400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 sizeWithCells="1">
              <from>
                <xdr:col>1</xdr:col>
                <xdr:colOff>0</xdr:colOff>
                <xdr:row>17</xdr:row>
                <xdr:rowOff>0</xdr:rowOff>
              </from>
              <to>
                <xdr:col>2</xdr:col>
                <xdr:colOff>0</xdr:colOff>
                <xdr:row>18</xdr:row>
                <xdr:rowOff>38100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r:id="rId11">
            <anchor moveWithCells="1">
              <from>
                <xdr:col>1</xdr:col>
                <xdr:colOff>198120</xdr:colOff>
                <xdr:row>18</xdr:row>
                <xdr:rowOff>0</xdr:rowOff>
              </from>
              <to>
                <xdr:col>1</xdr:col>
                <xdr:colOff>327660</xdr:colOff>
                <xdr:row>19</xdr:row>
                <xdr:rowOff>0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r:id="rId13">
            <anchor moveWithCells="1">
              <from>
                <xdr:col>1</xdr:col>
                <xdr:colOff>228600</xdr:colOff>
                <xdr:row>21</xdr:row>
                <xdr:rowOff>22860</xdr:rowOff>
              </from>
              <to>
                <xdr:col>1</xdr:col>
                <xdr:colOff>381000</xdr:colOff>
                <xdr:row>22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  <mc:AlternateContent xmlns:mc="http://schemas.openxmlformats.org/markup-compatibility/2006">
      <mc:Choice Requires="x14">
        <oleObject progId="Equation.3" shapeId="6150" r:id="rId14">
          <objectPr defaultSize="0" autoPict="0" r:id="rId15">
            <anchor moveWithCells="1" sizeWithCells="1">
              <from>
                <xdr:col>2</xdr:col>
                <xdr:colOff>137160</xdr:colOff>
                <xdr:row>2</xdr:row>
                <xdr:rowOff>38100</xdr:rowOff>
              </from>
              <to>
                <xdr:col>7</xdr:col>
                <xdr:colOff>411480</xdr:colOff>
                <xdr:row>6</xdr:row>
                <xdr:rowOff>160020</xdr:rowOff>
              </to>
            </anchor>
          </objectPr>
        </oleObject>
      </mc:Choice>
      <mc:Fallback>
        <oleObject progId="Equation.3" shapeId="6150" r:id="rId14"/>
      </mc:Fallback>
    </mc:AlternateContent>
    <mc:AlternateContent xmlns:mc="http://schemas.openxmlformats.org/markup-compatibility/2006">
      <mc:Choice Requires="x14">
        <oleObject progId="Equation.3" shapeId="6151" r:id="rId16">
          <objectPr defaultSize="0" autoPict="0" r:id="rId17">
            <anchor moveWithCells="1" sizeWithCells="1">
              <from>
                <xdr:col>3</xdr:col>
                <xdr:colOff>220980</xdr:colOff>
                <xdr:row>7</xdr:row>
                <xdr:rowOff>137160</xdr:rowOff>
              </from>
              <to>
                <xdr:col>5</xdr:col>
                <xdr:colOff>601980</xdr:colOff>
                <xdr:row>10</xdr:row>
                <xdr:rowOff>30480</xdr:rowOff>
              </to>
            </anchor>
          </objectPr>
        </oleObject>
      </mc:Choice>
      <mc:Fallback>
        <oleObject progId="Equation.3" shapeId="6151" r:id="rId16"/>
      </mc:Fallback>
    </mc:AlternateContent>
    <mc:AlternateContent xmlns:mc="http://schemas.openxmlformats.org/markup-compatibility/2006">
      <mc:Choice Requires="x14">
        <oleObject progId="Equation.3" shapeId="6152" r:id="rId18">
          <objectPr defaultSize="0" autoPict="0" r:id="rId19">
            <anchor moveWithCells="1" sizeWithCells="1">
              <from>
                <xdr:col>1</xdr:col>
                <xdr:colOff>7620</xdr:colOff>
                <xdr:row>28</xdr:row>
                <xdr:rowOff>45720</xdr:rowOff>
              </from>
              <to>
                <xdr:col>3</xdr:col>
                <xdr:colOff>533400</xdr:colOff>
                <xdr:row>31</xdr:row>
                <xdr:rowOff>0</xdr:rowOff>
              </to>
            </anchor>
          </objectPr>
        </oleObject>
      </mc:Choice>
      <mc:Fallback>
        <oleObject progId="Equation.3" shapeId="6152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Vac_Vbus_Iret</vt:lpstr>
      <vt:lpstr>Li &amp; Cf Sel</vt:lpstr>
      <vt:lpstr>SPLL Calculations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User</dc:creator>
  <cp:lastModifiedBy>Bhardwaj, Manish</cp:lastModifiedBy>
  <dcterms:created xsi:type="dcterms:W3CDTF">2007-05-31T15:53:01Z</dcterms:created>
  <dcterms:modified xsi:type="dcterms:W3CDTF">2018-07-24T16:01:15Z</dcterms:modified>
</cp:coreProperties>
</file>