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threx-my.sharepoint.com/personal/rfugerer_arthrex_com/Documents/Desktop/GlobalX/Corded Power/Motors/Electromag/Specification_Responses/Motor_Tuning/"/>
    </mc:Choice>
  </mc:AlternateContent>
  <xr:revisionPtr revIDLastSave="0" documentId="8_{07CA62BA-9B45-4252-BA67-F122E3B1E0A8}" xr6:coauthVersionLast="47" xr6:coauthVersionMax="47" xr10:uidLastSave="{00000000-0000-0000-0000-000000000000}"/>
  <bookViews>
    <workbookView xWindow="29835" yWindow="255" windowWidth="26745" windowHeight="14610" xr2:uid="{00000000-000D-0000-FFFF-FFFF00000000}"/>
  </bookViews>
  <sheets>
    <sheet name="MotorWare USER Variab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B18" i="1" s="1"/>
  <c r="E4" i="1"/>
  <c r="I22" i="1"/>
  <c r="E7" i="1"/>
  <c r="E8" i="1" s="1"/>
  <c r="E10" i="1" s="1"/>
  <c r="I15" i="1"/>
  <c r="I4" i="1"/>
  <c r="E5" i="1"/>
  <c r="I14" i="1"/>
  <c r="I23" i="1" l="1"/>
  <c r="I19" i="1"/>
  <c r="I12" i="1"/>
  <c r="I7" i="1"/>
  <c r="I8" i="1" s="1"/>
  <c r="I20" i="1"/>
  <c r="I11" i="1"/>
  <c r="E9" i="1"/>
  <c r="I3" i="1"/>
  <c r="I21" i="1" l="1"/>
  <c r="I9" i="1"/>
  <c r="I10" i="1"/>
  <c r="B22" i="1"/>
  <c r="B23" i="1" s="1"/>
  <c r="I5" i="1"/>
  <c r="I6" i="1" l="1"/>
  <c r="I13" i="1"/>
</calcChain>
</file>

<file path=xl/sharedStrings.xml><?xml version="1.0" encoding="utf-8"?>
<sst xmlns="http://schemas.openxmlformats.org/spreadsheetml/2006/main" count="92" uniqueCount="82">
  <si>
    <t xml:space="preserve">USER_IQ_FULL_SCALE_CURRENT_A  </t>
  </si>
  <si>
    <t xml:space="preserve">USER_ADC_FULL_SCALE_CURRENT_A </t>
  </si>
  <si>
    <t xml:space="preserve">USER_ADC_FULL_SCALE_VOLTAGE_V </t>
  </si>
  <si>
    <t xml:space="preserve">USER_MOTOR_NUM_POLE_PAIRS </t>
  </si>
  <si>
    <t>Hz</t>
  </si>
  <si>
    <t>V</t>
  </si>
  <si>
    <t>A</t>
  </si>
  <si>
    <t>RPM</t>
  </si>
  <si>
    <t>POLES</t>
  </si>
  <si>
    <t>PAIRS</t>
  </si>
  <si>
    <t>Maximum Bus Voltage</t>
  </si>
  <si>
    <t>USER_PWM_FREQ_kHz</t>
  </si>
  <si>
    <t>kHz</t>
  </si>
  <si>
    <t xml:space="preserve">USER_NUM_PWM_TICKS_PER_ISR_TICK </t>
  </si>
  <si>
    <t xml:space="preserve">USER_NUM_ISR_TICKS_PER_CTRL_TICK </t>
  </si>
  <si>
    <t xml:space="preserve">USER_NUM_CTRL_TICKS_PER_EST_TICK </t>
  </si>
  <si>
    <t>USER_NUM_CTRL_TICKS_PER_CURRENT_TICK</t>
  </si>
  <si>
    <t>ticks</t>
  </si>
  <si>
    <t>sub-calculations</t>
  </si>
  <si>
    <t xml:space="preserve">USER_MAX_ACCEL_EST_Hzps  </t>
  </si>
  <si>
    <t xml:space="preserve">USER_SYSTEM_FREQ_MHz </t>
  </si>
  <si>
    <t>MHz</t>
  </si>
  <si>
    <t>USER_MOTOR_RATED_FLUX</t>
  </si>
  <si>
    <t>V/Hz</t>
  </si>
  <si>
    <t>USER_MOTOR_Ls_d</t>
  </si>
  <si>
    <t>H</t>
  </si>
  <si>
    <t>IQ_VOLTAGE &lt; RATED_FLUX * EST Hz</t>
  </si>
  <si>
    <t>CURRENT  Hz &gt; MAX_Hz * 7</t>
  </si>
  <si>
    <t>EST &lt;= CTRL</t>
  </si>
  <si>
    <t>Minimum Flux Measurement &lt; 0.9 * RATED_FLUX</t>
  </si>
  <si>
    <t>Hz MIN</t>
  </si>
  <si>
    <t xml:space="preserve">Maximum Target RPM </t>
  </si>
  <si>
    <t xml:space="preserve">If FALSE increase EST Rate </t>
  </si>
  <si>
    <t xml:space="preserve">Hz </t>
  </si>
  <si>
    <t>Initially set to bus voltage until flux is identified</t>
  </si>
  <si>
    <t>USER_VOLTAGE_FILTER_POLE_Hz</t>
  </si>
  <si>
    <t>Target Hz with 10% buffer</t>
  </si>
  <si>
    <t>Lower of Ideal and Maximum</t>
  </si>
  <si>
    <t xml:space="preserve"> If USER_MOTOR_FLUX_EST_FREQ_Hz &gt; 50 Hz must increase the acceleration during ID to avoid a timeout</t>
  </si>
  <si>
    <t>Minimum Pole</t>
  </si>
  <si>
    <t>Maximum RPM  Supported</t>
  </si>
  <si>
    <t>Rotor Hz can be 1.98 * USER_IQ_FULL_SCALE_FREQ_HZ; EST speed will roll-over outside boundary!!!!</t>
  </si>
  <si>
    <t>4 * USER_VOLTAGE_FILTER_POLE_Hz [with 5% buffer]</t>
  </si>
  <si>
    <t>EST &gt; 10 * USER_VOLTAGE_FILTER_POLE_Hz (+10% margin)</t>
  </si>
  <si>
    <t>If FALSE increase CURRENT kHz or reduce MAX_HZ; Standard good practice for control systems</t>
  </si>
  <si>
    <t>If FALSE correct; No need to run the estimator if results are not being updated in control loop</t>
  </si>
  <si>
    <t>Slightly &gt;= 0.5 * ADC_FULL_SCALE_CURRENT_A</t>
  </si>
  <si>
    <t>Maximum allowed USER_IQ_FULL_SCALE_FREQ_HZ for HW</t>
  </si>
  <si>
    <t>Ideal USER_IQ_FULL_SCALE_FREQ_Hz  for Motor</t>
  </si>
  <si>
    <t>a) Bus Voltage</t>
  </si>
  <si>
    <t>Ideal* Pole  &gt;=</t>
  </si>
  <si>
    <t>Half** Pole &gt;=</t>
  </si>
  <si>
    <t>USER_IQ_FULL_SCALE_FREQ_Hz</t>
  </si>
  <si>
    <t>Typical Minimum, but can reduce as low as Bus Voltage / 2 + 10% buffer</t>
  </si>
  <si>
    <t xml:space="preserve">starting USER_IQ_FULL_SCALE_VOLTAGE_V </t>
  </si>
  <si>
    <t xml:space="preserve">new USER_IQ_FULL_SCALE_VOLTAGE_V </t>
  </si>
  <si>
    <t>If FALSE, reduce new USER_IQ_FULL_SCALE_VOLTAGE as low as Bus Voltage / 2 + 10% buffer</t>
  </si>
  <si>
    <t>If FALSE, reduce new USER_IQ_FULL_SCALE_VOLTAGE or increase EST_Hz</t>
  </si>
  <si>
    <t>* Use Ideal pole to keep Target Hz &lt;  USER_IQ_FULL_SCALE_FREQ_Hz but note that as pole Hz increases you are more susceptible to drift/error and should use higher precision Vph filter Capacitors</t>
  </si>
  <si>
    <t>** You may use a lower pole (down to half the value of the ideal) that is less sensitive to capacitor error/offset/drift.  Set USER_IQ_FULL_SCALE_FREQ_HZ &lt;= 4 * Lowered Pole  * 0.95 buffer. Target Hz can reach +/- 1.98 * USER_IQ_FULL_SCALE_FREQ_Hz</t>
  </si>
  <si>
    <t>USER_MOTOR_FLUX_EST_FREQ_Hz</t>
  </si>
  <si>
    <t>5-150 Hz; ~10% of Maximum Target Hz but use low as possible where Ls and Flux can be ID'd consistently</t>
  </si>
  <si>
    <t>USER_ZEROSPEEDLIMIT</t>
  </si>
  <si>
    <t>FLUX_EST_FREQ &gt; ZEROSPEEDLIMIT * FULL_SCALE_FREQ</t>
  </si>
  <si>
    <t>If FALSE, lower ZEROSPEEDLIMIT</t>
  </si>
  <si>
    <t>= Minimum Flux that can be measured with new USER_IQ_FULL_SCALE_VOLTAGE_V (cell I20)</t>
  </si>
  <si>
    <t>Tune to HW Pole</t>
  </si>
  <si>
    <t>EST &gt; 8 * TARGET_Hz</t>
  </si>
  <si>
    <t>If FALSE, increase effective EST Frequency using TICKs</t>
  </si>
  <si>
    <r>
      <t xml:space="preserve">Performance difference between the two is typically very marginal though.  </t>
    </r>
    <r>
      <rPr>
        <b/>
        <sz val="11"/>
        <color rgb="FFFF0000"/>
        <rFont val="Calibri"/>
        <family val="2"/>
        <scheme val="minor"/>
      </rPr>
      <t>Do NOT use a filter pole &lt; Minimum Pole!!!</t>
    </r>
  </si>
  <si>
    <r>
      <t xml:space="preserve">1. FILL IN </t>
    </r>
    <r>
      <rPr>
        <b/>
        <sz val="11"/>
        <color rgb="FFFFFF00"/>
        <rFont val="Calibri"/>
        <family val="2"/>
        <scheme val="minor"/>
      </rPr>
      <t>THESE VALUES</t>
    </r>
    <r>
      <rPr>
        <b/>
        <sz val="11"/>
        <color theme="0"/>
        <rFont val="Calibri"/>
        <family val="2"/>
        <scheme val="minor"/>
      </rPr>
      <t xml:space="preserve"> FOR YOUR USER.H, MOTOR, and INVERTER HW</t>
    </r>
  </si>
  <si>
    <t>2. The following are set by HW design, use defaults for TI EVM or your own HW</t>
  </si>
  <si>
    <t>4. Once Motor ID is attempted, update these as best you can and check IQ_V Scaling</t>
  </si>
  <si>
    <t>5. * Ideal Pole Design when you build wwn HW</t>
  </si>
  <si>
    <r>
      <rPr>
        <b/>
        <sz val="11"/>
        <color rgb="FF00B050"/>
        <rFont val="Calibri"/>
        <family val="2"/>
        <scheme val="minor"/>
      </rPr>
      <t>3. THESE VALUES</t>
    </r>
    <r>
      <rPr>
        <b/>
        <sz val="11"/>
        <color theme="0"/>
        <rFont val="Calibri"/>
        <family val="2"/>
        <scheme val="minor"/>
      </rPr>
      <t xml:space="preserve"> ARE RECOMMENDED FOR USE once </t>
    </r>
    <r>
      <rPr>
        <b/>
        <sz val="11"/>
        <color rgb="FF00B050"/>
        <rFont val="Calibri"/>
        <family val="2"/>
        <scheme val="minor"/>
      </rPr>
      <t xml:space="preserve">TRUE </t>
    </r>
    <r>
      <rPr>
        <b/>
        <sz val="11"/>
        <color theme="0"/>
        <rFont val="Calibri"/>
        <family val="2"/>
        <scheme val="minor"/>
      </rPr>
      <t>checks are satisfied</t>
    </r>
  </si>
  <si>
    <t>4. Check after valid USER_MOTOR_RATED_FLUX Identification</t>
  </si>
  <si>
    <t>Use larger of a) or b).  Minimum of Bus Voltage / 2 + 10% buffer if required to make I18 &amp; I19 TRUE</t>
  </si>
  <si>
    <t>v2p1  2014-May-28</t>
  </si>
  <si>
    <t>V/kRPM</t>
  </si>
  <si>
    <t>V/Hz (calc)</t>
  </si>
  <si>
    <t>Motor Volts per RPM (Ke)</t>
  </si>
  <si>
    <t>b) Bemf Generated @ Target 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</si>
</sst>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1" fillId="2" borderId="3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2" xfId="0" applyFont="1" applyFill="1" applyBorder="1"/>
    <xf numFmtId="0" fontId="1" fillId="3" borderId="1" xfId="0" applyFont="1" applyFill="1" applyBorder="1"/>
    <xf numFmtId="0" fontId="0" fillId="6" borderId="0" xfId="0" applyFill="1"/>
    <xf numFmtId="0" fontId="1" fillId="2" borderId="1" xfId="0" applyFont="1" applyFill="1" applyBorder="1"/>
    <xf numFmtId="164" fontId="1" fillId="3" borderId="1" xfId="0" applyNumberFormat="1" applyFont="1" applyFill="1" applyBorder="1"/>
    <xf numFmtId="0" fontId="0" fillId="7" borderId="4" xfId="0" applyFill="1" applyBorder="1"/>
    <xf numFmtId="164" fontId="3" fillId="2" borderId="0" xfId="0" applyNumberFormat="1" applyFont="1" applyFill="1"/>
    <xf numFmtId="0" fontId="0" fillId="8" borderId="3" xfId="0" applyFill="1" applyBorder="1"/>
    <xf numFmtId="0" fontId="0" fillId="8" borderId="0" xfId="0" applyFill="1"/>
    <xf numFmtId="0" fontId="0" fillId="4" borderId="1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1" fillId="2" borderId="7" xfId="0" applyFont="1" applyFill="1" applyBorder="1"/>
    <xf numFmtId="0" fontId="0" fillId="0" borderId="8" xfId="0" applyBorder="1"/>
    <xf numFmtId="0" fontId="0" fillId="2" borderId="9" xfId="0" applyFill="1" applyBorder="1"/>
    <xf numFmtId="0" fontId="0" fillId="5" borderId="0" xfId="0" applyFill="1"/>
    <xf numFmtId="0" fontId="2" fillId="0" borderId="0" xfId="0" applyFont="1"/>
    <xf numFmtId="0" fontId="0" fillId="0" borderId="9" xfId="0" applyBorder="1"/>
    <xf numFmtId="0" fontId="1" fillId="2" borderId="8" xfId="0" applyFont="1" applyFill="1" applyBorder="1"/>
    <xf numFmtId="0" fontId="1" fillId="2" borderId="0" xfId="0" applyFont="1" applyFill="1"/>
    <xf numFmtId="0" fontId="0" fillId="9" borderId="0" xfId="0" applyFill="1"/>
    <xf numFmtId="0" fontId="1" fillId="8" borderId="8" xfId="0" applyFont="1" applyFill="1" applyBorder="1"/>
    <xf numFmtId="0" fontId="0" fillId="8" borderId="9" xfId="0" applyFill="1" applyBorder="1"/>
    <xf numFmtId="0" fontId="3" fillId="2" borderId="0" xfId="0" quotePrefix="1" applyFont="1" applyFill="1"/>
    <xf numFmtId="0" fontId="0" fillId="6" borderId="8" xfId="0" applyFill="1" applyBorder="1"/>
    <xf numFmtId="0" fontId="0" fillId="2" borderId="8" xfId="0" applyFill="1" applyBorder="1"/>
    <xf numFmtId="0" fontId="3" fillId="6" borderId="9" xfId="0" applyFont="1" applyFill="1" applyBorder="1"/>
    <xf numFmtId="0" fontId="0" fillId="6" borderId="10" xfId="0" applyFill="1" applyBorder="1"/>
    <xf numFmtId="0" fontId="0" fillId="6" borderId="11" xfId="0" applyFill="1" applyBorder="1"/>
    <xf numFmtId="0" fontId="1" fillId="9" borderId="1" xfId="0" applyFont="1" applyFill="1" applyBorder="1"/>
    <xf numFmtId="0" fontId="0" fillId="6" borderId="9" xfId="0" applyFill="1" applyBorder="1"/>
    <xf numFmtId="0" fontId="3" fillId="6" borderId="12" xfId="0" applyFont="1" applyFill="1" applyBorder="1"/>
    <xf numFmtId="0" fontId="3" fillId="2" borderId="1" xfId="0" applyFont="1" applyFill="1" applyBorder="1"/>
    <xf numFmtId="2" fontId="3" fillId="3" borderId="1" xfId="0" applyNumberFormat="1" applyFont="1" applyFill="1" applyBorder="1"/>
    <xf numFmtId="2" fontId="0" fillId="4" borderId="3" xfId="0" applyNumberFormat="1" applyFill="1" applyBorder="1"/>
    <xf numFmtId="0" fontId="1" fillId="2" borderId="6" xfId="0" applyFont="1" applyFill="1" applyBorder="1" applyAlignment="1">
      <alignment horizontal="left"/>
    </xf>
    <xf numFmtId="0" fontId="1" fillId="8" borderId="0" xfId="0" applyFont="1" applyFill="1"/>
    <xf numFmtId="165" fontId="0" fillId="5" borderId="0" xfId="0" applyNumberFormat="1" applyFill="1" applyAlignment="1">
      <alignment horizontal="center"/>
    </xf>
    <xf numFmtId="166" fontId="0" fillId="7" borderId="3" xfId="0" applyNumberFormat="1" applyFill="1" applyBorder="1"/>
    <xf numFmtId="2" fontId="0" fillId="5" borderId="0" xfId="0" applyNumberFormat="1" applyFill="1"/>
  </cellXfs>
  <cellStyles count="1">
    <cellStyle name="Normal" xfId="0" builtinId="0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3"/>
  <sheetViews>
    <sheetView tabSelected="1" workbookViewId="0">
      <selection activeCell="B7" sqref="B7"/>
    </sheetView>
  </sheetViews>
  <sheetFormatPr defaultRowHeight="15" x14ac:dyDescent="0.25"/>
  <cols>
    <col min="1" max="1" width="48.28515625" customWidth="1"/>
    <col min="2" max="2" width="9.42578125" customWidth="1"/>
    <col min="3" max="3" width="9" customWidth="1"/>
    <col min="4" max="4" width="2.140625" style="1" customWidth="1"/>
    <col min="5" max="5" width="12.5703125" customWidth="1"/>
    <col min="6" max="6" width="11.5703125" customWidth="1"/>
    <col min="7" max="7" width="4.28515625" style="1" customWidth="1"/>
    <col min="8" max="8" width="82.28515625" customWidth="1"/>
    <col min="9" max="9" width="7.5703125" customWidth="1"/>
    <col min="10" max="10" width="92.140625" customWidth="1"/>
  </cols>
  <sheetData>
    <row r="1" spans="1:10" ht="15.75" thickBot="1" x14ac:dyDescent="0.3">
      <c r="A1" s="21" t="s">
        <v>70</v>
      </c>
      <c r="B1" s="22"/>
      <c r="C1" s="22"/>
      <c r="D1" s="22"/>
      <c r="E1" s="22"/>
      <c r="F1" s="22"/>
      <c r="G1" s="23"/>
      <c r="H1" s="47" t="s">
        <v>74</v>
      </c>
      <c r="I1" s="14"/>
      <c r="J1" s="24"/>
    </row>
    <row r="2" spans="1:10" x14ac:dyDescent="0.25">
      <c r="A2" s="25" t="s">
        <v>20</v>
      </c>
      <c r="B2" s="3">
        <v>90</v>
      </c>
      <c r="C2" t="s">
        <v>21</v>
      </c>
      <c r="E2" s="8" t="s">
        <v>18</v>
      </c>
      <c r="F2" s="8"/>
      <c r="H2" s="1"/>
      <c r="I2" s="1"/>
      <c r="J2" s="26"/>
    </row>
    <row r="3" spans="1:10" x14ac:dyDescent="0.25">
      <c r="A3" s="25" t="s">
        <v>10</v>
      </c>
      <c r="B3" s="4">
        <v>48</v>
      </c>
      <c r="C3" t="s">
        <v>5</v>
      </c>
      <c r="E3" s="27"/>
      <c r="F3" s="27"/>
      <c r="H3" s="8" t="s">
        <v>48</v>
      </c>
      <c r="I3" s="17">
        <f>E4*1.1</f>
        <v>1265</v>
      </c>
      <c r="J3" s="9" t="s">
        <v>36</v>
      </c>
    </row>
    <row r="4" spans="1:10" ht="15.75" thickBot="1" x14ac:dyDescent="0.3">
      <c r="A4" s="25" t="s">
        <v>31</v>
      </c>
      <c r="B4" s="4">
        <v>69000</v>
      </c>
      <c r="C4" t="s">
        <v>7</v>
      </c>
      <c r="E4" s="51">
        <f>B4*B5/60</f>
        <v>1150</v>
      </c>
      <c r="F4" s="27" t="s">
        <v>4</v>
      </c>
      <c r="H4" s="8" t="s">
        <v>47</v>
      </c>
      <c r="I4" s="17">
        <f>ROUND(4*B13*0.95,0)</f>
        <v>1876</v>
      </c>
      <c r="J4" s="9" t="s">
        <v>42</v>
      </c>
    </row>
    <row r="5" spans="1:10" ht="15.75" thickBot="1" x14ac:dyDescent="0.3">
      <c r="A5" s="25" t="s">
        <v>3</v>
      </c>
      <c r="B5" s="4">
        <v>1</v>
      </c>
      <c r="C5" t="s">
        <v>9</v>
      </c>
      <c r="E5" s="27">
        <f>B5*2</f>
        <v>2</v>
      </c>
      <c r="F5" s="27" t="s">
        <v>8</v>
      </c>
      <c r="H5" s="28" t="s">
        <v>52</v>
      </c>
      <c r="I5" s="15">
        <f>MIN(I4,I3)</f>
        <v>1265</v>
      </c>
      <c r="J5" s="29" t="s">
        <v>37</v>
      </c>
    </row>
    <row r="6" spans="1:10" ht="15.75" thickBot="1" x14ac:dyDescent="0.3">
      <c r="A6" s="25" t="s">
        <v>11</v>
      </c>
      <c r="B6" s="4">
        <v>45</v>
      </c>
      <c r="C6" t="s">
        <v>12</v>
      </c>
      <c r="E6" s="27"/>
      <c r="F6" s="27"/>
      <c r="H6" s="8" t="s">
        <v>40</v>
      </c>
      <c r="I6" s="8">
        <f>ROUND(I5*120/E5*1.98,0)</f>
        <v>150282</v>
      </c>
      <c r="J6" s="9" t="s">
        <v>41</v>
      </c>
    </row>
    <row r="7" spans="1:10" ht="15.75" thickBot="1" x14ac:dyDescent="0.3">
      <c r="A7" s="25" t="s">
        <v>13</v>
      </c>
      <c r="B7" s="4">
        <v>3</v>
      </c>
      <c r="C7" t="s">
        <v>17</v>
      </c>
      <c r="E7" s="27">
        <f>B6/B7</f>
        <v>15</v>
      </c>
      <c r="F7" s="27" t="s">
        <v>12</v>
      </c>
      <c r="H7" s="28" t="s">
        <v>60</v>
      </c>
      <c r="I7" s="15">
        <f>MIN(ROUND(E4*0.1,0),150)</f>
        <v>115</v>
      </c>
      <c r="J7" s="29" t="s">
        <v>61</v>
      </c>
    </row>
    <row r="8" spans="1:10" ht="15.75" thickBot="1" x14ac:dyDescent="0.3">
      <c r="A8" s="25" t="s">
        <v>14</v>
      </c>
      <c r="B8" s="4">
        <v>1</v>
      </c>
      <c r="C8" t="s">
        <v>17</v>
      </c>
      <c r="E8" s="27">
        <f>E7/B8</f>
        <v>15</v>
      </c>
      <c r="F8" s="27" t="s">
        <v>12</v>
      </c>
      <c r="H8" s="28" t="s">
        <v>19</v>
      </c>
      <c r="I8" s="15">
        <f>INT(I7/10 + 5)</f>
        <v>16</v>
      </c>
      <c r="J8" s="29" t="s">
        <v>38</v>
      </c>
    </row>
    <row r="9" spans="1:10" ht="15.75" thickBot="1" x14ac:dyDescent="0.3">
      <c r="A9" s="25" t="s">
        <v>16</v>
      </c>
      <c r="B9" s="4">
        <v>1</v>
      </c>
      <c r="C9" t="s">
        <v>17</v>
      </c>
      <c r="E9" s="27">
        <f>E8/B9</f>
        <v>15</v>
      </c>
      <c r="F9" s="27" t="s">
        <v>12</v>
      </c>
      <c r="H9" s="5" t="s">
        <v>27</v>
      </c>
      <c r="I9" s="44" t="b">
        <f>E9*1000&gt;E4*7</f>
        <v>1</v>
      </c>
      <c r="J9" s="6" t="s">
        <v>44</v>
      </c>
    </row>
    <row r="10" spans="1:10" ht="15.75" thickBot="1" x14ac:dyDescent="0.3">
      <c r="A10" s="25" t="s">
        <v>15</v>
      </c>
      <c r="B10" s="4">
        <v>1</v>
      </c>
      <c r="C10" t="s">
        <v>17</v>
      </c>
      <c r="E10" s="27">
        <f>E8/B10</f>
        <v>15</v>
      </c>
      <c r="F10" s="27" t="s">
        <v>12</v>
      </c>
      <c r="H10" s="7" t="s">
        <v>28</v>
      </c>
      <c r="I10" s="44" t="b">
        <f>E9&gt;=E10</f>
        <v>1</v>
      </c>
      <c r="J10" s="9" t="s">
        <v>45</v>
      </c>
    </row>
    <row r="11" spans="1:10" ht="15.75" thickBot="1" x14ac:dyDescent="0.3">
      <c r="A11" s="25" t="s">
        <v>62</v>
      </c>
      <c r="B11" s="4">
        <v>0</v>
      </c>
      <c r="E11" s="27"/>
      <c r="F11" s="27"/>
      <c r="H11" s="10" t="s">
        <v>43</v>
      </c>
      <c r="I11" s="44" t="b">
        <f>E10*1000&gt;10*B13*1.1</f>
        <v>1</v>
      </c>
      <c r="J11" s="11" t="s">
        <v>32</v>
      </c>
    </row>
    <row r="12" spans="1:10" ht="15.75" thickBot="1" x14ac:dyDescent="0.3">
      <c r="A12" s="30" t="s">
        <v>71</v>
      </c>
      <c r="B12" s="2"/>
      <c r="C12" s="31"/>
      <c r="D12" s="31"/>
      <c r="E12" s="31"/>
      <c r="F12" s="1"/>
      <c r="H12" s="8" t="s">
        <v>67</v>
      </c>
      <c r="I12" s="44" t="b">
        <f>E10*1000&gt;8*E4</f>
        <v>1</v>
      </c>
      <c r="J12" s="8" t="s">
        <v>68</v>
      </c>
    </row>
    <row r="13" spans="1:10" ht="15.75" thickBot="1" x14ac:dyDescent="0.3">
      <c r="A13" s="25" t="s">
        <v>35</v>
      </c>
      <c r="B13" s="4">
        <v>493.6</v>
      </c>
      <c r="C13" t="s">
        <v>4</v>
      </c>
      <c r="E13" s="32" t="s">
        <v>66</v>
      </c>
      <c r="F13" s="32"/>
      <c r="H13" s="8" t="s">
        <v>63</v>
      </c>
      <c r="I13" s="45" t="b">
        <f>I7&gt;B11*I5</f>
        <v>1</v>
      </c>
      <c r="J13" s="8" t="s">
        <v>64</v>
      </c>
    </row>
    <row r="14" spans="1:10" ht="15.75" thickBot="1" x14ac:dyDescent="0.3">
      <c r="A14" s="25" t="s">
        <v>1</v>
      </c>
      <c r="B14" s="46">
        <v>20.6</v>
      </c>
      <c r="C14" t="s">
        <v>6</v>
      </c>
      <c r="E14" s="27"/>
      <c r="F14" s="27"/>
      <c r="H14" s="28" t="s">
        <v>0</v>
      </c>
      <c r="I14" s="15">
        <f>ROUND(B14/2 + 1, 0)</f>
        <v>11</v>
      </c>
      <c r="J14" s="29" t="s">
        <v>46</v>
      </c>
    </row>
    <row r="15" spans="1:10" ht="15.75" thickBot="1" x14ac:dyDescent="0.3">
      <c r="A15" s="25" t="s">
        <v>2</v>
      </c>
      <c r="B15" s="4">
        <v>66.099999999999994</v>
      </c>
      <c r="C15" t="s">
        <v>5</v>
      </c>
      <c r="E15" s="27"/>
      <c r="F15" s="27"/>
      <c r="H15" s="28" t="s">
        <v>54</v>
      </c>
      <c r="I15" s="15">
        <f>B3</f>
        <v>48</v>
      </c>
      <c r="J15" s="29" t="s">
        <v>34</v>
      </c>
    </row>
    <row r="16" spans="1:10" x14ac:dyDescent="0.25">
      <c r="A16" s="33" t="s">
        <v>72</v>
      </c>
      <c r="B16" s="18"/>
      <c r="C16" s="19"/>
      <c r="D16" s="19"/>
      <c r="E16" s="19"/>
      <c r="F16" s="19"/>
      <c r="G16" s="19"/>
      <c r="H16" s="48" t="s">
        <v>75</v>
      </c>
      <c r="I16" s="19"/>
      <c r="J16" s="34"/>
    </row>
    <row r="17" spans="1:10" x14ac:dyDescent="0.25">
      <c r="A17" s="25" t="s">
        <v>80</v>
      </c>
      <c r="B17" s="50">
        <v>0.68899999999999995</v>
      </c>
      <c r="C17" s="13" t="s">
        <v>78</v>
      </c>
      <c r="E17" s="49">
        <f>(((B17*60)/B5)/1000) * 0.9</f>
        <v>3.7205999999999996E-2</v>
      </c>
      <c r="F17" s="27" t="s">
        <v>79</v>
      </c>
      <c r="H17" s="35"/>
      <c r="I17" s="1"/>
      <c r="J17" s="26"/>
    </row>
    <row r="18" spans="1:10" x14ac:dyDescent="0.25">
      <c r="A18" s="25" t="s">
        <v>22</v>
      </c>
      <c r="B18" s="50">
        <f>E17/0.9</f>
        <v>4.1339999999999995E-2</v>
      </c>
      <c r="C18" t="s">
        <v>23</v>
      </c>
      <c r="E18" s="49"/>
      <c r="F18" s="27"/>
      <c r="H18" s="35" t="s">
        <v>65</v>
      </c>
      <c r="I18" s="1"/>
      <c r="J18" s="26"/>
    </row>
    <row r="19" spans="1:10" ht="15.75" thickBot="1" x14ac:dyDescent="0.3">
      <c r="A19" s="25" t="s">
        <v>24</v>
      </c>
      <c r="B19" s="16">
        <v>8.5000000000000006E-5</v>
      </c>
      <c r="C19" t="s">
        <v>25</v>
      </c>
      <c r="E19" s="27"/>
      <c r="F19" s="27"/>
      <c r="H19" s="8" t="s">
        <v>29</v>
      </c>
      <c r="I19" s="8" t="b">
        <f>E17&lt;B18</f>
        <v>1</v>
      </c>
      <c r="J19" s="9" t="s">
        <v>56</v>
      </c>
    </row>
    <row r="20" spans="1:10" ht="15.75" thickBot="1" x14ac:dyDescent="0.3">
      <c r="A20" s="33" t="s">
        <v>73</v>
      </c>
      <c r="B20" s="19"/>
      <c r="C20" s="19"/>
      <c r="E20" s="27"/>
      <c r="F20" s="27"/>
      <c r="H20" s="8" t="s">
        <v>26</v>
      </c>
      <c r="I20" s="8" t="b">
        <f>I15&lt;B18*(E10*1000)</f>
        <v>1</v>
      </c>
      <c r="J20" s="9" t="s">
        <v>57</v>
      </c>
    </row>
    <row r="21" spans="1:10" ht="15.75" thickBot="1" x14ac:dyDescent="0.3">
      <c r="A21" s="25" t="s">
        <v>39</v>
      </c>
      <c r="B21" s="41">
        <v>200</v>
      </c>
      <c r="C21" t="s">
        <v>30</v>
      </c>
      <c r="E21" s="27"/>
      <c r="F21" s="27"/>
      <c r="H21" s="28" t="s">
        <v>55</v>
      </c>
      <c r="I21" s="15">
        <f>ROUNDUP(MAX(I22,I23),0)</f>
        <v>48</v>
      </c>
      <c r="J21" s="29" t="s">
        <v>76</v>
      </c>
    </row>
    <row r="22" spans="1:10" ht="15.75" thickBot="1" x14ac:dyDescent="0.3">
      <c r="A22" s="25" t="s">
        <v>50</v>
      </c>
      <c r="B22" s="12">
        <f>I3/4</f>
        <v>316.25</v>
      </c>
      <c r="C22" t="s">
        <v>33</v>
      </c>
      <c r="E22" s="27"/>
      <c r="F22" s="27"/>
      <c r="H22" s="8" t="s">
        <v>49</v>
      </c>
      <c r="I22" s="17">
        <f>B3</f>
        <v>48</v>
      </c>
      <c r="J22" s="9" t="s">
        <v>53</v>
      </c>
    </row>
    <row r="23" spans="1:10" ht="15.75" thickBot="1" x14ac:dyDescent="0.3">
      <c r="A23" s="25" t="s">
        <v>51</v>
      </c>
      <c r="B23" s="20">
        <f>B22*0.5</f>
        <v>158.125</v>
      </c>
      <c r="C23" s="13" t="s">
        <v>4</v>
      </c>
      <c r="E23" s="27"/>
      <c r="F23" s="27"/>
      <c r="H23" s="8" t="s">
        <v>81</v>
      </c>
      <c r="I23" s="17">
        <f>B18*E4</f>
        <v>47.540999999999997</v>
      </c>
      <c r="J23" s="9"/>
    </row>
    <row r="24" spans="1:10" x14ac:dyDescent="0.25">
      <c r="A24" s="37"/>
      <c r="B24" s="1"/>
      <c r="C24" s="1"/>
      <c r="E24" s="1"/>
      <c r="F24" s="1"/>
      <c r="H24" s="35"/>
      <c r="I24" s="17"/>
      <c r="J24" s="9"/>
    </row>
    <row r="25" spans="1:10" s="13" customFormat="1" x14ac:dyDescent="0.25">
      <c r="A25" s="36" t="s">
        <v>58</v>
      </c>
      <c r="J25" s="38"/>
    </row>
    <row r="26" spans="1:10" s="13" customFormat="1" x14ac:dyDescent="0.25">
      <c r="A26" s="36" t="s">
        <v>59</v>
      </c>
      <c r="J26" s="42"/>
    </row>
    <row r="27" spans="1:10" s="13" customFormat="1" ht="15.75" thickBot="1" x14ac:dyDescent="0.3">
      <c r="A27" s="39" t="s">
        <v>69</v>
      </c>
      <c r="B27" s="40"/>
      <c r="C27" s="40"/>
      <c r="D27" s="40"/>
      <c r="E27" s="40"/>
      <c r="F27" s="40"/>
      <c r="G27" s="40"/>
      <c r="H27" s="40"/>
      <c r="I27" s="40"/>
      <c r="J27" s="43"/>
    </row>
    <row r="28" spans="1:10" x14ac:dyDescent="0.25">
      <c r="D28"/>
      <c r="G28"/>
    </row>
    <row r="29" spans="1:10" x14ac:dyDescent="0.25">
      <c r="A29" s="13" t="s">
        <v>77</v>
      </c>
      <c r="D29"/>
      <c r="G29"/>
    </row>
    <row r="30" spans="1:10" x14ac:dyDescent="0.25">
      <c r="D30"/>
      <c r="G30"/>
    </row>
    <row r="31" spans="1:10" x14ac:dyDescent="0.25">
      <c r="D31"/>
      <c r="G31"/>
    </row>
    <row r="32" spans="1:10" x14ac:dyDescent="0.25">
      <c r="D32"/>
      <c r="G32"/>
    </row>
    <row r="33" spans="4:7" x14ac:dyDescent="0.25">
      <c r="D33"/>
      <c r="G33"/>
    </row>
    <row r="34" spans="4:7" x14ac:dyDescent="0.25">
      <c r="D34"/>
      <c r="G34"/>
    </row>
    <row r="35" spans="4:7" x14ac:dyDescent="0.25">
      <c r="D35"/>
      <c r="G35"/>
    </row>
    <row r="36" spans="4:7" x14ac:dyDescent="0.25">
      <c r="D36"/>
      <c r="G36"/>
    </row>
    <row r="37" spans="4:7" x14ac:dyDescent="0.25">
      <c r="D37"/>
      <c r="G37"/>
    </row>
    <row r="38" spans="4:7" x14ac:dyDescent="0.25">
      <c r="D38"/>
      <c r="G38"/>
    </row>
    <row r="39" spans="4:7" x14ac:dyDescent="0.25">
      <c r="D39"/>
      <c r="G39"/>
    </row>
    <row r="40" spans="4:7" x14ac:dyDescent="0.25">
      <c r="D40"/>
      <c r="G40"/>
    </row>
    <row r="41" spans="4:7" x14ac:dyDescent="0.25">
      <c r="D41"/>
      <c r="G41"/>
    </row>
    <row r="42" spans="4:7" x14ac:dyDescent="0.25">
      <c r="D42"/>
      <c r="G42"/>
    </row>
    <row r="43" spans="4:7" x14ac:dyDescent="0.25">
      <c r="D43"/>
      <c r="G43"/>
    </row>
    <row r="44" spans="4:7" x14ac:dyDescent="0.25">
      <c r="D44"/>
      <c r="G44"/>
    </row>
    <row r="45" spans="4:7" x14ac:dyDescent="0.25">
      <c r="D45"/>
      <c r="G45"/>
    </row>
    <row r="46" spans="4:7" x14ac:dyDescent="0.25">
      <c r="D46"/>
      <c r="G46"/>
    </row>
    <row r="47" spans="4:7" x14ac:dyDescent="0.25">
      <c r="D47"/>
      <c r="G47"/>
    </row>
    <row r="48" spans="4:7" x14ac:dyDescent="0.25">
      <c r="D48"/>
      <c r="G48"/>
    </row>
    <row r="49" spans="4:7" x14ac:dyDescent="0.25">
      <c r="D49"/>
      <c r="G49"/>
    </row>
    <row r="50" spans="4:7" x14ac:dyDescent="0.25">
      <c r="D50"/>
      <c r="G50"/>
    </row>
    <row r="51" spans="4:7" x14ac:dyDescent="0.25">
      <c r="D51"/>
      <c r="G51"/>
    </row>
    <row r="52" spans="4:7" x14ac:dyDescent="0.25">
      <c r="D52"/>
      <c r="G52"/>
    </row>
    <row r="53" spans="4:7" x14ac:dyDescent="0.25">
      <c r="D53"/>
      <c r="G53"/>
    </row>
    <row r="54" spans="4:7" x14ac:dyDescent="0.25">
      <c r="D54"/>
      <c r="G54"/>
    </row>
    <row r="55" spans="4:7" x14ac:dyDescent="0.25">
      <c r="D55"/>
      <c r="G55"/>
    </row>
    <row r="56" spans="4:7" x14ac:dyDescent="0.25">
      <c r="D56"/>
      <c r="G56"/>
    </row>
    <row r="57" spans="4:7" x14ac:dyDescent="0.25">
      <c r="D57"/>
      <c r="G57"/>
    </row>
    <row r="58" spans="4:7" x14ac:dyDescent="0.25">
      <c r="D58"/>
      <c r="G58"/>
    </row>
    <row r="59" spans="4:7" x14ac:dyDescent="0.25">
      <c r="D59"/>
      <c r="G59"/>
    </row>
    <row r="60" spans="4:7" x14ac:dyDescent="0.25">
      <c r="D60"/>
      <c r="G60"/>
    </row>
    <row r="61" spans="4:7" x14ac:dyDescent="0.25">
      <c r="D61"/>
      <c r="G61"/>
    </row>
    <row r="62" spans="4:7" x14ac:dyDescent="0.25">
      <c r="D62"/>
      <c r="G62"/>
    </row>
    <row r="63" spans="4:7" x14ac:dyDescent="0.25">
      <c r="D63"/>
      <c r="G63"/>
    </row>
    <row r="64" spans="4:7" x14ac:dyDescent="0.25">
      <c r="D64"/>
      <c r="G64"/>
    </row>
    <row r="65" spans="4:7" x14ac:dyDescent="0.25">
      <c r="D65"/>
      <c r="G65"/>
    </row>
    <row r="66" spans="4:7" x14ac:dyDescent="0.25">
      <c r="D66"/>
      <c r="G66"/>
    </row>
    <row r="67" spans="4:7" x14ac:dyDescent="0.25">
      <c r="D67"/>
      <c r="G67"/>
    </row>
    <row r="68" spans="4:7" x14ac:dyDescent="0.25">
      <c r="D68"/>
      <c r="G68"/>
    </row>
    <row r="69" spans="4:7" x14ac:dyDescent="0.25">
      <c r="D69"/>
      <c r="G69"/>
    </row>
    <row r="70" spans="4:7" x14ac:dyDescent="0.25">
      <c r="D70"/>
      <c r="G70"/>
    </row>
    <row r="71" spans="4:7" x14ac:dyDescent="0.25">
      <c r="D71"/>
      <c r="G71"/>
    </row>
    <row r="72" spans="4:7" x14ac:dyDescent="0.25">
      <c r="D72"/>
      <c r="G72"/>
    </row>
    <row r="73" spans="4:7" x14ac:dyDescent="0.25">
      <c r="D73"/>
      <c r="G73"/>
    </row>
    <row r="74" spans="4:7" x14ac:dyDescent="0.25">
      <c r="D74"/>
      <c r="G74"/>
    </row>
    <row r="75" spans="4:7" x14ac:dyDescent="0.25">
      <c r="D75"/>
      <c r="G75"/>
    </row>
    <row r="76" spans="4:7" x14ac:dyDescent="0.25">
      <c r="D76"/>
      <c r="G76"/>
    </row>
    <row r="77" spans="4:7" x14ac:dyDescent="0.25">
      <c r="D77"/>
      <c r="G77"/>
    </row>
    <row r="78" spans="4:7" x14ac:dyDescent="0.25">
      <c r="D78"/>
      <c r="G78"/>
    </row>
    <row r="79" spans="4:7" x14ac:dyDescent="0.25">
      <c r="D79"/>
      <c r="G79"/>
    </row>
    <row r="80" spans="4:7" x14ac:dyDescent="0.25">
      <c r="D80"/>
      <c r="G80"/>
    </row>
    <row r="81" spans="4:7" x14ac:dyDescent="0.25">
      <c r="D81"/>
      <c r="G81"/>
    </row>
    <row r="82" spans="4:7" x14ac:dyDescent="0.25">
      <c r="D82"/>
      <c r="G82"/>
    </row>
    <row r="83" spans="4:7" x14ac:dyDescent="0.25">
      <c r="D83"/>
      <c r="G83"/>
    </row>
    <row r="84" spans="4:7" x14ac:dyDescent="0.25">
      <c r="D84"/>
      <c r="G84"/>
    </row>
    <row r="85" spans="4:7" x14ac:dyDescent="0.25">
      <c r="D85"/>
      <c r="G85"/>
    </row>
    <row r="86" spans="4:7" x14ac:dyDescent="0.25">
      <c r="D86"/>
      <c r="G86"/>
    </row>
    <row r="87" spans="4:7" x14ac:dyDescent="0.25">
      <c r="D87"/>
      <c r="G87"/>
    </row>
    <row r="88" spans="4:7" x14ac:dyDescent="0.25">
      <c r="D88"/>
      <c r="G88"/>
    </row>
    <row r="89" spans="4:7" x14ac:dyDescent="0.25">
      <c r="D89"/>
      <c r="G89"/>
    </row>
    <row r="90" spans="4:7" x14ac:dyDescent="0.25">
      <c r="D90"/>
      <c r="G90"/>
    </row>
    <row r="91" spans="4:7" x14ac:dyDescent="0.25">
      <c r="D91"/>
      <c r="G91"/>
    </row>
    <row r="92" spans="4:7" x14ac:dyDescent="0.25">
      <c r="D92"/>
      <c r="G92"/>
    </row>
    <row r="93" spans="4:7" x14ac:dyDescent="0.25">
      <c r="D93"/>
      <c r="G93"/>
    </row>
    <row r="94" spans="4:7" x14ac:dyDescent="0.25">
      <c r="D94"/>
      <c r="G94"/>
    </row>
    <row r="95" spans="4:7" x14ac:dyDescent="0.25">
      <c r="D95"/>
      <c r="G95"/>
    </row>
    <row r="96" spans="4:7" x14ac:dyDescent="0.25">
      <c r="D96"/>
      <c r="G96"/>
    </row>
    <row r="97" spans="4:7" x14ac:dyDescent="0.25">
      <c r="D97"/>
      <c r="G97"/>
    </row>
    <row r="98" spans="4:7" x14ac:dyDescent="0.25">
      <c r="D98"/>
      <c r="G98"/>
    </row>
    <row r="99" spans="4:7" x14ac:dyDescent="0.25">
      <c r="D99"/>
      <c r="G99"/>
    </row>
    <row r="100" spans="4:7" x14ac:dyDescent="0.25">
      <c r="D100"/>
      <c r="G100"/>
    </row>
    <row r="101" spans="4:7" x14ac:dyDescent="0.25">
      <c r="D101"/>
      <c r="G101"/>
    </row>
    <row r="102" spans="4:7" x14ac:dyDescent="0.25">
      <c r="D102"/>
      <c r="G102"/>
    </row>
    <row r="103" spans="4:7" x14ac:dyDescent="0.25">
      <c r="D103"/>
      <c r="G103"/>
    </row>
    <row r="104" spans="4:7" x14ac:dyDescent="0.25">
      <c r="D104"/>
      <c r="G104"/>
    </row>
    <row r="105" spans="4:7" x14ac:dyDescent="0.25">
      <c r="D105"/>
      <c r="G105"/>
    </row>
    <row r="106" spans="4:7" x14ac:dyDescent="0.25">
      <c r="D106"/>
      <c r="G106"/>
    </row>
    <row r="107" spans="4:7" x14ac:dyDescent="0.25">
      <c r="D107"/>
      <c r="G107"/>
    </row>
    <row r="108" spans="4:7" x14ac:dyDescent="0.25">
      <c r="D108"/>
      <c r="G108"/>
    </row>
    <row r="109" spans="4:7" x14ac:dyDescent="0.25">
      <c r="D109"/>
      <c r="G109"/>
    </row>
    <row r="110" spans="4:7" x14ac:dyDescent="0.25">
      <c r="D110"/>
      <c r="G110"/>
    </row>
    <row r="111" spans="4:7" x14ac:dyDescent="0.25">
      <c r="D111"/>
      <c r="G111"/>
    </row>
    <row r="112" spans="4:7" x14ac:dyDescent="0.25">
      <c r="D112"/>
      <c r="G112"/>
    </row>
    <row r="113" spans="4:7" x14ac:dyDescent="0.25">
      <c r="D113"/>
      <c r="G113"/>
    </row>
    <row r="114" spans="4:7" x14ac:dyDescent="0.25">
      <c r="D114"/>
      <c r="G114"/>
    </row>
    <row r="115" spans="4:7" x14ac:dyDescent="0.25">
      <c r="D115"/>
      <c r="G115"/>
    </row>
    <row r="116" spans="4:7" x14ac:dyDescent="0.25">
      <c r="D116"/>
      <c r="G116"/>
    </row>
    <row r="117" spans="4:7" x14ac:dyDescent="0.25">
      <c r="D117"/>
      <c r="G117"/>
    </row>
    <row r="118" spans="4:7" x14ac:dyDescent="0.25">
      <c r="D118"/>
      <c r="G118"/>
    </row>
    <row r="119" spans="4:7" x14ac:dyDescent="0.25">
      <c r="D119"/>
      <c r="G119"/>
    </row>
    <row r="120" spans="4:7" x14ac:dyDescent="0.25">
      <c r="D120"/>
      <c r="G120"/>
    </row>
    <row r="121" spans="4:7" x14ac:dyDescent="0.25">
      <c r="D121"/>
      <c r="G121"/>
    </row>
    <row r="122" spans="4:7" x14ac:dyDescent="0.25">
      <c r="D122"/>
      <c r="G122"/>
    </row>
    <row r="123" spans="4:7" x14ac:dyDescent="0.25">
      <c r="D123"/>
      <c r="G123"/>
    </row>
    <row r="124" spans="4:7" x14ac:dyDescent="0.25">
      <c r="D124"/>
      <c r="G124"/>
    </row>
    <row r="125" spans="4:7" x14ac:dyDescent="0.25">
      <c r="D125"/>
      <c r="G125"/>
    </row>
    <row r="126" spans="4:7" x14ac:dyDescent="0.25">
      <c r="D126"/>
      <c r="G126"/>
    </row>
    <row r="127" spans="4:7" x14ac:dyDescent="0.25">
      <c r="D127"/>
      <c r="G127"/>
    </row>
    <row r="128" spans="4:7" x14ac:dyDescent="0.25">
      <c r="D128"/>
      <c r="G128"/>
    </row>
    <row r="129" spans="4:7" x14ac:dyDescent="0.25">
      <c r="D129"/>
      <c r="G129"/>
    </row>
    <row r="130" spans="4:7" x14ac:dyDescent="0.25">
      <c r="D130"/>
      <c r="G130"/>
    </row>
    <row r="131" spans="4:7" x14ac:dyDescent="0.25">
      <c r="D131"/>
      <c r="G131"/>
    </row>
    <row r="132" spans="4:7" x14ac:dyDescent="0.25">
      <c r="D132"/>
      <c r="G132"/>
    </row>
    <row r="133" spans="4:7" x14ac:dyDescent="0.25">
      <c r="D133"/>
      <c r="G133"/>
    </row>
    <row r="134" spans="4:7" x14ac:dyDescent="0.25">
      <c r="D134"/>
      <c r="G134"/>
    </row>
    <row r="135" spans="4:7" x14ac:dyDescent="0.25">
      <c r="D135"/>
      <c r="G135"/>
    </row>
    <row r="136" spans="4:7" x14ac:dyDescent="0.25">
      <c r="D136"/>
      <c r="G136"/>
    </row>
    <row r="137" spans="4:7" x14ac:dyDescent="0.25">
      <c r="D137"/>
      <c r="G137"/>
    </row>
    <row r="138" spans="4:7" x14ac:dyDescent="0.25">
      <c r="D138"/>
      <c r="G138"/>
    </row>
    <row r="139" spans="4:7" x14ac:dyDescent="0.25">
      <c r="D139"/>
      <c r="G139"/>
    </row>
    <row r="140" spans="4:7" x14ac:dyDescent="0.25">
      <c r="D140"/>
      <c r="G140"/>
    </row>
    <row r="141" spans="4:7" x14ac:dyDescent="0.25">
      <c r="D141"/>
      <c r="G141"/>
    </row>
    <row r="142" spans="4:7" x14ac:dyDescent="0.25">
      <c r="D142"/>
      <c r="G142"/>
    </row>
    <row r="143" spans="4:7" x14ac:dyDescent="0.25">
      <c r="D143"/>
      <c r="G143"/>
    </row>
    <row r="144" spans="4:7" x14ac:dyDescent="0.25">
      <c r="D144"/>
      <c r="G144"/>
    </row>
    <row r="145" spans="4:7" x14ac:dyDescent="0.25">
      <c r="D145"/>
      <c r="G145"/>
    </row>
    <row r="146" spans="4:7" x14ac:dyDescent="0.25">
      <c r="D146"/>
      <c r="G146"/>
    </row>
    <row r="147" spans="4:7" x14ac:dyDescent="0.25">
      <c r="D147"/>
      <c r="G147"/>
    </row>
    <row r="148" spans="4:7" x14ac:dyDescent="0.25">
      <c r="D148"/>
      <c r="G148"/>
    </row>
    <row r="149" spans="4:7" x14ac:dyDescent="0.25">
      <c r="D149"/>
      <c r="G149"/>
    </row>
    <row r="150" spans="4:7" x14ac:dyDescent="0.25">
      <c r="D150"/>
      <c r="G150"/>
    </row>
    <row r="151" spans="4:7" x14ac:dyDescent="0.25">
      <c r="D151"/>
      <c r="G151"/>
    </row>
    <row r="152" spans="4:7" x14ac:dyDescent="0.25">
      <c r="D152"/>
      <c r="G152"/>
    </row>
    <row r="153" spans="4:7" x14ac:dyDescent="0.25">
      <c r="D153"/>
      <c r="G153"/>
    </row>
    <row r="154" spans="4:7" x14ac:dyDescent="0.25">
      <c r="D154"/>
      <c r="G154"/>
    </row>
    <row r="155" spans="4:7" x14ac:dyDescent="0.25">
      <c r="D155"/>
      <c r="G155"/>
    </row>
    <row r="156" spans="4:7" x14ac:dyDescent="0.25">
      <c r="D156"/>
      <c r="G156"/>
    </row>
    <row r="157" spans="4:7" x14ac:dyDescent="0.25">
      <c r="D157"/>
      <c r="G157"/>
    </row>
    <row r="158" spans="4:7" x14ac:dyDescent="0.25">
      <c r="D158"/>
      <c r="G158"/>
    </row>
    <row r="159" spans="4:7" x14ac:dyDescent="0.25">
      <c r="D159"/>
      <c r="G159"/>
    </row>
    <row r="160" spans="4:7" x14ac:dyDescent="0.25">
      <c r="D160"/>
      <c r="G160"/>
    </row>
    <row r="161" spans="4:7" x14ac:dyDescent="0.25">
      <c r="D161"/>
      <c r="G161"/>
    </row>
    <row r="162" spans="4:7" x14ac:dyDescent="0.25">
      <c r="D162"/>
      <c r="G162"/>
    </row>
    <row r="163" spans="4:7" x14ac:dyDescent="0.25">
      <c r="D163"/>
      <c r="G163"/>
    </row>
    <row r="164" spans="4:7" x14ac:dyDescent="0.25">
      <c r="D164"/>
      <c r="G164"/>
    </row>
    <row r="165" spans="4:7" x14ac:dyDescent="0.25">
      <c r="D165"/>
      <c r="G165"/>
    </row>
    <row r="166" spans="4:7" x14ac:dyDescent="0.25">
      <c r="D166"/>
      <c r="G166"/>
    </row>
    <row r="167" spans="4:7" x14ac:dyDescent="0.25">
      <c r="D167"/>
      <c r="G167"/>
    </row>
    <row r="168" spans="4:7" x14ac:dyDescent="0.25">
      <c r="D168"/>
      <c r="G168"/>
    </row>
    <row r="169" spans="4:7" x14ac:dyDescent="0.25">
      <c r="D169"/>
      <c r="G169"/>
    </row>
    <row r="170" spans="4:7" x14ac:dyDescent="0.25">
      <c r="D170"/>
      <c r="G170"/>
    </row>
    <row r="171" spans="4:7" x14ac:dyDescent="0.25">
      <c r="D171"/>
      <c r="G171"/>
    </row>
    <row r="172" spans="4:7" x14ac:dyDescent="0.25">
      <c r="D172"/>
      <c r="G172"/>
    </row>
    <row r="173" spans="4:7" x14ac:dyDescent="0.25">
      <c r="D173"/>
      <c r="G173"/>
    </row>
    <row r="174" spans="4:7" x14ac:dyDescent="0.25">
      <c r="D174"/>
      <c r="G174"/>
    </row>
    <row r="175" spans="4:7" x14ac:dyDescent="0.25">
      <c r="D175"/>
      <c r="G175"/>
    </row>
    <row r="176" spans="4:7" x14ac:dyDescent="0.25">
      <c r="D176"/>
      <c r="G176"/>
    </row>
    <row r="177" spans="4:7" x14ac:dyDescent="0.25">
      <c r="D177"/>
      <c r="G177"/>
    </row>
    <row r="178" spans="4:7" x14ac:dyDescent="0.25">
      <c r="D178"/>
      <c r="G178"/>
    </row>
    <row r="179" spans="4:7" x14ac:dyDescent="0.25">
      <c r="D179"/>
      <c r="G179"/>
    </row>
    <row r="180" spans="4:7" x14ac:dyDescent="0.25">
      <c r="D180"/>
      <c r="G180"/>
    </row>
    <row r="181" spans="4:7" x14ac:dyDescent="0.25">
      <c r="D181"/>
      <c r="G181"/>
    </row>
    <row r="182" spans="4:7" x14ac:dyDescent="0.25">
      <c r="D182"/>
      <c r="G182"/>
    </row>
    <row r="183" spans="4:7" x14ac:dyDescent="0.25">
      <c r="D183"/>
      <c r="G183"/>
    </row>
    <row r="184" spans="4:7" x14ac:dyDescent="0.25">
      <c r="D184"/>
      <c r="G184"/>
    </row>
    <row r="185" spans="4:7" x14ac:dyDescent="0.25">
      <c r="D185"/>
      <c r="G185"/>
    </row>
    <row r="186" spans="4:7" x14ac:dyDescent="0.25">
      <c r="D186"/>
      <c r="G186"/>
    </row>
    <row r="187" spans="4:7" x14ac:dyDescent="0.25">
      <c r="D187"/>
      <c r="G187"/>
    </row>
    <row r="188" spans="4:7" x14ac:dyDescent="0.25">
      <c r="D188"/>
      <c r="G188"/>
    </row>
    <row r="189" spans="4:7" x14ac:dyDescent="0.25">
      <c r="D189"/>
      <c r="G189"/>
    </row>
    <row r="190" spans="4:7" x14ac:dyDescent="0.25">
      <c r="D190"/>
      <c r="G190"/>
    </row>
    <row r="191" spans="4:7" x14ac:dyDescent="0.25">
      <c r="D191"/>
      <c r="G191"/>
    </row>
    <row r="192" spans="4:7" x14ac:dyDescent="0.25">
      <c r="D192"/>
      <c r="G192"/>
    </row>
    <row r="193" spans="4:7" x14ac:dyDescent="0.25">
      <c r="D193"/>
      <c r="G193"/>
    </row>
    <row r="194" spans="4:7" x14ac:dyDescent="0.25">
      <c r="D194"/>
      <c r="G194"/>
    </row>
    <row r="195" spans="4:7" x14ac:dyDescent="0.25">
      <c r="D195"/>
      <c r="G195"/>
    </row>
    <row r="196" spans="4:7" x14ac:dyDescent="0.25">
      <c r="D196"/>
      <c r="G196"/>
    </row>
    <row r="197" spans="4:7" x14ac:dyDescent="0.25">
      <c r="D197"/>
      <c r="G197"/>
    </row>
    <row r="198" spans="4:7" x14ac:dyDescent="0.25">
      <c r="D198"/>
      <c r="G198"/>
    </row>
    <row r="199" spans="4:7" x14ac:dyDescent="0.25">
      <c r="D199"/>
      <c r="G199"/>
    </row>
    <row r="200" spans="4:7" x14ac:dyDescent="0.25">
      <c r="D200"/>
      <c r="G200"/>
    </row>
    <row r="201" spans="4:7" x14ac:dyDescent="0.25">
      <c r="D201"/>
      <c r="G201"/>
    </row>
    <row r="202" spans="4:7" x14ac:dyDescent="0.25">
      <c r="D202"/>
      <c r="G202"/>
    </row>
    <row r="203" spans="4:7" x14ac:dyDescent="0.25">
      <c r="D203"/>
      <c r="G203"/>
    </row>
  </sheetData>
  <conditionalFormatting sqref="I9:I12">
    <cfRule type="containsText" dxfId="11" priority="1" operator="containsText" text="TRUE">
      <formula>NOT(ISERROR(SEARCH("TRUE",I9)))</formula>
    </cfRule>
    <cfRule type="containsText" dxfId="10" priority="2" operator="containsText" text="FALSE">
      <formula>NOT(ISERROR(SEARCH("FALSE",I9)))</formula>
    </cfRule>
    <cfRule type="containsText" dxfId="9" priority="3" operator="containsText" text="FALSE">
      <formula>NOT(ISERROR(SEARCH("FALSE",I9)))</formula>
    </cfRule>
    <cfRule type="expression" dxfId="8" priority="4">
      <formula>"FALSE"</formula>
    </cfRule>
    <cfRule type="expression" dxfId="7" priority="5">
      <formula>FALSE</formula>
    </cfRule>
    <cfRule type="cellIs" dxfId="6" priority="6" operator="equal">
      <formula>0</formula>
    </cfRule>
  </conditionalFormatting>
  <conditionalFormatting sqref="I19:I20 I14">
    <cfRule type="expression" dxfId="5" priority="10">
      <formula>"FALSE"</formula>
    </cfRule>
  </conditionalFormatting>
  <conditionalFormatting sqref="I19:I20">
    <cfRule type="containsText" dxfId="4" priority="7" operator="containsText" text="TRUE">
      <formula>NOT(ISERROR(SEARCH("TRUE",I19)))</formula>
    </cfRule>
    <cfRule type="containsText" dxfId="3" priority="8" operator="containsText" text="FALSE">
      <formula>NOT(ISERROR(SEARCH("FALSE",I19)))</formula>
    </cfRule>
    <cfRule type="containsText" dxfId="2" priority="9" operator="containsText" text="FALSE">
      <formula>NOT(ISERROR(SEARCH("FALSE",I19)))</formula>
    </cfRule>
    <cfRule type="expression" dxfId="1" priority="11">
      <formula>FALSE</formula>
    </cfRule>
    <cfRule type="cellIs" dxfId="0" priority="13" operator="equal">
      <formula>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970182f-4161-459c-8a07-2b00ed24c146}" enabled="0" method="" siteId="{c970182f-4161-459c-8a07-2b00ed24c1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MotorWare USER Variables</vt:lpstr>
    </vt:vector>
  </TitlesOfParts>
  <Company>Texas Instruments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Clearman, Chris</dc:creator>
  <cp:lastModifiedBy>Bob Fugerer</cp:lastModifiedBy>
  <dcterms:created xsi:type="dcterms:W3CDTF">2014-02-05T18:53:57Z</dcterms:created>
  <dcterms:modified xsi:type="dcterms:W3CDTF">2025-10-31T04:31:52Z</dcterms:modified>
</cp:coreProperties>
</file>