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788"/>
  </bookViews>
  <sheets>
    <sheet name="MotorWare USER Variables" sheetId="1" r:id="rId1"/>
  </sheets>
  <calcPr calcId="144525" iterate="1" iterateCount="100" iterateDelta="0.001"/>
  <extLst/>
</workbook>
</file>

<file path=xl/sharedStrings.xml><?xml version="1.0" encoding="utf-8"?>
<sst xmlns="http://schemas.openxmlformats.org/spreadsheetml/2006/main" count="79">
  <si>
    <r>
      <rPr>
        <b/>
        <sz val="11"/>
        <color indexed="9"/>
        <rFont val="Calibri"/>
        <family val="2"/>
        <charset val="134"/>
      </rPr>
      <t xml:space="preserve">1. FILL IN </t>
    </r>
    <r>
      <rPr>
        <b/>
        <sz val="11"/>
        <color indexed="13"/>
        <rFont val="Calibri"/>
        <family val="2"/>
        <charset val="134"/>
      </rPr>
      <t>THESE VALUES</t>
    </r>
    <r>
      <rPr>
        <b/>
        <sz val="11"/>
        <color indexed="9"/>
        <rFont val="Calibri"/>
        <family val="2"/>
        <charset val="134"/>
      </rPr>
      <t xml:space="preserve"> FOR YOUR USER.H, MOTOR, and INVERTER HW</t>
    </r>
  </si>
  <si>
    <r>
      <rPr>
        <b/>
        <sz val="11"/>
        <color indexed="17"/>
        <rFont val="Calibri"/>
        <family val="2"/>
        <charset val="134"/>
      </rPr>
      <t>3. THESE VALUES</t>
    </r>
    <r>
      <rPr>
        <b/>
        <sz val="11"/>
        <color indexed="9"/>
        <rFont val="Calibri"/>
        <family val="2"/>
        <charset val="134"/>
      </rPr>
      <t xml:space="preserve"> ARE RECOMMENDED FOR USE once </t>
    </r>
    <r>
      <rPr>
        <b/>
        <sz val="11"/>
        <color indexed="17"/>
        <rFont val="Calibri"/>
        <family val="2"/>
        <charset val="134"/>
      </rPr>
      <t xml:space="preserve">TRUE </t>
    </r>
    <r>
      <rPr>
        <b/>
        <sz val="11"/>
        <color indexed="9"/>
        <rFont val="Calibri"/>
        <family val="2"/>
        <charset val="134"/>
      </rPr>
      <t>checks are satisfied</t>
    </r>
  </si>
  <si>
    <t xml:space="preserve">USER_SYSTEM_FREQ_MHz </t>
  </si>
  <si>
    <t>MHz</t>
  </si>
  <si>
    <t>sub-calculations</t>
  </si>
  <si>
    <t>Maximum Bus Voltage</t>
  </si>
  <si>
    <t>V</t>
  </si>
  <si>
    <t>Ideal USER_IQ_FULL_SCALE_FREQ_Hz  for Motor</t>
  </si>
  <si>
    <t>Target Hz with 10% buffer</t>
  </si>
  <si>
    <t xml:space="preserve">Maximum Target RPM </t>
  </si>
  <si>
    <t>RPM</t>
  </si>
  <si>
    <t>Hz</t>
  </si>
  <si>
    <t>Maximum allowed USER_IQ_FULL_SCALE_FREQ_HZ for HW</t>
  </si>
  <si>
    <t>4 * USER_VOLTAGE_FILTER_POLE_Hz [with 5% buffer]</t>
  </si>
  <si>
    <t xml:space="preserve">USER_MOTOR_NUM_POLE_PAIRS </t>
  </si>
  <si>
    <t>PAIRS</t>
  </si>
  <si>
    <t>POLES</t>
  </si>
  <si>
    <t>USER_IQ_FULL_SCALE_FREQ_Hz</t>
  </si>
  <si>
    <t>Lower of Ideal and Maximum</t>
  </si>
  <si>
    <t>USER_PWM_FREQ_kHz</t>
  </si>
  <si>
    <t>kHz</t>
  </si>
  <si>
    <t>Maximum RPM  Supported</t>
  </si>
  <si>
    <t>Rotor Hz can be 1.98 * USER_IQ_FULL_SCALE_FREQ_HZ; EST speed will roll-over outside boundary!!!!</t>
  </si>
  <si>
    <t xml:space="preserve">USER_NUM_PWM_TICKS_PER_ISR_TICK </t>
  </si>
  <si>
    <t>ticks</t>
  </si>
  <si>
    <t>USER_MOTOR_FLUX_EST_FREQ_Hz</t>
  </si>
  <si>
    <t>5-150 Hz; ~10% of Maximum Target Hz but use low as possible where Ls and Flux can be ID'd consistently</t>
  </si>
  <si>
    <t xml:space="preserve">USER_NUM_ISR_TICKS_PER_CTRL_TICK </t>
  </si>
  <si>
    <t xml:space="preserve">USER_MAX_ACCEL_EST_Hzps  </t>
  </si>
  <si>
    <t xml:space="preserve"> If USER_MOTOR_FLUX_EST_FREQ_Hz &gt; 50 Hz must increase the acceleration during ID to avoid a timeout</t>
  </si>
  <si>
    <t>USER_NUM_CTRL_TICKS_PER_CURRENT_TICK</t>
  </si>
  <si>
    <t>CURRENT  Hz &gt; MAX_Hz * 7</t>
  </si>
  <si>
    <t>If FALSE increase CURRENT kHz or reduce MAX_HZ; Standard good practice for control systems</t>
  </si>
  <si>
    <t xml:space="preserve">USER_NUM_CTRL_TICKS_PER_EST_TICK </t>
  </si>
  <si>
    <t>EST &lt;= CTRL</t>
  </si>
  <si>
    <t>If FALSE correct; No need to run the estimator if results are not being updated in control loop</t>
  </si>
  <si>
    <t>USER_ZEROSPEEDLIMIT</t>
  </si>
  <si>
    <t>EST &gt; 10 * USER_VOLTAGE_FILTER_POLE_Hz (+10% margin)</t>
  </si>
  <si>
    <t xml:space="preserve">If FALSE increase EST Rate </t>
  </si>
  <si>
    <t>2. The following are set by HW design, use defaults for TI EVM or your own HW</t>
  </si>
  <si>
    <t>EST &gt; 8 * TARGET_Hz</t>
  </si>
  <si>
    <t>If FALSE, increase effective EST Frequency using TICKs</t>
  </si>
  <si>
    <t>USER_VOLTAGE_FILTER_POLE_Hz</t>
  </si>
  <si>
    <t>Tune to HW Pole</t>
  </si>
  <si>
    <t>FLUX_EST_FREQ &gt; ZEROSPEEDLIMIT * FULL_SCALE_FREQ</t>
  </si>
  <si>
    <t>If FALSE, lower ZEROSPEEDLIMIT</t>
  </si>
  <si>
    <t xml:space="preserve">USER_ADC_FULL_SCALE_CURRENT_A </t>
  </si>
  <si>
    <t>A</t>
  </si>
  <si>
    <t xml:space="preserve">USER_IQ_FULL_SCALE_CURRENT_A  </t>
  </si>
  <si>
    <t>Slightly &gt;= 0.5 * ADC_FULL_SCALE_CURRENT_A</t>
  </si>
  <si>
    <t xml:space="preserve">USER_ADC_FULL_SCALE_VOLTAGE_V </t>
  </si>
  <si>
    <t xml:space="preserve">starting USER_IQ_FULL_SCALE_VOLTAGE_V </t>
  </si>
  <si>
    <t>Initially set to bus voltage until flux is identified</t>
  </si>
  <si>
    <t>4. Once Motor ID is attempted, update these as best you can and check IQ_V Scaling</t>
  </si>
  <si>
    <t>4. Check after valid USER_MOTOR_RATED_FLUX Identification</t>
  </si>
  <si>
    <t>USER_MOTOR_RATED_FLUX</t>
  </si>
  <si>
    <t>V/Hz</t>
  </si>
  <si>
    <t>= Minimum Flux that can be measured with new USER_IQ_FULL_SCALE_VOLTAGE_V (cell I20)</t>
  </si>
  <si>
    <t>USER_MOTOR_Ls_d</t>
  </si>
  <si>
    <t>H</t>
  </si>
  <si>
    <t>Minimum Flux Measurement &lt; 0.9 * RATED_FLUX</t>
  </si>
  <si>
    <t>If FALSE, reduce new USER_IQ_FULL_SCALE_VOLTAGE as low as Bus Voltage / 2 + 10% buffer</t>
  </si>
  <si>
    <t>5. * Ideal Pole Design when you build wwn HW</t>
  </si>
  <si>
    <t>IQ_VOLTAGE &lt; RATED_FLUX * EST Hz</t>
  </si>
  <si>
    <t>If FALSE, reduce new USER_IQ_FULL_SCALE_VOLTAGE or increase EST_Hz</t>
  </si>
  <si>
    <t>Minimum Pole</t>
  </si>
  <si>
    <t>Hz MIN</t>
  </si>
  <si>
    <t xml:space="preserve">new USER_IQ_FULL_SCALE_VOLTAGE_V </t>
  </si>
  <si>
    <t>Use larger of a) or b).  Minimum of Bus Voltage / 2 + 10% buffer if required to make I18 &amp; I19 TRUE</t>
  </si>
  <si>
    <t>Ideal* Pole  &gt;=</t>
  </si>
  <si>
    <t xml:space="preserve">Hz </t>
  </si>
  <si>
    <t>a) Bus Voltage</t>
  </si>
  <si>
    <t>Typical Minimum, but can reduce as low as Bus Voltage / 2 + 10% buffer</t>
  </si>
  <si>
    <t>Half** Pole &gt;=</t>
  </si>
  <si>
    <t>b) Bemf Generated @ Target Hz + 10% buffer</t>
  </si>
  <si>
    <t>* Use Ideal pole to keep Target Hz &lt;  USER_IQ_FULL_SCALE_FREQ_Hz but note that as pole Hz increases you are more susceptible to drift/error and should use higher precision Vph filter Capacitors</t>
  </si>
  <si>
    <t>** You may use a lower pole (down to half the value of the ideal) that is less sensitive to capacitor error/offset/drift.  Set USER_IQ_FULL_SCALE_FREQ_HZ &lt;= 4 * Lowered Pole  * 0.95 buffer. Target Hz can reach +/- 1.98 * USER_IQ_FULL_SCALE_FREQ_Hz</t>
  </si>
  <si>
    <r>
      <rPr>
        <sz val="11"/>
        <color indexed="8"/>
        <rFont val="Calibri"/>
        <family val="2"/>
        <charset val="134"/>
      </rPr>
      <t xml:space="preserve">Performance difference between the two is typically very marginal though.  </t>
    </r>
    <r>
      <rPr>
        <b/>
        <sz val="11"/>
        <color indexed="10"/>
        <rFont val="Calibri"/>
        <family val="2"/>
        <charset val="134"/>
      </rPr>
      <t>Do NOT use a filter pole &lt; Minimum Pole!!!</t>
    </r>
  </si>
  <si>
    <t>v2p1  2014-May-28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</si>
</sst>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0.0"/>
    <numFmt numFmtId="177" formatCode="_ * #,##0.00_ ;_ * \-#,##0.00_ ;_ * &quot;-&quot;??_ ;_ @_ "/>
    <numFmt numFmtId="178" formatCode="_ * #,##0_ ;_ * \-#,##0_ ;_ * &quot;-&quot;_ ;_ @_ "/>
  </numFmts>
  <fonts count="8">
    <font>
      <sz val="11"/>
      <color indexed="8"/>
      <name val="Calibri"/>
      <family val="2"/>
      <charset val="134"/>
    </font>
    <font>
      <b/>
      <sz val="11"/>
      <color indexed="9"/>
      <name val="Calibri"/>
      <family val="2"/>
      <charset val="134"/>
    </font>
    <font>
      <sz val="11"/>
      <color indexed="9"/>
      <name val="Calibri"/>
      <family val="2"/>
      <charset val="134"/>
    </font>
    <font>
      <b/>
      <sz val="11"/>
      <color indexed="8"/>
      <name val="Calibri"/>
      <family val="2"/>
      <charset val="134"/>
    </font>
    <font>
      <sz val="12"/>
      <name val="Times New Roman"/>
      <charset val="134"/>
    </font>
    <font>
      <b/>
      <sz val="11"/>
      <color indexed="13"/>
      <name val="Calibri"/>
      <family val="2"/>
      <charset val="134"/>
    </font>
    <font>
      <b/>
      <sz val="11"/>
      <color indexed="17"/>
      <name val="Calibri"/>
      <family val="2"/>
      <charset val="134"/>
    </font>
    <font>
      <b/>
      <sz val="11"/>
      <color indexed="10"/>
      <name val="Calibr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7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</cellStyleXfs>
  <cellXfs count="55">
    <xf numFmtId="0" fontId="0" fillId="0" borderId="0" xfId="0" applyAlignment="1"/>
    <xf numFmtId="0" fontId="0" fillId="2" borderId="0" xfId="0" applyFill="1" applyAlignment="1"/>
    <xf numFmtId="0" fontId="0" fillId="0" borderId="0" xfId="0" applyFill="1" applyAlignment="1"/>
    <xf numFmtId="0" fontId="0" fillId="3" borderId="0" xfId="0" applyFill="1" applyAlignment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0" fillId="3" borderId="2" xfId="0" applyFill="1" applyBorder="1" applyAlignment="1"/>
    <xf numFmtId="0" fontId="1" fillId="3" borderId="2" xfId="0" applyFont="1" applyFill="1" applyBorder="1" applyAlignment="1">
      <alignment horizontal="left"/>
    </xf>
    <xf numFmtId="0" fontId="0" fillId="0" borderId="3" xfId="0" applyBorder="1" applyAlignment="1"/>
    <xf numFmtId="0" fontId="0" fillId="4" borderId="4" xfId="0" applyFill="1" applyBorder="1" applyAlignment="1"/>
    <xf numFmtId="0" fontId="0" fillId="0" borderId="0" xfId="0" applyBorder="1" applyAlignment="1"/>
    <xf numFmtId="0" fontId="0" fillId="3" borderId="0" xfId="0" applyFill="1" applyBorder="1" applyAlignment="1"/>
    <xf numFmtId="0" fontId="2" fillId="3" borderId="0" xfId="0" applyFont="1" applyFill="1" applyBorder="1" applyAlignment="1"/>
    <xf numFmtId="0" fontId="0" fillId="4" borderId="5" xfId="0" applyFill="1" applyBorder="1" applyAlignment="1"/>
    <xf numFmtId="0" fontId="0" fillId="5" borderId="0" xfId="0" applyFill="1" applyBorder="1" applyAlignment="1"/>
    <xf numFmtId="0" fontId="3" fillId="0" borderId="0" xfId="0" applyFont="1" applyBorder="1" applyAlignment="1"/>
    <xf numFmtId="0" fontId="2" fillId="3" borderId="1" xfId="0" applyFont="1" applyFill="1" applyBorder="1" applyAlignment="1"/>
    <xf numFmtId="0" fontId="2" fillId="3" borderId="3" xfId="0" applyFont="1" applyFill="1" applyBorder="1" applyAlignment="1"/>
    <xf numFmtId="0" fontId="2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5" xfId="0" applyFont="1" applyFill="1" applyBorder="1" applyAlignment="1"/>
    <xf numFmtId="0" fontId="1" fillId="3" borderId="0" xfId="0" applyFont="1" applyFill="1" applyBorder="1" applyAlignment="1"/>
    <xf numFmtId="0" fontId="2" fillId="3" borderId="0" xfId="0" applyFont="1" applyFill="1" applyAlignment="1"/>
    <xf numFmtId="0" fontId="0" fillId="6" borderId="0" xfId="0" applyFill="1" applyBorder="1" applyAlignment="1"/>
    <xf numFmtId="2" fontId="0" fillId="4" borderId="5" xfId="0" applyNumberFormat="1" applyFill="1" applyBorder="1" applyAlignment="1"/>
    <xf numFmtId="0" fontId="1" fillId="7" borderId="3" xfId="0" applyFont="1" applyFill="1" applyBorder="1" applyAlignment="1"/>
    <xf numFmtId="0" fontId="0" fillId="7" borderId="5" xfId="0" applyFill="1" applyBorder="1" applyAlignment="1"/>
    <xf numFmtId="0" fontId="0" fillId="7" borderId="0" xfId="0" applyFill="1" applyBorder="1" applyAlignment="1"/>
    <xf numFmtId="0" fontId="1" fillId="7" borderId="0" xfId="0" applyFont="1" applyFill="1" applyBorder="1" applyAlignment="1"/>
    <xf numFmtId="0" fontId="0" fillId="8" borderId="5" xfId="0" applyFill="1" applyBorder="1" applyAlignment="1"/>
    <xf numFmtId="0" fontId="0" fillId="8" borderId="7" xfId="0" applyFill="1" applyBorder="1" applyAlignment="1"/>
    <xf numFmtId="0" fontId="1" fillId="6" borderId="8" xfId="0" applyFont="1" applyFill="1" applyBorder="1" applyAlignment="1"/>
    <xf numFmtId="0" fontId="0" fillId="0" borderId="0" xfId="0" applyFill="1" applyBorder="1" applyAlignment="1"/>
    <xf numFmtId="0" fontId="1" fillId="9" borderId="8" xfId="0" applyFont="1" applyFill="1" applyBorder="1" applyAlignment="1"/>
    <xf numFmtId="0" fontId="0" fillId="4" borderId="8" xfId="0" applyFill="1" applyBorder="1" applyAlignment="1"/>
    <xf numFmtId="0" fontId="0" fillId="2" borderId="0" xfId="0" applyFill="1" applyBorder="1" applyAlignment="1"/>
    <xf numFmtId="0" fontId="0" fillId="3" borderId="3" xfId="0" applyFill="1" applyBorder="1" applyAlignment="1"/>
    <xf numFmtId="0" fontId="0" fillId="2" borderId="3" xfId="0" applyFill="1" applyBorder="1" applyAlignment="1"/>
    <xf numFmtId="0" fontId="0" fillId="2" borderId="6" xfId="0" applyFill="1" applyBorder="1" applyAlignment="1"/>
    <xf numFmtId="0" fontId="0" fillId="2" borderId="9" xfId="0" applyFill="1" applyBorder="1" applyAlignment="1"/>
    <xf numFmtId="0" fontId="1" fillId="3" borderId="8" xfId="0" applyFont="1" applyFill="1" applyBorder="1" applyAlignment="1"/>
    <xf numFmtId="0" fontId="1" fillId="3" borderId="10" xfId="0" applyFont="1" applyFill="1" applyBorder="1" applyAlignment="1"/>
    <xf numFmtId="0" fontId="0" fillId="3" borderId="11" xfId="0" applyFill="1" applyBorder="1" applyAlignment="1"/>
    <xf numFmtId="176" fontId="2" fillId="3" borderId="0" xfId="0" applyNumberFormat="1" applyFont="1" applyFill="1" applyBorder="1" applyAlignment="1"/>
    <xf numFmtId="0" fontId="2" fillId="3" borderId="11" xfId="0" applyFont="1" applyFill="1" applyBorder="1" applyAlignment="1"/>
    <xf numFmtId="176" fontId="1" fillId="9" borderId="8" xfId="0" applyNumberFormat="1" applyFont="1" applyFill="1" applyBorder="1" applyAlignment="1"/>
    <xf numFmtId="0" fontId="0" fillId="0" borderId="11" xfId="0" applyBorder="1" applyAlignment="1"/>
    <xf numFmtId="0" fontId="2" fillId="3" borderId="8" xfId="0" applyFont="1" applyFill="1" applyBorder="1" applyAlignment="1"/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2" fontId="2" fillId="9" borderId="8" xfId="0" applyNumberFormat="1" applyFont="1" applyFill="1" applyBorder="1" applyAlignment="1"/>
    <xf numFmtId="0" fontId="0" fillId="7" borderId="11" xfId="0" applyFill="1" applyBorder="1" applyAlignment="1"/>
    <xf numFmtId="0" fontId="2" fillId="2" borderId="11" xfId="0" applyFont="1" applyFill="1" applyBorder="1" applyAlignment="1"/>
    <xf numFmtId="0" fontId="0" fillId="2" borderId="11" xfId="0" applyFill="1" applyBorder="1" applyAlignment="1"/>
    <xf numFmtId="0" fontId="2" fillId="2" borderId="12" xfId="0" applyFont="1" applyFill="1" applyBorder="1" applyAlignment="1"/>
    <xf numFmtId="0" fontId="2" fillId="3" borderId="0" xfId="0" applyFont="1" applyFill="1" applyBorder="1" applyAlignment="1" quotePrefix="1"/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  <dxfs count="2">
    <dxf>
      <fill>
        <patternFill>
          <fgColor indexed="10"/>
          <bgColor indexed="10"/>
        </patternFill>
      </fill>
    </dxf>
    <dxf>
      <fill>
        <patternFill>
          <fgColor indexed="10"/>
          <bgColor indexed="1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2"/>
  <sheetViews>
    <sheetView tabSelected="1" workbookViewId="0">
      <selection activeCell="I3" sqref="I3"/>
    </sheetView>
  </sheetViews>
  <sheetFormatPr defaultColWidth="9" defaultRowHeight="14.4"/>
  <cols>
    <col min="1" max="1" width="48.287037037037" customWidth="1"/>
    <col min="2" max="2" width="9.42592592592593" customWidth="1"/>
    <col min="3" max="3" width="7.57407407407407" customWidth="1"/>
    <col min="4" max="4" width="2.13888888888889" style="3" customWidth="1"/>
    <col min="5" max="5" width="12.5740740740741" customWidth="1"/>
    <col min="6" max="6" width="7" customWidth="1"/>
    <col min="7" max="7" width="4.28703703703704" style="3" customWidth="1"/>
    <col min="8" max="8" width="82.287037037037" customWidth="1"/>
    <col min="9" max="9" width="7.57407407407407" customWidth="1"/>
    <col min="10" max="10" width="92.1388888888889" customWidth="1"/>
  </cols>
  <sheetData>
    <row r="1" ht="15.15" spans="1:10">
      <c r="A1" s="4" t="s">
        <v>0</v>
      </c>
      <c r="B1" s="5"/>
      <c r="C1" s="5"/>
      <c r="D1" s="5"/>
      <c r="E1" s="5"/>
      <c r="F1" s="5"/>
      <c r="G1" s="6"/>
      <c r="H1" s="7" t="s">
        <v>1</v>
      </c>
      <c r="I1" s="40"/>
      <c r="J1" s="41"/>
    </row>
    <row r="2" spans="1:10">
      <c r="A2" s="8" t="s">
        <v>2</v>
      </c>
      <c r="B2" s="9">
        <v>90</v>
      </c>
      <c r="C2" s="10" t="s">
        <v>3</v>
      </c>
      <c r="D2" s="11"/>
      <c r="E2" s="12" t="s">
        <v>4</v>
      </c>
      <c r="F2" s="12"/>
      <c r="G2" s="11"/>
      <c r="H2" s="11"/>
      <c r="I2" s="11"/>
      <c r="J2" s="42"/>
    </row>
    <row r="3" spans="1:10">
      <c r="A3" s="8" t="s">
        <v>5</v>
      </c>
      <c r="B3" s="13">
        <v>12</v>
      </c>
      <c r="C3" s="10" t="s">
        <v>6</v>
      </c>
      <c r="D3" s="11"/>
      <c r="E3" s="14"/>
      <c r="F3" s="14"/>
      <c r="G3" s="11"/>
      <c r="H3" s="12" t="s">
        <v>7</v>
      </c>
      <c r="I3" s="43">
        <f>E4*1.1</f>
        <v>110</v>
      </c>
      <c r="J3" s="44" t="s">
        <v>8</v>
      </c>
    </row>
    <row r="4" ht="15.15" spans="1:10">
      <c r="A4" s="8" t="s">
        <v>9</v>
      </c>
      <c r="B4" s="13">
        <v>3000</v>
      </c>
      <c r="C4" s="10" t="s">
        <v>10</v>
      </c>
      <c r="D4" s="11"/>
      <c r="E4" s="14">
        <f>B4*B5/60</f>
        <v>100</v>
      </c>
      <c r="F4" s="14" t="s">
        <v>11</v>
      </c>
      <c r="G4" s="11"/>
      <c r="H4" s="12" t="s">
        <v>12</v>
      </c>
      <c r="I4" s="43">
        <f>ROUND(4*B13*0.95,0)</f>
        <v>1845</v>
      </c>
      <c r="J4" s="44" t="s">
        <v>13</v>
      </c>
    </row>
    <row r="5" ht="15.15" spans="1:10">
      <c r="A5" s="8" t="s">
        <v>14</v>
      </c>
      <c r="B5" s="13">
        <v>2</v>
      </c>
      <c r="C5" s="10" t="s">
        <v>15</v>
      </c>
      <c r="D5" s="11"/>
      <c r="E5" s="14">
        <f>B5*2</f>
        <v>4</v>
      </c>
      <c r="F5" s="14" t="s">
        <v>16</v>
      </c>
      <c r="G5" s="11"/>
      <c r="H5" s="15" t="s">
        <v>17</v>
      </c>
      <c r="I5" s="45">
        <f>MIN(I4,I3)</f>
        <v>110</v>
      </c>
      <c r="J5" s="46" t="s">
        <v>18</v>
      </c>
    </row>
    <row r="6" ht="15.15" spans="1:10">
      <c r="A6" s="8" t="s">
        <v>19</v>
      </c>
      <c r="B6" s="13">
        <v>15</v>
      </c>
      <c r="C6" s="10" t="s">
        <v>20</v>
      </c>
      <c r="D6" s="11"/>
      <c r="E6" s="14"/>
      <c r="F6" s="14"/>
      <c r="G6" s="11"/>
      <c r="H6" s="12" t="s">
        <v>21</v>
      </c>
      <c r="I6" s="12">
        <f>ROUND(I5*120/E5*1.98,0)</f>
        <v>6534</v>
      </c>
      <c r="J6" s="44" t="s">
        <v>22</v>
      </c>
    </row>
    <row r="7" ht="15.15" spans="1:10">
      <c r="A7" s="8" t="s">
        <v>23</v>
      </c>
      <c r="B7" s="13">
        <v>1</v>
      </c>
      <c r="C7" s="10" t="s">
        <v>24</v>
      </c>
      <c r="D7" s="11"/>
      <c r="E7" s="14">
        <f>B6/B7</f>
        <v>15</v>
      </c>
      <c r="F7" s="14" t="s">
        <v>20</v>
      </c>
      <c r="G7" s="11"/>
      <c r="H7" s="15" t="s">
        <v>25</v>
      </c>
      <c r="I7" s="45">
        <f>MIN(ROUND(E4*0.1,0),150)</f>
        <v>10</v>
      </c>
      <c r="J7" s="46" t="s">
        <v>26</v>
      </c>
    </row>
    <row r="8" spans="1:10">
      <c r="A8" s="8" t="s">
        <v>27</v>
      </c>
      <c r="B8" s="13">
        <v>1</v>
      </c>
      <c r="C8" s="10" t="s">
        <v>24</v>
      </c>
      <c r="D8" s="11"/>
      <c r="E8" s="14">
        <f>E7/B8</f>
        <v>15</v>
      </c>
      <c r="F8" s="14" t="s">
        <v>20</v>
      </c>
      <c r="G8" s="11"/>
      <c r="H8" s="15" t="s">
        <v>28</v>
      </c>
      <c r="I8" s="45">
        <f>INT(I7/10+5)</f>
        <v>6</v>
      </c>
      <c r="J8" s="46" t="s">
        <v>29</v>
      </c>
    </row>
    <row r="9" ht="15.15" spans="1:10">
      <c r="A9" s="8" t="s">
        <v>30</v>
      </c>
      <c r="B9" s="13">
        <v>1</v>
      </c>
      <c r="C9" s="10" t="s">
        <v>24</v>
      </c>
      <c r="D9" s="11"/>
      <c r="E9" s="14">
        <f>E8/B9</f>
        <v>15</v>
      </c>
      <c r="F9" s="14" t="s">
        <v>20</v>
      </c>
      <c r="G9" s="11"/>
      <c r="H9" s="16" t="s">
        <v>31</v>
      </c>
      <c r="I9" s="47" t="b">
        <f>E9*1000&gt;E4*7</f>
        <v>1</v>
      </c>
      <c r="J9" s="48" t="s">
        <v>32</v>
      </c>
    </row>
    <row r="10" ht="15.15" spans="1:10">
      <c r="A10" s="8" t="s">
        <v>33</v>
      </c>
      <c r="B10" s="13">
        <v>1</v>
      </c>
      <c r="C10" s="10" t="s">
        <v>24</v>
      </c>
      <c r="D10" s="11"/>
      <c r="E10" s="14">
        <f>E8/B10</f>
        <v>15</v>
      </c>
      <c r="F10" s="14" t="s">
        <v>20</v>
      </c>
      <c r="G10" s="11"/>
      <c r="H10" s="17" t="s">
        <v>34</v>
      </c>
      <c r="I10" s="47" t="b">
        <f>E9&gt;=E10</f>
        <v>1</v>
      </c>
      <c r="J10" s="44" t="s">
        <v>35</v>
      </c>
    </row>
    <row r="11" ht="15.15" spans="1:10">
      <c r="A11" s="8" t="s">
        <v>36</v>
      </c>
      <c r="B11" s="13">
        <v>0.002</v>
      </c>
      <c r="C11" s="10"/>
      <c r="D11" s="11"/>
      <c r="E11" s="14"/>
      <c r="F11" s="14"/>
      <c r="G11" s="11"/>
      <c r="H11" s="18" t="s">
        <v>37</v>
      </c>
      <c r="I11" s="47" t="b">
        <f>E10*1000&gt;10*B13*1.1</f>
        <v>1</v>
      </c>
      <c r="J11" s="49" t="s">
        <v>38</v>
      </c>
    </row>
    <row r="12" spans="1:10">
      <c r="A12" s="19" t="s">
        <v>39</v>
      </c>
      <c r="B12" s="20"/>
      <c r="C12" s="21"/>
      <c r="D12" s="21"/>
      <c r="E12" s="21"/>
      <c r="F12" s="11"/>
      <c r="G12" s="11"/>
      <c r="H12" s="22" t="s">
        <v>40</v>
      </c>
      <c r="I12" s="47" t="b">
        <f>E10*1000&gt;8*E4</f>
        <v>1</v>
      </c>
      <c r="J12" s="22" t="s">
        <v>41</v>
      </c>
    </row>
    <row r="13" ht="15.15" spans="1:10">
      <c r="A13" s="8" t="s">
        <v>42</v>
      </c>
      <c r="B13" s="13">
        <v>485.4179</v>
      </c>
      <c r="C13" s="10" t="s">
        <v>11</v>
      </c>
      <c r="D13" s="11"/>
      <c r="E13" s="23" t="s">
        <v>43</v>
      </c>
      <c r="F13" s="23"/>
      <c r="G13" s="11"/>
      <c r="H13" s="22" t="s">
        <v>44</v>
      </c>
      <c r="I13" s="50" t="b">
        <f>I7&gt;B11*I5</f>
        <v>1</v>
      </c>
      <c r="J13" s="22" t="s">
        <v>45</v>
      </c>
    </row>
    <row r="14" ht="15.15" spans="1:10">
      <c r="A14" s="8" t="s">
        <v>46</v>
      </c>
      <c r="B14" s="24">
        <v>19.89</v>
      </c>
      <c r="C14" s="10" t="s">
        <v>47</v>
      </c>
      <c r="D14" s="11"/>
      <c r="E14" s="14"/>
      <c r="F14" s="14"/>
      <c r="G14" s="11"/>
      <c r="H14" s="15" t="s">
        <v>48</v>
      </c>
      <c r="I14" s="45">
        <f>ROUND(B14/2+1,0)</f>
        <v>11</v>
      </c>
      <c r="J14" s="46" t="s">
        <v>49</v>
      </c>
    </row>
    <row r="15" ht="15.15" spans="1:10">
      <c r="A15" s="8" t="s">
        <v>50</v>
      </c>
      <c r="B15" s="13">
        <v>14.191</v>
      </c>
      <c r="C15" s="10" t="s">
        <v>6</v>
      </c>
      <c r="D15" s="11"/>
      <c r="E15" s="14"/>
      <c r="F15" s="14"/>
      <c r="G15" s="11"/>
      <c r="H15" s="15" t="s">
        <v>51</v>
      </c>
      <c r="I15" s="45">
        <f>B3</f>
        <v>12</v>
      </c>
      <c r="J15" s="46" t="s">
        <v>52</v>
      </c>
    </row>
    <row r="16" spans="1:10">
      <c r="A16" s="25" t="s">
        <v>53</v>
      </c>
      <c r="B16" s="26"/>
      <c r="C16" s="27"/>
      <c r="D16" s="27"/>
      <c r="E16" s="27"/>
      <c r="F16" s="27"/>
      <c r="G16" s="27"/>
      <c r="H16" s="28" t="s">
        <v>54</v>
      </c>
      <c r="I16" s="27"/>
      <c r="J16" s="51"/>
    </row>
    <row r="17" spans="1:10">
      <c r="A17" s="8" t="s">
        <v>55</v>
      </c>
      <c r="B17" s="29">
        <v>0.023</v>
      </c>
      <c r="C17" s="10" t="s">
        <v>56</v>
      </c>
      <c r="D17" s="11"/>
      <c r="E17" s="14">
        <f>I20/(E10*1000)/0.7</f>
        <v>0.00114285714285714</v>
      </c>
      <c r="F17" s="14" t="s">
        <v>56</v>
      </c>
      <c r="G17" s="11"/>
      <c r="H17" s="55" t="s">
        <v>57</v>
      </c>
      <c r="I17" s="11"/>
      <c r="J17" s="42"/>
    </row>
    <row r="18" ht="15.15" spans="1:10">
      <c r="A18" s="8" t="s">
        <v>58</v>
      </c>
      <c r="B18" s="30">
        <v>5e-5</v>
      </c>
      <c r="C18" s="10" t="s">
        <v>59</v>
      </c>
      <c r="D18" s="11"/>
      <c r="E18" s="14"/>
      <c r="F18" s="14"/>
      <c r="G18" s="11"/>
      <c r="H18" s="12" t="s">
        <v>60</v>
      </c>
      <c r="I18" s="12" t="b">
        <f>E17&lt;B17*0.9</f>
        <v>1</v>
      </c>
      <c r="J18" s="44" t="s">
        <v>61</v>
      </c>
    </row>
    <row r="19" ht="15.15" spans="1:10">
      <c r="A19" s="25" t="s">
        <v>62</v>
      </c>
      <c r="B19" s="27"/>
      <c r="C19" s="27"/>
      <c r="D19" s="11"/>
      <c r="E19" s="14"/>
      <c r="F19" s="14"/>
      <c r="G19" s="11"/>
      <c r="H19" s="12" t="s">
        <v>63</v>
      </c>
      <c r="I19" s="12" t="b">
        <f>I15&lt;B17*(E10*1000)</f>
        <v>1</v>
      </c>
      <c r="J19" s="44" t="s">
        <v>64</v>
      </c>
    </row>
    <row r="20" ht="15.15" spans="1:10">
      <c r="A20" s="8" t="s">
        <v>65</v>
      </c>
      <c r="B20" s="31">
        <v>200</v>
      </c>
      <c r="C20" s="32" t="s">
        <v>66</v>
      </c>
      <c r="D20" s="11"/>
      <c r="E20" s="14"/>
      <c r="F20" s="14"/>
      <c r="G20" s="11"/>
      <c r="H20" s="15" t="s">
        <v>67</v>
      </c>
      <c r="I20" s="45">
        <f>ROUNDUP(MAX(I21,I22),0)</f>
        <v>12</v>
      </c>
      <c r="J20" s="46" t="s">
        <v>68</v>
      </c>
    </row>
    <row r="21" ht="15.15" spans="1:10">
      <c r="A21" s="8" t="s">
        <v>69</v>
      </c>
      <c r="B21" s="33">
        <f>I3/4</f>
        <v>27.5</v>
      </c>
      <c r="C21" s="32" t="s">
        <v>70</v>
      </c>
      <c r="D21" s="11"/>
      <c r="E21" s="14"/>
      <c r="F21" s="14"/>
      <c r="G21" s="11"/>
      <c r="H21" s="12" t="s">
        <v>71</v>
      </c>
      <c r="I21" s="43">
        <f>B3</f>
        <v>12</v>
      </c>
      <c r="J21" s="44" t="s">
        <v>72</v>
      </c>
    </row>
    <row r="22" ht="15.15" spans="1:10">
      <c r="A22" s="8" t="s">
        <v>73</v>
      </c>
      <c r="B22" s="34">
        <f>B21*0.5</f>
        <v>13.75</v>
      </c>
      <c r="C22" s="35" t="s">
        <v>11</v>
      </c>
      <c r="D22" s="11"/>
      <c r="E22" s="14"/>
      <c r="F22" s="14"/>
      <c r="G22" s="11"/>
      <c r="H22" s="12" t="s">
        <v>74</v>
      </c>
      <c r="I22" s="43">
        <f>B17*E4*1.1</f>
        <v>2.53</v>
      </c>
      <c r="J22" s="44"/>
    </row>
    <row r="23" spans="1:10">
      <c r="A23" s="36"/>
      <c r="B23" s="11"/>
      <c r="C23" s="11"/>
      <c r="D23" s="11"/>
      <c r="E23" s="11"/>
      <c r="F23" s="11"/>
      <c r="G23" s="11"/>
      <c r="H23" s="12"/>
      <c r="I23" s="43"/>
      <c r="J23" s="44"/>
    </row>
    <row r="24" s="1" customFormat="1" spans="1:10">
      <c r="A24" s="37" t="s">
        <v>75</v>
      </c>
      <c r="B24" s="35"/>
      <c r="C24" s="35"/>
      <c r="D24" s="35"/>
      <c r="E24" s="35"/>
      <c r="F24" s="35"/>
      <c r="G24" s="35"/>
      <c r="H24" s="35"/>
      <c r="I24" s="35"/>
      <c r="J24" s="52"/>
    </row>
    <row r="25" s="1" customFormat="1" spans="1:10">
      <c r="A25" s="37" t="s">
        <v>76</v>
      </c>
      <c r="B25" s="35"/>
      <c r="C25" s="35"/>
      <c r="D25" s="35"/>
      <c r="E25" s="35"/>
      <c r="F25" s="35"/>
      <c r="G25" s="35"/>
      <c r="H25" s="35"/>
      <c r="I25" s="35"/>
      <c r="J25" s="53"/>
    </row>
    <row r="26" s="1" customFormat="1" ht="15.15" spans="1:10">
      <c r="A26" s="38" t="s">
        <v>77</v>
      </c>
      <c r="B26" s="39"/>
      <c r="C26" s="39"/>
      <c r="D26" s="39"/>
      <c r="E26" s="39"/>
      <c r="F26" s="39"/>
      <c r="G26" s="39"/>
      <c r="H26" s="39"/>
      <c r="I26" s="39"/>
      <c r="J26" s="54"/>
    </row>
    <row r="27" s="2" customFormat="1"/>
    <row r="28" s="2" customFormat="1" spans="1:1">
      <c r="A28" s="35" t="s">
        <v>78</v>
      </c>
    </row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 spans="8:10">
      <c r="H198"/>
      <c r="I198"/>
      <c r="J198"/>
    </row>
    <row r="199" s="2" customFormat="1" spans="8:10">
      <c r="H199"/>
      <c r="I199"/>
      <c r="J199"/>
    </row>
    <row r="200" s="2" customFormat="1" spans="8:10">
      <c r="H200"/>
      <c r="I200"/>
      <c r="J200"/>
    </row>
    <row r="201" s="2" customFormat="1" spans="8:10">
      <c r="H201"/>
      <c r="I201"/>
      <c r="J201"/>
    </row>
    <row r="202" s="2" customFormat="1" spans="8:10">
      <c r="H202"/>
      <c r="I202"/>
      <c r="J202"/>
    </row>
  </sheetData>
  <conditionalFormatting sqref="I18:I19;I9:I11">
    <cfRule type="cellIs" dxfId="0" priority="1" stopIfTrue="1" operator="equal">
      <formula>0</formula>
    </cfRule>
  </conditionalFormatting>
  <conditionalFormatting sqref="I12">
    <cfRule type="cellIs" dxfId="1" priority="2" stopIfTrue="1" operator="equal">
      <formula>0</formula>
    </cfRule>
  </conditionalFormatting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Texas Instruments Incorporated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MotorWare USER Variables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Clearman, Chris</dc:creator>
  <cp:lastModifiedBy>Clearman, Chris</cp:lastModifiedBy>
  <dcterms:created xsi:type="dcterms:W3CDTF">2014-02-05T18:53:00Z</dcterms:created>
  <dcterms:modified xsi:type="dcterms:W3CDTF">2015-07-21T08:48:25Z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1033-9.1.0.4746</vt:lpwstr>
  </property>
</Properties>
</file>