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9065" yWindow="-15" windowWidth="19020" windowHeight="11835" tabRatio="806" activeTab="2"/>
  </bookViews>
  <sheets>
    <sheet name="Instructions" sheetId="2" r:id="rId1"/>
    <sheet name="Functional Schematic" sheetId="7" r:id="rId2"/>
    <sheet name="Design Information" sheetId="1" r:id="rId3"/>
    <sheet name="Figure of T1 Current" sheetId="8" r:id="rId4"/>
    <sheet name="TABSET Valley Switching" sheetId="9" r:id="rId5"/>
    <sheet name="TCDSET Valley Switching" sheetId="10" r:id="rId6"/>
    <sheet name="Voltage Loop" sheetId="6" state="hidden" r:id="rId7"/>
    <sheet name="Standard R and C Look Up Table" sheetId="3" state="hidden" r:id="rId8"/>
  </sheets>
  <externalReferences>
    <externalReference r:id="rId9"/>
  </externalReferences>
  <definedNames>
    <definedName name="_imp2">'Design Information'!$C$40</definedName>
    <definedName name="_ims2">'Design Information'!$C$32</definedName>
    <definedName name="_ipp1">'Design Information'!$C$112</definedName>
    <definedName name="_st1">'Design Information'!#REF!</definedName>
    <definedName name="_st10">'Standard R and C Look Up Table'!#REF!</definedName>
    <definedName name="_st11">'Standard R and C Look Up Table'!#REF!</definedName>
    <definedName name="_st12">'Standard R and C Look Up Table'!#REF!</definedName>
    <definedName name="_st13">'Standard R and C Look Up Table'!#REF!</definedName>
    <definedName name="_st14">'Standard R and C Look Up Table'!#REF!</definedName>
    <definedName name="_st15">'Standard R and C Look Up Table'!#REF!</definedName>
    <definedName name="_st16">'Standard R and C Look Up Table'!#REF!</definedName>
    <definedName name="_st17">'Standard R and C Look Up Table'!#REF!</definedName>
    <definedName name="_st18">'Standard R and C Look Up Table'!#REF!</definedName>
    <definedName name="_st2">'Design Information'!#REF!</definedName>
    <definedName name="_st3">'Standard R and C Look Up Table'!#REF!</definedName>
    <definedName name="_st4">'Standard R and C Look Up Table'!#REF!</definedName>
    <definedName name="_st5">'Standard R and C Look Up Table'!#REF!</definedName>
    <definedName name="_st6">'Standard R and C Look Up Table'!#REF!</definedName>
    <definedName name="_st7">'Standard R and C Look Up Table'!#REF!</definedName>
    <definedName name="_st8">'Standard R and C Look Up Table'!#REF!</definedName>
    <definedName name="_st9">'Standard R and C Look Up Table'!#REF!</definedName>
    <definedName name="_std2">'Design Information'!#REF!</definedName>
    <definedName name="_ta1">'Design Information'!$C$25</definedName>
    <definedName name="_ta11">'Design Information'!$C$25</definedName>
    <definedName name="_ta2">'Design Information'!$C$111</definedName>
    <definedName name="_taa1">'Design Information'!$C$26</definedName>
    <definedName name="_va1">'Design Information'!$C$120</definedName>
    <definedName name="C_enter">'Standard R and C Look Up Table'!$K$2</definedName>
    <definedName name="C_f1">'Standard R and C Look Up Table'!$K$17</definedName>
    <definedName name="C_f2">'Standard R and C Look Up Table'!$K$24</definedName>
    <definedName name="c_s1">'Standard R and C Look Up Table'!$J$6</definedName>
    <definedName name="C_s2">'Standard R and C Look Up Table'!$J$19</definedName>
    <definedName name="Center">'Standard R and C Look Up Table'!$K$2</definedName>
    <definedName name="constant">'Design Information'!$C$132</definedName>
    <definedName name="cossqaavg">'Design Information'!$C$56</definedName>
    <definedName name="cossqaspec">'Design Information'!$C$53</definedName>
    <definedName name="cossqeavg">'Design Information'!$C$90</definedName>
    <definedName name="cout">'Design Information'!$C$80</definedName>
    <definedName name="Cp">'Design Information'!$C$151</definedName>
    <definedName name="CPC">'[1]Design Information'!$C$87</definedName>
    <definedName name="Cstandard">'Standard R and C Look Up Table'!$K$3</definedName>
    <definedName name="Cz">'Design Information'!$C$146</definedName>
    <definedName name="CZC">'[1]Design Information'!$C$85</definedName>
    <definedName name="d2a">'Design Information'!$C$135</definedName>
    <definedName name="dclamp">'Design Information'!$C$102</definedName>
    <definedName name="dcrlout">'Design Information'!$C$69</definedName>
    <definedName name="dcrp">'Design Information'!$C$45</definedName>
    <definedName name="dcrs">'Design Information'!$C$46</definedName>
    <definedName name="dilmag">'Design Information'!$C$37</definedName>
    <definedName name="dilout">'Design Information'!$C$28</definedName>
    <definedName name="dmax">'Design Information'!$C$24</definedName>
    <definedName name="dtyp">'Design Information'!$C$27</definedName>
    <definedName name="E12_f">'Standard R and C Look Up Table'!$F$21</definedName>
    <definedName name="E12_s">'Standard R and C Look Up Table'!$E$10</definedName>
    <definedName name="E24_f">'Standard R and C Look Up Table'!$F$46</definedName>
    <definedName name="E24_s">'Standard R and C Look Up Table'!$E$23</definedName>
    <definedName name="E48_f">'Standard R and C Look Up Table'!$F$95</definedName>
    <definedName name="E48_s">'Standard R and C Look Up Table'!$E$48</definedName>
    <definedName name="E6_f">'Standard R and C Look Up Table'!$F$8</definedName>
    <definedName name="E6_s">'Standard R and C Look Up Table'!$E$3</definedName>
    <definedName name="E96_f">'Standard R and C Look Up Table'!$H$98</definedName>
    <definedName name="E96_s">'Standard R and C Look Up Table'!$G$3</definedName>
    <definedName name="Eff">'Design Information'!$B$17</definedName>
    <definedName name="esrcout">'Design Information'!$C$81</definedName>
    <definedName name="fc">'Design Information'!$C$130</definedName>
    <definedName name="fpp">'Design Information'!$C$129</definedName>
    <definedName name="fs">'Design Information'!$C$18</definedName>
    <definedName name="iloutrms">'Design Information'!$C$67</definedName>
    <definedName name="imp">'Design Information'!$C$39</definedName>
    <definedName name="ims">'Design Information'!$C$31</definedName>
    <definedName name="ipp">'Design Information'!$C$38</definedName>
    <definedName name="iprms">'Design Information'!$C$43</definedName>
    <definedName name="iprms1">'Design Information'!$C$41</definedName>
    <definedName name="iprms2">'Design Information'!$C$42</definedName>
    <definedName name="ips">'Design Information'!$C$30</definedName>
    <definedName name="isrms">'Design Information'!$C$36</definedName>
    <definedName name="isrms1">'Design Information'!$C$33</definedName>
    <definedName name="isrms2">'Design Information'!$C$34</definedName>
    <definedName name="isrms3">'Design Information'!$C$35</definedName>
    <definedName name="LAVG">'[1]Design Information'!$C$29</definedName>
    <definedName name="llk">'Design Information'!$C$47</definedName>
    <definedName name="lmag">'Design Information'!$C$29</definedName>
    <definedName name="lmag1">'Design Information'!$C$29</definedName>
    <definedName name="lmag2">'Design Information'!$C$44</definedName>
    <definedName name="lout">'Design Information'!$C$68</definedName>
    <definedName name="ls">'Design Information'!$C$61</definedName>
    <definedName name="n1divd1">'Design Information'!$C$134</definedName>
    <definedName name="NCT">'[1]Design Information'!$C$40</definedName>
    <definedName name="pbudget">'Design Information'!$C$22</definedName>
    <definedName name="pout">'Design Information'!$D$16</definedName>
    <definedName name="QAg">'Design Information'!$C$54</definedName>
    <definedName name="qeg">'Design Information'!$C$86</definedName>
    <definedName name="rdsonqa">'Design Information'!$C$52</definedName>
    <definedName name="rdsonqe">'Design Information'!$C$87</definedName>
    <definedName name="rf">'Design Information'!$C$141</definedName>
    <definedName name="RII">'Design Information'!$C$128</definedName>
    <definedName name="rload">'Design Information'!$C$131</definedName>
    <definedName name="RS">'Design Information'!$C$115</definedName>
    <definedName name="RZC">'[1]Design Information'!$C$83</definedName>
    <definedName name="sta">'Standard R and C Look Up Table'!$L$6</definedName>
    <definedName name="stb">'Standard R and C Look Up Table'!$L$19</definedName>
    <definedName name="std">'Design Information'!#REF!</definedName>
    <definedName name="tabset">'Design Information'!$C$182</definedName>
    <definedName name="tafset">'Design Information'!$C$200</definedName>
    <definedName name="tcdset">'Design Information'!$C$194</definedName>
    <definedName name="tdelay">'Design Information'!$C$100</definedName>
    <definedName name="temp">#REF!</definedName>
    <definedName name="thu">'Design Information'!$C$73</definedName>
    <definedName name="tr">'Design Information'!$C$95</definedName>
    <definedName name="vadel">'Design Information'!$C$188</definedName>
    <definedName name="vdsqe">'Design Information'!$C$85</definedName>
    <definedName name="vg">'Design Information'!$C$51</definedName>
    <definedName name="vin">'Design Information'!$C$13</definedName>
    <definedName name="vinerror">'Design Information'!#REF!</definedName>
    <definedName name="VINMAX">'Design Information'!$D$13</definedName>
    <definedName name="VINMIAX">'Design Information'!$D$13</definedName>
    <definedName name="VINMIN">'Design Information'!$B$13</definedName>
    <definedName name="VOUT">'Design Information'!$C$14</definedName>
    <definedName name="voutmin">'Design Information'!$B$14</definedName>
    <definedName name="vrdson">'Design Information'!$C$23</definedName>
    <definedName name="Vslope1">'Design Information'!$C$221</definedName>
    <definedName name="Vslope2">'Design Information'!$C$222</definedName>
    <definedName name="VTRAN">'Design Information'!$D$15</definedName>
  </definedNames>
  <calcPr calcId="145621"/>
</workbook>
</file>

<file path=xl/calcChain.xml><?xml version="1.0" encoding="utf-8"?>
<calcChain xmlns="http://schemas.openxmlformats.org/spreadsheetml/2006/main">
  <c r="C28" i="1" l="1"/>
  <c r="C29" i="1" l="1"/>
  <c r="C31" i="1" l="1"/>
  <c r="C85" i="1"/>
  <c r="C90" i="1" s="1"/>
  <c r="C27" i="1"/>
  <c r="C220" i="1" s="1"/>
  <c r="C221" i="1"/>
  <c r="C25" i="1"/>
  <c r="C207" i="1"/>
  <c r="C208" i="1"/>
  <c r="C206" i="1"/>
  <c r="C202" i="1"/>
  <c r="C203" i="1"/>
  <c r="C204" i="1"/>
  <c r="C184" i="1"/>
  <c r="C185" i="1"/>
  <c r="C186" i="1"/>
  <c r="C56" i="1"/>
  <c r="C99" i="1"/>
  <c r="C100" i="1"/>
  <c r="C193" i="1"/>
  <c r="C188" i="1"/>
  <c r="C195" i="1"/>
  <c r="C189" i="1"/>
  <c r="C190" i="1"/>
  <c r="F18" i="1"/>
  <c r="F13" i="1"/>
  <c r="C22" i="1"/>
  <c r="C81" i="1"/>
  <c r="C133" i="1" s="1"/>
  <c r="C95" i="1"/>
  <c r="F17" i="1"/>
  <c r="E121" i="1"/>
  <c r="E120" i="1"/>
  <c r="C199" i="1"/>
  <c r="F14" i="1"/>
  <c r="C101" i="1"/>
  <c r="E104" i="1"/>
  <c r="C4" i="3"/>
  <c r="C216" i="1"/>
  <c r="C217" i="1" s="1"/>
  <c r="C131" i="1"/>
  <c r="D11" i="6" s="1"/>
  <c r="C80" i="1"/>
  <c r="C129" i="1"/>
  <c r="E5" i="6" s="1"/>
  <c r="I3" i="6"/>
  <c r="J3" i="6"/>
  <c r="K3" i="6"/>
  <c r="I2" i="6"/>
  <c r="K2" i="6"/>
  <c r="J2" i="6"/>
  <c r="R2" i="6"/>
  <c r="C130" i="1"/>
  <c r="C147" i="1" s="1"/>
  <c r="C149" i="1" s="1"/>
  <c r="C148" i="1" s="1"/>
  <c r="A2" i="6"/>
  <c r="A3" i="6"/>
  <c r="A4" i="6"/>
  <c r="C7" i="3"/>
  <c r="C212" i="1"/>
  <c r="C213" i="1"/>
  <c r="C196" i="1"/>
  <c r="C175" i="1"/>
  <c r="C178" i="1"/>
  <c r="C177" i="1"/>
  <c r="C176" i="1" s="1"/>
  <c r="C150" i="1"/>
  <c r="C142" i="1"/>
  <c r="L6" i="3"/>
  <c r="K3" i="3" s="1"/>
  <c r="L19" i="3"/>
  <c r="C5" i="3"/>
  <c r="C8" i="3"/>
  <c r="C126" i="1"/>
  <c r="C127" i="1" s="1"/>
  <c r="C122" i="1"/>
  <c r="C123" i="1"/>
  <c r="C118" i="1"/>
  <c r="C6" i="3"/>
  <c r="C73" i="1"/>
  <c r="C75" i="1" s="1"/>
  <c r="C74" i="1"/>
  <c r="B4" i="6"/>
  <c r="A5" i="6"/>
  <c r="B5" i="6"/>
  <c r="J5" i="6" s="1"/>
  <c r="A6" i="6"/>
  <c r="B6" i="6"/>
  <c r="A7" i="6"/>
  <c r="I5" i="6"/>
  <c r="K5" i="6" s="1"/>
  <c r="B7" i="6"/>
  <c r="J7" i="6" s="1"/>
  <c r="A8" i="6"/>
  <c r="B8" i="6"/>
  <c r="J8" i="6" s="1"/>
  <c r="A9" i="6"/>
  <c r="I7" i="6"/>
  <c r="K7" i="6" s="1"/>
  <c r="B9" i="6"/>
  <c r="J9" i="6" s="1"/>
  <c r="A10" i="6"/>
  <c r="B10" i="6"/>
  <c r="A11" i="6"/>
  <c r="E9" i="6"/>
  <c r="I9" i="6"/>
  <c r="K9" i="6" s="1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I26" i="6" s="1"/>
  <c r="A27" i="6"/>
  <c r="B27" i="6"/>
  <c r="A28" i="6"/>
  <c r="B28" i="6"/>
  <c r="J28" i="6" s="1"/>
  <c r="A29" i="6"/>
  <c r="J27" i="6"/>
  <c r="I27" i="6"/>
  <c r="K27" i="6" s="1"/>
  <c r="B29" i="6"/>
  <c r="I29" i="6" s="1"/>
  <c r="A30" i="6"/>
  <c r="B30" i="6"/>
  <c r="A31" i="6"/>
  <c r="B31" i="6"/>
  <c r="J31" i="6" s="1"/>
  <c r="A32" i="6"/>
  <c r="B32" i="6"/>
  <c r="A33" i="6"/>
  <c r="B33" i="6"/>
  <c r="I33" i="6" s="1"/>
  <c r="A34" i="6"/>
  <c r="J32" i="6"/>
  <c r="I32" i="6"/>
  <c r="K32" i="6" s="1"/>
  <c r="B34" i="6"/>
  <c r="I34" i="6" s="1"/>
  <c r="A35" i="6"/>
  <c r="J33" i="6"/>
  <c r="B35" i="6"/>
  <c r="A36" i="6"/>
  <c r="J34" i="6"/>
  <c r="B36" i="6"/>
  <c r="I36" i="6" s="1"/>
  <c r="A37" i="6"/>
  <c r="B37" i="6"/>
  <c r="A38" i="6"/>
  <c r="J36" i="6"/>
  <c r="B38" i="6"/>
  <c r="I38" i="6" s="1"/>
  <c r="A39" i="6"/>
  <c r="J37" i="6"/>
  <c r="I37" i="6"/>
  <c r="K37" i="6" s="1"/>
  <c r="B39" i="6"/>
  <c r="I39" i="6" s="1"/>
  <c r="A40" i="6"/>
  <c r="B40" i="6"/>
  <c r="J40" i="6" s="1"/>
  <c r="A41" i="6"/>
  <c r="J39" i="6"/>
  <c r="K39" i="6" s="1"/>
  <c r="B41" i="6"/>
  <c r="J41" i="6" s="1"/>
  <c r="A42" i="6"/>
  <c r="I40" i="6"/>
  <c r="K40" i="6"/>
  <c r="B42" i="6"/>
  <c r="A43" i="6"/>
  <c r="I41" i="6"/>
  <c r="B43" i="6"/>
  <c r="I43" i="6" s="1"/>
  <c r="A44" i="6"/>
  <c r="J42" i="6"/>
  <c r="B44" i="6"/>
  <c r="A45" i="6"/>
  <c r="B45" i="6"/>
  <c r="A46" i="6"/>
  <c r="J44" i="6"/>
  <c r="I44" i="6"/>
  <c r="B46" i="6"/>
  <c r="J46" i="6" s="1"/>
  <c r="A47" i="6"/>
  <c r="J45" i="6"/>
  <c r="I45" i="6"/>
  <c r="K45" i="6"/>
  <c r="R45" i="6"/>
  <c r="B47" i="6"/>
  <c r="A48" i="6"/>
  <c r="I46" i="6"/>
  <c r="K46" i="6"/>
  <c r="B48" i="6"/>
  <c r="A49" i="6"/>
  <c r="B49" i="6"/>
  <c r="A50" i="6"/>
  <c r="B50" i="6"/>
  <c r="A51" i="6"/>
  <c r="I49" i="6"/>
  <c r="B51" i="6"/>
  <c r="A52" i="6"/>
  <c r="B52" i="6"/>
  <c r="A53" i="6"/>
  <c r="B53" i="6"/>
  <c r="A54" i="6"/>
  <c r="J52" i="6"/>
  <c r="I52" i="6"/>
  <c r="B54" i="6"/>
  <c r="A55" i="6"/>
  <c r="I53" i="6"/>
  <c r="B55" i="6"/>
  <c r="A56" i="6"/>
  <c r="B56" i="6"/>
  <c r="A57" i="6"/>
  <c r="B57" i="6"/>
  <c r="A58" i="6"/>
  <c r="E56" i="6"/>
  <c r="B58" i="6"/>
  <c r="A59" i="6"/>
  <c r="B59" i="6"/>
  <c r="A60" i="6"/>
  <c r="B60" i="6"/>
  <c r="A61" i="6"/>
  <c r="B61" i="6"/>
  <c r="E61" i="6" s="1"/>
  <c r="A62" i="6"/>
  <c r="I60" i="6"/>
  <c r="B62" i="6"/>
  <c r="A63" i="6"/>
  <c r="J61" i="6"/>
  <c r="B63" i="6"/>
  <c r="J63" i="6" s="1"/>
  <c r="A64" i="6"/>
  <c r="B64" i="6"/>
  <c r="A65" i="6"/>
  <c r="B65" i="6"/>
  <c r="A66" i="6"/>
  <c r="B66" i="6"/>
  <c r="A67" i="6"/>
  <c r="J65" i="6"/>
  <c r="I65" i="6"/>
  <c r="K65" i="6" s="1"/>
  <c r="B67" i="6"/>
  <c r="J67" i="6" s="1"/>
  <c r="A68" i="6"/>
  <c r="B68" i="6"/>
  <c r="A69" i="6"/>
  <c r="B69" i="6"/>
  <c r="A70" i="6"/>
  <c r="I68" i="6"/>
  <c r="B70" i="6"/>
  <c r="A71" i="6"/>
  <c r="J69" i="6"/>
  <c r="I69" i="6"/>
  <c r="K69" i="6" s="1"/>
  <c r="B71" i="6"/>
  <c r="A72" i="6"/>
  <c r="B72" i="6"/>
  <c r="I72" i="6" s="1"/>
  <c r="A73" i="6"/>
  <c r="I71" i="6"/>
  <c r="B73" i="6"/>
  <c r="A74" i="6"/>
  <c r="B74" i="6"/>
  <c r="A75" i="6"/>
  <c r="J73" i="6"/>
  <c r="K73" i="6" s="1"/>
  <c r="I73" i="6"/>
  <c r="B75" i="6"/>
  <c r="J75" i="6" s="1"/>
  <c r="A76" i="6"/>
  <c r="B76" i="6"/>
  <c r="A77" i="6"/>
  <c r="B77" i="6"/>
  <c r="A78" i="6"/>
  <c r="B78" i="6"/>
  <c r="A79" i="6"/>
  <c r="B79" i="6"/>
  <c r="A80" i="6"/>
  <c r="B80" i="6"/>
  <c r="J80" i="6" s="1"/>
  <c r="A81" i="6"/>
  <c r="B81" i="6"/>
  <c r="A82" i="6"/>
  <c r="I80" i="6"/>
  <c r="B82" i="6"/>
  <c r="A83" i="6"/>
  <c r="J81" i="6"/>
  <c r="K81" i="6" s="1"/>
  <c r="I81" i="6"/>
  <c r="B83" i="6"/>
  <c r="A84" i="6"/>
  <c r="B84" i="6"/>
  <c r="J84" i="6" s="1"/>
  <c r="A85" i="6"/>
  <c r="B85" i="6"/>
  <c r="A86" i="6"/>
  <c r="I84" i="6"/>
  <c r="K84" i="6" s="1"/>
  <c r="R84" i="6"/>
  <c r="B86" i="6"/>
  <c r="J86" i="6" s="1"/>
  <c r="A87" i="6"/>
  <c r="J85" i="6"/>
  <c r="B87" i="6"/>
  <c r="J87" i="6" s="1"/>
  <c r="A88" i="6"/>
  <c r="I86" i="6"/>
  <c r="K86" i="6" s="1"/>
  <c r="B88" i="6"/>
  <c r="J88" i="6" s="1"/>
  <c r="A89" i="6"/>
  <c r="I87" i="6"/>
  <c r="K87" i="6"/>
  <c r="B89" i="6"/>
  <c r="I89" i="6" s="1"/>
  <c r="K89" i="6" s="1"/>
  <c r="A90" i="6"/>
  <c r="I88" i="6"/>
  <c r="K88" i="6"/>
  <c r="B90" i="6"/>
  <c r="A91" i="6"/>
  <c r="J89" i="6"/>
  <c r="B91" i="6"/>
  <c r="A92" i="6"/>
  <c r="I90" i="6"/>
  <c r="J90" i="6"/>
  <c r="I91" i="6"/>
  <c r="B92" i="6"/>
  <c r="A93" i="6"/>
  <c r="B93" i="6"/>
  <c r="I93" i="6" s="1"/>
  <c r="A94" i="6"/>
  <c r="J92" i="6"/>
  <c r="I92" i="6"/>
  <c r="K92" i="6" s="1"/>
  <c r="B94" i="6"/>
  <c r="A95" i="6"/>
  <c r="B95" i="6"/>
  <c r="A96" i="6"/>
  <c r="B96" i="6"/>
  <c r="A97" i="6"/>
  <c r="B97" i="6"/>
  <c r="A98" i="6"/>
  <c r="J96" i="6"/>
  <c r="I96" i="6"/>
  <c r="K96" i="6" s="1"/>
  <c r="B98" i="6"/>
  <c r="A99" i="6"/>
  <c r="J97" i="6"/>
  <c r="B99" i="6"/>
  <c r="A100" i="6"/>
  <c r="J98" i="6"/>
  <c r="I98" i="6"/>
  <c r="B100" i="6"/>
  <c r="A101" i="6"/>
  <c r="B101" i="6"/>
  <c r="R101" i="6" s="1"/>
  <c r="I99" i="6"/>
  <c r="I101" i="6"/>
  <c r="J100" i="6"/>
  <c r="D27" i="1"/>
  <c r="C112" i="1"/>
  <c r="C113" i="1" s="1"/>
  <c r="C114" i="1" s="1"/>
  <c r="C102" i="1"/>
  <c r="C181" i="1"/>
  <c r="E44" i="1" l="1"/>
  <c r="C39" i="6"/>
  <c r="D95" i="6"/>
  <c r="D44" i="6"/>
  <c r="D21" i="6"/>
  <c r="F21" i="6" s="1"/>
  <c r="D69" i="6"/>
  <c r="C77" i="6"/>
  <c r="C8" i="6"/>
  <c r="D70" i="6"/>
  <c r="F70" i="6" s="1"/>
  <c r="C38" i="6"/>
  <c r="D73" i="6"/>
  <c r="C33" i="6"/>
  <c r="C20" i="6"/>
  <c r="D52" i="6"/>
  <c r="F52" i="6" s="1"/>
  <c r="D32" i="6"/>
  <c r="F32" i="6" s="1"/>
  <c r="C18" i="6"/>
  <c r="D100" i="6"/>
  <c r="D31" i="6"/>
  <c r="D54" i="6"/>
  <c r="F54" i="6" s="1"/>
  <c r="D81" i="6"/>
  <c r="C67" i="1"/>
  <c r="C70" i="1" s="1"/>
  <c r="C76" i="1"/>
  <c r="C82" i="1" s="1"/>
  <c r="D28" i="6"/>
  <c r="F28" i="6" s="1"/>
  <c r="D46" i="6"/>
  <c r="C73" i="6"/>
  <c r="C17" i="6"/>
  <c r="D30" i="6"/>
  <c r="D85" i="6"/>
  <c r="C43" i="6"/>
  <c r="D91" i="6"/>
  <c r="D36" i="6"/>
  <c r="F36" i="6" s="1"/>
  <c r="D60" i="6"/>
  <c r="D84" i="6"/>
  <c r="D89" i="6"/>
  <c r="D80" i="6"/>
  <c r="F80" i="6" s="1"/>
  <c r="C5" i="6"/>
  <c r="D5" i="6"/>
  <c r="F5" i="6" s="1"/>
  <c r="D39" i="6"/>
  <c r="D65" i="6"/>
  <c r="C35" i="1"/>
  <c r="D17" i="6"/>
  <c r="F17" i="6" s="1"/>
  <c r="D29" i="6"/>
  <c r="C70" i="6"/>
  <c r="D94" i="6"/>
  <c r="D41" i="6"/>
  <c r="D66" i="6"/>
  <c r="D98" i="6"/>
  <c r="F98" i="6" s="1"/>
  <c r="D96" i="6"/>
  <c r="F96" i="6" s="1"/>
  <c r="D6" i="6"/>
  <c r="C66" i="1"/>
  <c r="E68" i="1" s="1"/>
  <c r="C61" i="6"/>
  <c r="C4" i="6"/>
  <c r="C78" i="6"/>
  <c r="C28" i="6"/>
  <c r="C29" i="6"/>
  <c r="C51" i="6"/>
  <c r="C75" i="6"/>
  <c r="C44" i="6"/>
  <c r="C132" i="1"/>
  <c r="C21" i="6"/>
  <c r="C24" i="6"/>
  <c r="C82" i="6"/>
  <c r="C63" i="6"/>
  <c r="C228" i="1"/>
  <c r="C230" i="1" s="1"/>
  <c r="C231" i="1" s="1"/>
  <c r="C99" i="6"/>
  <c r="C3" i="6"/>
  <c r="C68" i="6"/>
  <c r="C94" i="6"/>
  <c r="C64" i="6"/>
  <c r="C32" i="6"/>
  <c r="C97" i="6"/>
  <c r="C42" i="6"/>
  <c r="C41" i="6"/>
  <c r="D45" i="6"/>
  <c r="D57" i="6"/>
  <c r="C98" i="6"/>
  <c r="D23" i="6"/>
  <c r="F23" i="6" s="1"/>
  <c r="C46" i="6"/>
  <c r="C12" i="6"/>
  <c r="C85" i="6"/>
  <c r="C83" i="6"/>
  <c r="C11" i="6"/>
  <c r="C76" i="6"/>
  <c r="C37" i="6"/>
  <c r="C7" i="6"/>
  <c r="C72" i="6"/>
  <c r="C40" i="6"/>
  <c r="D3" i="6"/>
  <c r="C101" i="6"/>
  <c r="D33" i="6"/>
  <c r="C66" i="6"/>
  <c r="D58" i="6"/>
  <c r="D71" i="6"/>
  <c r="C58" i="6"/>
  <c r="D93" i="6"/>
  <c r="D87" i="6"/>
  <c r="D74" i="6"/>
  <c r="D12" i="6"/>
  <c r="F12" i="6" s="1"/>
  <c r="C134" i="1"/>
  <c r="C95" i="6"/>
  <c r="C22" i="6"/>
  <c r="C56" i="6"/>
  <c r="C13" i="6"/>
  <c r="C47" i="6"/>
  <c r="C16" i="6"/>
  <c r="C81" i="6"/>
  <c r="C79" i="6"/>
  <c r="C2" i="6"/>
  <c r="C86" i="6"/>
  <c r="C89" i="6"/>
  <c r="C87" i="6"/>
  <c r="C67" i="6"/>
  <c r="C45" i="6"/>
  <c r="C74" i="6"/>
  <c r="C25" i="6"/>
  <c r="D61" i="6"/>
  <c r="F61" i="6" s="1"/>
  <c r="D75" i="6"/>
  <c r="D2" i="6"/>
  <c r="D90" i="6"/>
  <c r="C6" i="6"/>
  <c r="C60" i="6"/>
  <c r="C55" i="6"/>
  <c r="C90" i="6"/>
  <c r="C30" i="6"/>
  <c r="C69" i="6"/>
  <c r="C19" i="6"/>
  <c r="C84" i="6"/>
  <c r="C15" i="6"/>
  <c r="C80" i="6"/>
  <c r="C48" i="6"/>
  <c r="C49" i="6"/>
  <c r="C10" i="6"/>
  <c r="C14" i="6"/>
  <c r="C71" i="6"/>
  <c r="C52" i="6"/>
  <c r="C50" i="6"/>
  <c r="C27" i="6"/>
  <c r="C92" i="6"/>
  <c r="C53" i="6"/>
  <c r="C23" i="6"/>
  <c r="C88" i="6"/>
  <c r="C57" i="6"/>
  <c r="C9" i="6"/>
  <c r="D7" i="6"/>
  <c r="F7" i="6" s="1"/>
  <c r="C26" i="6"/>
  <c r="D37" i="6"/>
  <c r="C93" i="6"/>
  <c r="C54" i="6"/>
  <c r="C36" i="6"/>
  <c r="C34" i="6"/>
  <c r="C35" i="6"/>
  <c r="C100" i="6"/>
  <c r="C62" i="6"/>
  <c r="C31" i="6"/>
  <c r="C96" i="6"/>
  <c r="C65" i="6"/>
  <c r="D92" i="6"/>
  <c r="D9" i="6"/>
  <c r="F9" i="6" s="1"/>
  <c r="D26" i="6"/>
  <c r="D38" i="6"/>
  <c r="C59" i="6"/>
  <c r="D63" i="6"/>
  <c r="F63" i="6" s="1"/>
  <c r="D76" i="6"/>
  <c r="C91" i="6"/>
  <c r="D88" i="6"/>
  <c r="D10" i="6"/>
  <c r="C30" i="1"/>
  <c r="C32" i="1" s="1"/>
  <c r="C34" i="1" s="1"/>
  <c r="C222" i="1"/>
  <c r="C223" i="1" s="1"/>
  <c r="C224" i="1" s="1"/>
  <c r="C225" i="1" s="1"/>
  <c r="C103" i="1"/>
  <c r="C104" i="1" s="1"/>
  <c r="C117" i="1"/>
  <c r="K97" i="6"/>
  <c r="E97" i="6"/>
  <c r="D97" i="6"/>
  <c r="I97" i="6"/>
  <c r="E19" i="6"/>
  <c r="E16" i="6"/>
  <c r="E13" i="6"/>
  <c r="F29" i="6"/>
  <c r="E84" i="6"/>
  <c r="E77" i="6"/>
  <c r="J77" i="6"/>
  <c r="E65" i="6"/>
  <c r="E57" i="6"/>
  <c r="J57" i="6"/>
  <c r="I57" i="6"/>
  <c r="K57" i="6" s="1"/>
  <c r="K41" i="6"/>
  <c r="E39" i="6"/>
  <c r="E25" i="6"/>
  <c r="E4" i="6"/>
  <c r="J4" i="6"/>
  <c r="I4" i="6"/>
  <c r="E67" i="6"/>
  <c r="E30" i="6"/>
  <c r="E15" i="6"/>
  <c r="I85" i="6"/>
  <c r="K85" i="6" s="1"/>
  <c r="E85" i="6"/>
  <c r="D59" i="6"/>
  <c r="F59" i="6" s="1"/>
  <c r="I59" i="6"/>
  <c r="J51" i="6"/>
  <c r="D51" i="6"/>
  <c r="F51" i="6" s="1"/>
  <c r="G51" i="6" s="1"/>
  <c r="E51" i="6"/>
  <c r="I51" i="6"/>
  <c r="K51" i="6" s="1"/>
  <c r="I42" i="6"/>
  <c r="K42" i="6" s="1"/>
  <c r="D42" i="6"/>
  <c r="F42" i="6" s="1"/>
  <c r="I35" i="6"/>
  <c r="K35" i="6" s="1"/>
  <c r="D35" i="6"/>
  <c r="E35" i="6"/>
  <c r="J35" i="6"/>
  <c r="E21" i="6"/>
  <c r="E18" i="6"/>
  <c r="D13" i="6"/>
  <c r="F13" i="6" s="1"/>
  <c r="D53" i="6"/>
  <c r="E53" i="6"/>
  <c r="E3" i="6"/>
  <c r="E12" i="6"/>
  <c r="E29" i="6"/>
  <c r="E41" i="6"/>
  <c r="E58" i="6"/>
  <c r="E69" i="6"/>
  <c r="E78" i="6"/>
  <c r="E86" i="6"/>
  <c r="E87" i="6"/>
  <c r="E88" i="6"/>
  <c r="E81" i="6"/>
  <c r="E8" i="6"/>
  <c r="E10" i="6"/>
  <c r="E28" i="6"/>
  <c r="E38" i="6"/>
  <c r="E40" i="6"/>
  <c r="E43" i="6"/>
  <c r="E45" i="6"/>
  <c r="E54" i="6"/>
  <c r="E33" i="6"/>
  <c r="E2" i="6"/>
  <c r="E49" i="6"/>
  <c r="E66" i="6"/>
  <c r="E89" i="6"/>
  <c r="E90" i="6"/>
  <c r="E98" i="6"/>
  <c r="J83" i="6"/>
  <c r="D83" i="6"/>
  <c r="E83" i="6"/>
  <c r="I83" i="6"/>
  <c r="K83" i="6" s="1"/>
  <c r="E70" i="6"/>
  <c r="E100" i="6"/>
  <c r="K90" i="6"/>
  <c r="K98" i="6"/>
  <c r="E95" i="6"/>
  <c r="F95" i="6" s="1"/>
  <c r="I95" i="6"/>
  <c r="K95" i="6" s="1"/>
  <c r="J95" i="6"/>
  <c r="E91" i="6"/>
  <c r="J91" i="6"/>
  <c r="K91" i="6" s="1"/>
  <c r="J82" i="6"/>
  <c r="I82" i="6"/>
  <c r="K82" i="6" s="1"/>
  <c r="D82" i="6"/>
  <c r="D68" i="6"/>
  <c r="E68" i="6"/>
  <c r="J68" i="6"/>
  <c r="E36" i="6"/>
  <c r="E31" i="6"/>
  <c r="D27" i="6"/>
  <c r="E27" i="6"/>
  <c r="E24" i="6"/>
  <c r="D19" i="6"/>
  <c r="F19" i="6" s="1"/>
  <c r="J64" i="6"/>
  <c r="I64" i="6"/>
  <c r="K64" i="6" s="1"/>
  <c r="J53" i="6"/>
  <c r="K53" i="6" s="1"/>
  <c r="E44" i="6"/>
  <c r="D4" i="6"/>
  <c r="F4" i="6" s="1"/>
  <c r="D64" i="6"/>
  <c r="F64" i="6" s="1"/>
  <c r="G64" i="6" s="1"/>
  <c r="E101" i="6"/>
  <c r="I77" i="6"/>
  <c r="K77" i="6" s="1"/>
  <c r="E52" i="6"/>
  <c r="R25" i="6"/>
  <c r="E17" i="6"/>
  <c r="E14" i="6"/>
  <c r="E7" i="6"/>
  <c r="E73" i="6"/>
  <c r="E32" i="6"/>
  <c r="E22" i="6"/>
  <c r="C37" i="1"/>
  <c r="D77" i="6"/>
  <c r="E99" i="6"/>
  <c r="E96" i="6"/>
  <c r="E82" i="6"/>
  <c r="E80" i="6"/>
  <c r="E50" i="6"/>
  <c r="K44" i="6"/>
  <c r="E42" i="6"/>
  <c r="E37" i="6"/>
  <c r="E23" i="6"/>
  <c r="E20" i="6"/>
  <c r="D15" i="6"/>
  <c r="F15" i="6" s="1"/>
  <c r="J99" i="6"/>
  <c r="K99" i="6" s="1"/>
  <c r="D86" i="6"/>
  <c r="F86" i="6" s="1"/>
  <c r="E76" i="6"/>
  <c r="I28" i="6"/>
  <c r="K28" i="6" s="1"/>
  <c r="D40" i="6"/>
  <c r="F40" i="6" s="1"/>
  <c r="D99" i="6"/>
  <c r="D50" i="6"/>
  <c r="F50" i="6" s="1"/>
  <c r="I100" i="6"/>
  <c r="E74" i="6"/>
  <c r="I61" i="6"/>
  <c r="K61" i="6" s="1"/>
  <c r="J38" i="6"/>
  <c r="K38" i="6" s="1"/>
  <c r="I8" i="6"/>
  <c r="K8" i="6" s="1"/>
  <c r="K100" i="6"/>
  <c r="D8" i="6"/>
  <c r="D67" i="6"/>
  <c r="F67" i="6" s="1"/>
  <c r="J93" i="6"/>
  <c r="K93" i="6" s="1"/>
  <c r="E60" i="6"/>
  <c r="E46" i="6"/>
  <c r="I31" i="6"/>
  <c r="K31" i="6" s="1"/>
  <c r="J29" i="6"/>
  <c r="J26" i="6"/>
  <c r="K26" i="6" s="1"/>
  <c r="D24" i="6"/>
  <c r="F24" i="6" s="1"/>
  <c r="D22" i="6"/>
  <c r="F22" i="6" s="1"/>
  <c r="D20" i="6"/>
  <c r="F20" i="6" s="1"/>
  <c r="D18" i="6"/>
  <c r="F18" i="6" s="1"/>
  <c r="D16" i="6"/>
  <c r="F16" i="6" s="1"/>
  <c r="D14" i="6"/>
  <c r="E92" i="6"/>
  <c r="D43" i="6"/>
  <c r="E93" i="6"/>
  <c r="I76" i="6"/>
  <c r="I67" i="6"/>
  <c r="K67" i="6" s="1"/>
  <c r="E63" i="6"/>
  <c r="K36" i="6"/>
  <c r="K29" i="6"/>
  <c r="E26" i="6"/>
  <c r="K76" i="6"/>
  <c r="J78" i="6"/>
  <c r="I78" i="6"/>
  <c r="K78" i="6" s="1"/>
  <c r="D78" i="6"/>
  <c r="D56" i="6"/>
  <c r="F56" i="6" s="1"/>
  <c r="J56" i="6"/>
  <c r="I56" i="6"/>
  <c r="K56" i="6" s="1"/>
  <c r="J48" i="6"/>
  <c r="D48" i="6"/>
  <c r="I48" i="6"/>
  <c r="E48" i="6"/>
  <c r="C145" i="1"/>
  <c r="C144" i="1"/>
  <c r="C143" i="1" s="1"/>
  <c r="J79" i="6"/>
  <c r="D79" i="6"/>
  <c r="I79" i="6"/>
  <c r="E79" i="6"/>
  <c r="J55" i="6"/>
  <c r="E55" i="6"/>
  <c r="I55" i="6"/>
  <c r="I94" i="6"/>
  <c r="E94" i="6"/>
  <c r="J94" i="6"/>
  <c r="D55" i="6"/>
  <c r="J71" i="6"/>
  <c r="K71" i="6" s="1"/>
  <c r="E71" i="6"/>
  <c r="J62" i="6"/>
  <c r="I62" i="6"/>
  <c r="J54" i="6"/>
  <c r="I54" i="6"/>
  <c r="J6" i="6"/>
  <c r="I6" i="6"/>
  <c r="K6" i="6" s="1"/>
  <c r="J101" i="6"/>
  <c r="K101" i="6" s="1"/>
  <c r="D101" i="6"/>
  <c r="F101" i="6" s="1"/>
  <c r="J76" i="6"/>
  <c r="J66" i="6"/>
  <c r="I66" i="6"/>
  <c r="K66" i="6" s="1"/>
  <c r="E62" i="6"/>
  <c r="J59" i="6"/>
  <c r="E59" i="6"/>
  <c r="J47" i="6"/>
  <c r="D47" i="6"/>
  <c r="E47" i="6"/>
  <c r="I47" i="6"/>
  <c r="E6" i="6"/>
  <c r="K4" i="6"/>
  <c r="D62" i="6"/>
  <c r="E64" i="6"/>
  <c r="J11" i="6"/>
  <c r="I11" i="6"/>
  <c r="E11" i="6"/>
  <c r="F11" i="6" s="1"/>
  <c r="K59" i="6"/>
  <c r="E72" i="6"/>
  <c r="J72" i="6"/>
  <c r="K72" i="6" s="1"/>
  <c r="D72" i="6"/>
  <c r="I30" i="6"/>
  <c r="J30" i="6"/>
  <c r="J74" i="6"/>
  <c r="I74" i="6"/>
  <c r="K52" i="6"/>
  <c r="J49" i="6"/>
  <c r="K49" i="6" s="1"/>
  <c r="D49" i="6"/>
  <c r="K33" i="6"/>
  <c r="J25" i="6"/>
  <c r="I25" i="6"/>
  <c r="D25" i="6"/>
  <c r="J23" i="6"/>
  <c r="I23" i="6"/>
  <c r="J21" i="6"/>
  <c r="I21" i="6"/>
  <c r="J19" i="6"/>
  <c r="I19" i="6"/>
  <c r="K19" i="6" s="1"/>
  <c r="J17" i="6"/>
  <c r="I17" i="6"/>
  <c r="K17" i="6" s="1"/>
  <c r="J15" i="6"/>
  <c r="I15" i="6"/>
  <c r="K15" i="6" s="1"/>
  <c r="J13" i="6"/>
  <c r="I13" i="6"/>
  <c r="J50" i="6"/>
  <c r="I50" i="6"/>
  <c r="K50" i="6" s="1"/>
  <c r="K34" i="6"/>
  <c r="C135" i="1"/>
  <c r="K80" i="6"/>
  <c r="I75" i="6"/>
  <c r="K75" i="6" s="1"/>
  <c r="J70" i="6"/>
  <c r="I70" i="6"/>
  <c r="J60" i="6"/>
  <c r="K60" i="6" s="1"/>
  <c r="D34" i="6"/>
  <c r="E75" i="6"/>
  <c r="K68" i="6"/>
  <c r="I63" i="6"/>
  <c r="K63" i="6" s="1"/>
  <c r="J58" i="6"/>
  <c r="I58" i="6"/>
  <c r="J43" i="6"/>
  <c r="K43" i="6" s="1"/>
  <c r="E34" i="6"/>
  <c r="J24" i="6"/>
  <c r="I24" i="6"/>
  <c r="J22" i="6"/>
  <c r="I22" i="6"/>
  <c r="K22" i="6" s="1"/>
  <c r="J20" i="6"/>
  <c r="I20" i="6"/>
  <c r="J18" i="6"/>
  <c r="I18" i="6"/>
  <c r="K18" i="6" s="1"/>
  <c r="J16" i="6"/>
  <c r="I16" i="6"/>
  <c r="J14" i="6"/>
  <c r="I14" i="6"/>
  <c r="K14" i="6" s="1"/>
  <c r="J12" i="6"/>
  <c r="I12" i="6"/>
  <c r="J10" i="6"/>
  <c r="I10" i="6"/>
  <c r="K10" i="6" s="1"/>
  <c r="F90" i="6" l="1"/>
  <c r="G61" i="6"/>
  <c r="G95" i="6"/>
  <c r="F81" i="6"/>
  <c r="G81" i="6" s="1"/>
  <c r="H81" i="6" s="1"/>
  <c r="G98" i="6"/>
  <c r="L98" i="6" s="1"/>
  <c r="G4" i="6"/>
  <c r="H4" i="6" s="1"/>
  <c r="F44" i="6"/>
  <c r="G44" i="6" s="1"/>
  <c r="L44" i="6" s="1"/>
  <c r="F58" i="6"/>
  <c r="G58" i="6" s="1"/>
  <c r="H58" i="6" s="1"/>
  <c r="F87" i="6"/>
  <c r="G87" i="6" s="1"/>
  <c r="F3" i="6"/>
  <c r="G3" i="6" s="1"/>
  <c r="L3" i="6" s="1"/>
  <c r="N3" i="6" s="1"/>
  <c r="O3" i="6" s="1"/>
  <c r="F26" i="6"/>
  <c r="G26" i="6" s="1"/>
  <c r="H26" i="6" s="1"/>
  <c r="G9" i="6"/>
  <c r="H9" i="6" s="1"/>
  <c r="G29" i="6"/>
  <c r="H29" i="6" s="1"/>
  <c r="G63" i="6"/>
  <c r="L63" i="6" s="1"/>
  <c r="F92" i="6"/>
  <c r="G92" i="6" s="1"/>
  <c r="F71" i="6"/>
  <c r="G71" i="6" s="1"/>
  <c r="L71" i="6" s="1"/>
  <c r="F2" i="6"/>
  <c r="G2" i="6" s="1"/>
  <c r="H2" i="6" s="1"/>
  <c r="F10" i="6"/>
  <c r="G10" i="6" s="1"/>
  <c r="H10" i="6" s="1"/>
  <c r="F75" i="6"/>
  <c r="G75" i="6" s="1"/>
  <c r="L75" i="6" s="1"/>
  <c r="F41" i="6"/>
  <c r="G41" i="6" s="1"/>
  <c r="H41" i="6" s="1"/>
  <c r="F69" i="6"/>
  <c r="G69" i="6" s="1"/>
  <c r="L69" i="6" s="1"/>
  <c r="M69" i="6" s="1"/>
  <c r="F46" i="6"/>
  <c r="F65" i="6"/>
  <c r="G65" i="6" s="1"/>
  <c r="L65" i="6" s="1"/>
  <c r="F6" i="6"/>
  <c r="G6" i="6" s="1"/>
  <c r="H6" i="6" s="1"/>
  <c r="G5" i="6"/>
  <c r="F93" i="6"/>
  <c r="G93" i="6" s="1"/>
  <c r="H93" i="6" s="1"/>
  <c r="F84" i="6"/>
  <c r="G84" i="6" s="1"/>
  <c r="L84" i="6" s="1"/>
  <c r="M84" i="6" s="1"/>
  <c r="G80" i="6"/>
  <c r="H80" i="6" s="1"/>
  <c r="G101" i="6"/>
  <c r="H101" i="6" s="1"/>
  <c r="G18" i="6"/>
  <c r="H18" i="6" s="1"/>
  <c r="F60" i="6"/>
  <c r="G60" i="6" s="1"/>
  <c r="H60" i="6" s="1"/>
  <c r="F74" i="6"/>
  <c r="G74" i="6" s="1"/>
  <c r="H74" i="6" s="1"/>
  <c r="F31" i="6"/>
  <c r="G31" i="6" s="1"/>
  <c r="F100" i="6"/>
  <c r="G100" i="6" s="1"/>
  <c r="L100" i="6" s="1"/>
  <c r="F89" i="6"/>
  <c r="G89" i="6" s="1"/>
  <c r="H89" i="6" s="1"/>
  <c r="C136" i="1"/>
  <c r="C137" i="1" s="1"/>
  <c r="C138" i="1" s="1"/>
  <c r="C139" i="1" s="1"/>
  <c r="C140" i="1" s="1"/>
  <c r="G15" i="6"/>
  <c r="H15" i="6" s="1"/>
  <c r="F38" i="6"/>
  <c r="G38" i="6" s="1"/>
  <c r="H38" i="6" s="1"/>
  <c r="G52" i="6"/>
  <c r="H52" i="6" s="1"/>
  <c r="G17" i="6"/>
  <c r="H17" i="6" s="1"/>
  <c r="G67" i="6"/>
  <c r="L67" i="6" s="1"/>
  <c r="M67" i="6" s="1"/>
  <c r="G50" i="6"/>
  <c r="H50" i="6" s="1"/>
  <c r="G42" i="6"/>
  <c r="H42" i="6" s="1"/>
  <c r="G23" i="6"/>
  <c r="H23" i="6" s="1"/>
  <c r="F76" i="6"/>
  <c r="G76" i="6" s="1"/>
  <c r="H76" i="6" s="1"/>
  <c r="F73" i="6"/>
  <c r="G73" i="6" s="1"/>
  <c r="H73" i="6" s="1"/>
  <c r="F83" i="6"/>
  <c r="G83" i="6" s="1"/>
  <c r="L83" i="6" s="1"/>
  <c r="G86" i="6"/>
  <c r="L86" i="6" s="1"/>
  <c r="G36" i="6"/>
  <c r="L36" i="6" s="1"/>
  <c r="G70" i="6"/>
  <c r="H70" i="6" s="1"/>
  <c r="G90" i="6"/>
  <c r="H90" i="6" s="1"/>
  <c r="G12" i="6"/>
  <c r="H12" i="6" s="1"/>
  <c r="G54" i="6"/>
  <c r="H54" i="6" s="1"/>
  <c r="F94" i="6"/>
  <c r="G94" i="6" s="1"/>
  <c r="H94" i="6" s="1"/>
  <c r="G20" i="6"/>
  <c r="H20" i="6" s="1"/>
  <c r="G21" i="6"/>
  <c r="H21" i="6" s="1"/>
  <c r="F30" i="6"/>
  <c r="G30" i="6" s="1"/>
  <c r="H30" i="6" s="1"/>
  <c r="G7" i="6"/>
  <c r="F88" i="6"/>
  <c r="G88" i="6" s="1"/>
  <c r="L88" i="6" s="1"/>
  <c r="G22" i="6"/>
  <c r="H22" i="6" s="1"/>
  <c r="F91" i="6"/>
  <c r="G91" i="6" s="1"/>
  <c r="H91" i="6" s="1"/>
  <c r="F66" i="6"/>
  <c r="G66" i="6" s="1"/>
  <c r="H66" i="6" s="1"/>
  <c r="G56" i="6"/>
  <c r="L56" i="6" s="1"/>
  <c r="F39" i="6"/>
  <c r="G39" i="6" s="1"/>
  <c r="L39" i="6" s="1"/>
  <c r="G96" i="6"/>
  <c r="G24" i="6"/>
  <c r="H24" i="6" s="1"/>
  <c r="F85" i="6"/>
  <c r="G85" i="6" s="1"/>
  <c r="L85" i="6" s="1"/>
  <c r="F57" i="6"/>
  <c r="G57" i="6" s="1"/>
  <c r="H57" i="6" s="1"/>
  <c r="G59" i="6"/>
  <c r="L59" i="6" s="1"/>
  <c r="G40" i="6"/>
  <c r="H40" i="6" s="1"/>
  <c r="G32" i="6"/>
  <c r="L32" i="6" s="1"/>
  <c r="N32" i="6" s="1"/>
  <c r="O32" i="6" s="1"/>
  <c r="G19" i="6"/>
  <c r="H19" i="6" s="1"/>
  <c r="F33" i="6"/>
  <c r="G33" i="6" s="1"/>
  <c r="L33" i="6" s="1"/>
  <c r="G13" i="6"/>
  <c r="H13" i="6" s="1"/>
  <c r="G28" i="6"/>
  <c r="L28" i="6" s="1"/>
  <c r="N28" i="6" s="1"/>
  <c r="O28" i="6" s="1"/>
  <c r="F37" i="6"/>
  <c r="G37" i="6" s="1"/>
  <c r="H37" i="6" s="1"/>
  <c r="G11" i="6"/>
  <c r="H11" i="6" s="1"/>
  <c r="G16" i="6"/>
  <c r="H16" i="6" s="1"/>
  <c r="G46" i="6"/>
  <c r="L46" i="6" s="1"/>
  <c r="F45" i="6"/>
  <c r="G45" i="6" s="1"/>
  <c r="L45" i="6" s="1"/>
  <c r="M45" i="6" s="1"/>
  <c r="F97" i="6"/>
  <c r="G97" i="6" s="1"/>
  <c r="H97" i="6" s="1"/>
  <c r="C33" i="1"/>
  <c r="C36" i="1" s="1"/>
  <c r="F77" i="6"/>
  <c r="G77" i="6" s="1"/>
  <c r="F25" i="6"/>
  <c r="G25" i="6" s="1"/>
  <c r="L25" i="6" s="1"/>
  <c r="F34" i="6"/>
  <c r="G34" i="6" s="1"/>
  <c r="H34" i="6" s="1"/>
  <c r="K25" i="6"/>
  <c r="K79" i="6"/>
  <c r="F8" i="6"/>
  <c r="G8" i="6" s="1"/>
  <c r="H8" i="6" s="1"/>
  <c r="F27" i="6"/>
  <c r="G27" i="6" s="1"/>
  <c r="F79" i="6"/>
  <c r="G79" i="6" s="1"/>
  <c r="H79" i="6" s="1"/>
  <c r="F78" i="6"/>
  <c r="G78" i="6" s="1"/>
  <c r="H78" i="6" s="1"/>
  <c r="C39" i="1"/>
  <c r="C38" i="1"/>
  <c r="L61" i="6"/>
  <c r="H61" i="6"/>
  <c r="F53" i="6"/>
  <c r="G53" i="6" s="1"/>
  <c r="K70" i="6"/>
  <c r="K47" i="6"/>
  <c r="F14" i="6"/>
  <c r="G14" i="6" s="1"/>
  <c r="H14" i="6" s="1"/>
  <c r="F99" i="6"/>
  <c r="G99" i="6" s="1"/>
  <c r="F68" i="6"/>
  <c r="G68" i="6" s="1"/>
  <c r="H68" i="6" s="1"/>
  <c r="L95" i="6"/>
  <c r="H95" i="6"/>
  <c r="F43" i="6"/>
  <c r="G43" i="6" s="1"/>
  <c r="H43" i="6" s="1"/>
  <c r="L87" i="6"/>
  <c r="H87" i="6"/>
  <c r="H5" i="6"/>
  <c r="L5" i="6"/>
  <c r="K13" i="6"/>
  <c r="K21" i="6"/>
  <c r="F49" i="6"/>
  <c r="G49" i="6" s="1"/>
  <c r="L49" i="6" s="1"/>
  <c r="F72" i="6"/>
  <c r="G72" i="6" s="1"/>
  <c r="H72" i="6" s="1"/>
  <c r="K11" i="6"/>
  <c r="K62" i="6"/>
  <c r="F55" i="6"/>
  <c r="G55" i="6" s="1"/>
  <c r="H55" i="6" s="1"/>
  <c r="K55" i="6"/>
  <c r="F82" i="6"/>
  <c r="G82" i="6" s="1"/>
  <c r="F35" i="6"/>
  <c r="G35" i="6" s="1"/>
  <c r="K94" i="6"/>
  <c r="H64" i="6"/>
  <c r="L64" i="6"/>
  <c r="K12" i="6"/>
  <c r="K20" i="6"/>
  <c r="K58" i="6"/>
  <c r="K30" i="6"/>
  <c r="K54" i="6"/>
  <c r="F47" i="6"/>
  <c r="G47" i="6" s="1"/>
  <c r="L51" i="6"/>
  <c r="H51" i="6"/>
  <c r="K23" i="6"/>
  <c r="K48" i="6"/>
  <c r="L96" i="6"/>
  <c r="H96" i="6"/>
  <c r="K16" i="6"/>
  <c r="K24" i="6"/>
  <c r="K74" i="6"/>
  <c r="F62" i="6"/>
  <c r="G62" i="6" s="1"/>
  <c r="F48" i="6"/>
  <c r="G48" i="6" s="1"/>
  <c r="C96" i="1" l="1"/>
  <c r="E96" i="1"/>
  <c r="L9" i="6"/>
  <c r="L101" i="6"/>
  <c r="L6" i="6"/>
  <c r="M6" i="6" s="1"/>
  <c r="L29" i="6"/>
  <c r="N29" i="6" s="1"/>
  <c r="O29" i="6" s="1"/>
  <c r="H98" i="6"/>
  <c r="L10" i="6"/>
  <c r="M10" i="6" s="1"/>
  <c r="L4" i="6"/>
  <c r="N4" i="6" s="1"/>
  <c r="O4" i="6" s="1"/>
  <c r="L81" i="6"/>
  <c r="M81" i="6" s="1"/>
  <c r="L94" i="6"/>
  <c r="M94" i="6" s="1"/>
  <c r="H65" i="6"/>
  <c r="L38" i="6"/>
  <c r="N38" i="6" s="1"/>
  <c r="O38" i="6" s="1"/>
  <c r="L60" i="6"/>
  <c r="M60" i="6" s="1"/>
  <c r="L72" i="6"/>
  <c r="M72" i="6" s="1"/>
  <c r="L92" i="6"/>
  <c r="M92" i="6" s="1"/>
  <c r="H92" i="6"/>
  <c r="L26" i="6"/>
  <c r="N26" i="6" s="1"/>
  <c r="O26" i="6" s="1"/>
  <c r="L23" i="6"/>
  <c r="N23" i="6" s="1"/>
  <c r="O23" i="6" s="1"/>
  <c r="H63" i="6"/>
  <c r="M3" i="6"/>
  <c r="H88" i="6"/>
  <c r="H3" i="6"/>
  <c r="L90" i="6"/>
  <c r="M90" i="6" s="1"/>
  <c r="L42" i="6"/>
  <c r="M42" i="6" s="1"/>
  <c r="L18" i="6"/>
  <c r="N18" i="6" s="1"/>
  <c r="O18" i="6" s="1"/>
  <c r="L70" i="6"/>
  <c r="M70" i="6" s="1"/>
  <c r="H69" i="6"/>
  <c r="L58" i="6"/>
  <c r="N58" i="6" s="1"/>
  <c r="O58" i="6" s="1"/>
  <c r="L80" i="6"/>
  <c r="N80" i="6" s="1"/>
  <c r="O80" i="6" s="1"/>
  <c r="L13" i="6"/>
  <c r="M13" i="6" s="1"/>
  <c r="L76" i="6"/>
  <c r="N76" i="6" s="1"/>
  <c r="O76" i="6" s="1"/>
  <c r="L12" i="6"/>
  <c r="N12" i="6" s="1"/>
  <c r="O12" i="6" s="1"/>
  <c r="L2" i="6"/>
  <c r="N2" i="6" s="1"/>
  <c r="O2" i="6" s="1"/>
  <c r="L15" i="6"/>
  <c r="M15" i="6" s="1"/>
  <c r="L57" i="6"/>
  <c r="N57" i="6" s="1"/>
  <c r="O57" i="6" s="1"/>
  <c r="L66" i="6"/>
  <c r="L50" i="6"/>
  <c r="N45" i="6"/>
  <c r="O45" i="6" s="1"/>
  <c r="H36" i="6"/>
  <c r="H45" i="6"/>
  <c r="H71" i="6"/>
  <c r="H75" i="6"/>
  <c r="H100" i="6"/>
  <c r="H56" i="6"/>
  <c r="H44" i="6"/>
  <c r="L17" i="6"/>
  <c r="N17" i="6" s="1"/>
  <c r="O17" i="6" s="1"/>
  <c r="L21" i="6"/>
  <c r="N21" i="6" s="1"/>
  <c r="O21" i="6" s="1"/>
  <c r="H31" i="6"/>
  <c r="L31" i="6"/>
  <c r="M31" i="6" s="1"/>
  <c r="L89" i="6"/>
  <c r="N89" i="6" s="1"/>
  <c r="O89" i="6" s="1"/>
  <c r="L11" i="6"/>
  <c r="N11" i="6" s="1"/>
  <c r="O11" i="6" s="1"/>
  <c r="H67" i="6"/>
  <c r="L52" i="6"/>
  <c r="L74" i="6"/>
  <c r="M74" i="6" s="1"/>
  <c r="M32" i="6"/>
  <c r="N67" i="6"/>
  <c r="O67" i="6" s="1"/>
  <c r="L20" i="6"/>
  <c r="M20" i="6" s="1"/>
  <c r="L40" i="6"/>
  <c r="M40" i="6" s="1"/>
  <c r="H85" i="6"/>
  <c r="L91" i="6"/>
  <c r="M91" i="6" s="1"/>
  <c r="H86" i="6"/>
  <c r="L22" i="6"/>
  <c r="M22" i="6" s="1"/>
  <c r="L73" i="6"/>
  <c r="N73" i="6" s="1"/>
  <c r="O73" i="6" s="1"/>
  <c r="H84" i="6"/>
  <c r="M33" i="6"/>
  <c r="N33" i="6"/>
  <c r="O33" i="6" s="1"/>
  <c r="H46" i="6"/>
  <c r="L93" i="6"/>
  <c r="H7" i="6"/>
  <c r="L7" i="6"/>
  <c r="L24" i="6"/>
  <c r="N24" i="6" s="1"/>
  <c r="O24" i="6" s="1"/>
  <c r="L54" i="6"/>
  <c r="M54" i="6" s="1"/>
  <c r="H39" i="6"/>
  <c r="L41" i="6"/>
  <c r="N41" i="6" s="1"/>
  <c r="O41" i="6" s="1"/>
  <c r="L16" i="6"/>
  <c r="M16" i="6" s="1"/>
  <c r="L30" i="6"/>
  <c r="N30" i="6" s="1"/>
  <c r="O30" i="6" s="1"/>
  <c r="H33" i="6"/>
  <c r="N60" i="6"/>
  <c r="O60" i="6" s="1"/>
  <c r="N92" i="6"/>
  <c r="O92" i="6" s="1"/>
  <c r="L97" i="6"/>
  <c r="N97" i="6" s="1"/>
  <c r="O97" i="6" s="1"/>
  <c r="H28" i="6"/>
  <c r="M28" i="6"/>
  <c r="H32" i="6"/>
  <c r="H59" i="6"/>
  <c r="H83" i="6"/>
  <c r="N42" i="6"/>
  <c r="O42" i="6" s="1"/>
  <c r="L37" i="6"/>
  <c r="N37" i="6" s="1"/>
  <c r="O37" i="6" s="1"/>
  <c r="L19" i="6"/>
  <c r="M19" i="6" s="1"/>
  <c r="H25" i="6"/>
  <c r="N70" i="6"/>
  <c r="O70" i="6" s="1"/>
  <c r="L78" i="6"/>
  <c r="N78" i="6" s="1"/>
  <c r="O78" i="6" s="1"/>
  <c r="C91" i="1"/>
  <c r="M29" i="6"/>
  <c r="N84" i="6"/>
  <c r="O84" i="6" s="1"/>
  <c r="H49" i="6"/>
  <c r="N69" i="6"/>
  <c r="O69" i="6" s="1"/>
  <c r="L34" i="6"/>
  <c r="N34" i="6" s="1"/>
  <c r="O34" i="6" s="1"/>
  <c r="L14" i="6"/>
  <c r="M14" i="6" s="1"/>
  <c r="N88" i="6"/>
  <c r="O88" i="6" s="1"/>
  <c r="M88" i="6"/>
  <c r="L35" i="6"/>
  <c r="H35" i="6"/>
  <c r="M38" i="6"/>
  <c r="H82" i="6"/>
  <c r="L82" i="6"/>
  <c r="L99" i="6"/>
  <c r="H99" i="6"/>
  <c r="N46" i="6"/>
  <c r="O46" i="6" s="1"/>
  <c r="M46" i="6"/>
  <c r="L43" i="6"/>
  <c r="L55" i="6"/>
  <c r="N55" i="6" s="1"/>
  <c r="O55" i="6" s="1"/>
  <c r="M89" i="6"/>
  <c r="M95" i="6"/>
  <c r="N95" i="6"/>
  <c r="O95" i="6" s="1"/>
  <c r="M36" i="6"/>
  <c r="N36" i="6"/>
  <c r="O36" i="6" s="1"/>
  <c r="L79" i="6"/>
  <c r="N79" i="6" s="1"/>
  <c r="O79" i="6" s="1"/>
  <c r="M100" i="6"/>
  <c r="N100" i="6"/>
  <c r="O100" i="6" s="1"/>
  <c r="L68" i="6"/>
  <c r="L8" i="6"/>
  <c r="M65" i="6"/>
  <c r="N65" i="6"/>
  <c r="O65" i="6" s="1"/>
  <c r="M9" i="6"/>
  <c r="N9" i="6"/>
  <c r="O9" i="6" s="1"/>
  <c r="N5" i="6"/>
  <c r="O5" i="6" s="1"/>
  <c r="M5" i="6"/>
  <c r="C40" i="1"/>
  <c r="C42" i="1" s="1"/>
  <c r="C41" i="1"/>
  <c r="C60" i="1"/>
  <c r="E60" i="1" s="1"/>
  <c r="N86" i="6"/>
  <c r="O86" i="6" s="1"/>
  <c r="M86" i="6"/>
  <c r="L77" i="6"/>
  <c r="H77" i="6"/>
  <c r="N39" i="6"/>
  <c r="O39" i="6" s="1"/>
  <c r="M39" i="6"/>
  <c r="L53" i="6"/>
  <c r="H53" i="6"/>
  <c r="N44" i="6"/>
  <c r="O44" i="6" s="1"/>
  <c r="M44" i="6"/>
  <c r="N87" i="6"/>
  <c r="O87" i="6" s="1"/>
  <c r="M87" i="6"/>
  <c r="N61" i="6"/>
  <c r="O61" i="6" s="1"/>
  <c r="M61" i="6"/>
  <c r="H27" i="6"/>
  <c r="L27" i="6"/>
  <c r="M85" i="6"/>
  <c r="N85" i="6"/>
  <c r="O85" i="6" s="1"/>
  <c r="N94" i="6"/>
  <c r="O94" i="6" s="1"/>
  <c r="N71" i="6"/>
  <c r="O71" i="6" s="1"/>
  <c r="M71" i="6"/>
  <c r="M25" i="6"/>
  <c r="N25" i="6"/>
  <c r="O25" i="6" s="1"/>
  <c r="N51" i="6"/>
  <c r="O51" i="6" s="1"/>
  <c r="M51" i="6"/>
  <c r="H47" i="6"/>
  <c r="L47" i="6"/>
  <c r="L48" i="6"/>
  <c r="H48" i="6"/>
  <c r="N56" i="6"/>
  <c r="O56" i="6" s="1"/>
  <c r="M56" i="6"/>
  <c r="N75" i="6"/>
  <c r="O75" i="6" s="1"/>
  <c r="M75" i="6"/>
  <c r="H62" i="6"/>
  <c r="L62" i="6"/>
  <c r="M101" i="6"/>
  <c r="N101" i="6"/>
  <c r="O101" i="6" s="1"/>
  <c r="M63" i="6"/>
  <c r="N63" i="6"/>
  <c r="O63" i="6" s="1"/>
  <c r="N83" i="6"/>
  <c r="O83" i="6" s="1"/>
  <c r="M83" i="6"/>
  <c r="N6" i="6"/>
  <c r="O6" i="6" s="1"/>
  <c r="M12" i="6"/>
  <c r="N49" i="6"/>
  <c r="O49" i="6" s="1"/>
  <c r="M49" i="6"/>
  <c r="N96" i="6"/>
  <c r="O96" i="6" s="1"/>
  <c r="M96" i="6"/>
  <c r="N98" i="6"/>
  <c r="O98" i="6" s="1"/>
  <c r="M98" i="6"/>
  <c r="M59" i="6"/>
  <c r="N59" i="6"/>
  <c r="O59" i="6" s="1"/>
  <c r="M64" i="6"/>
  <c r="N64" i="6"/>
  <c r="O64" i="6" s="1"/>
  <c r="N90" i="6" l="1"/>
  <c r="O90" i="6" s="1"/>
  <c r="M41" i="6"/>
  <c r="N81" i="6"/>
  <c r="O81" i="6" s="1"/>
  <c r="M23" i="6"/>
  <c r="M4" i="6"/>
  <c r="N72" i="6"/>
  <c r="O72" i="6" s="1"/>
  <c r="M11" i="6"/>
  <c r="N10" i="6"/>
  <c r="O10" i="6" s="1"/>
  <c r="M18" i="6"/>
  <c r="M2" i="6"/>
  <c r="M26" i="6"/>
  <c r="M76" i="6"/>
  <c r="N16" i="6"/>
  <c r="O16" i="6" s="1"/>
  <c r="N13" i="6"/>
  <c r="O13" i="6" s="1"/>
  <c r="M58" i="6"/>
  <c r="M80" i="6"/>
  <c r="M57" i="6"/>
  <c r="N54" i="6"/>
  <c r="O54" i="6" s="1"/>
  <c r="N20" i="6"/>
  <c r="O20" i="6" s="1"/>
  <c r="N40" i="6"/>
  <c r="O40" i="6" s="1"/>
  <c r="M17" i="6"/>
  <c r="N31" i="6"/>
  <c r="O31" i="6" s="1"/>
  <c r="N15" i="6"/>
  <c r="O15" i="6" s="1"/>
  <c r="M21" i="6"/>
  <c r="M50" i="6"/>
  <c r="N50" i="6"/>
  <c r="O50" i="6" s="1"/>
  <c r="M66" i="6"/>
  <c r="N66" i="6"/>
  <c r="O66" i="6" s="1"/>
  <c r="M73" i="6"/>
  <c r="N91" i="6"/>
  <c r="O91" i="6" s="1"/>
  <c r="M97" i="6"/>
  <c r="N74" i="6"/>
  <c r="O74" i="6" s="1"/>
  <c r="M52" i="6"/>
  <c r="N52" i="6"/>
  <c r="O52" i="6" s="1"/>
  <c r="M30" i="6"/>
  <c r="N22" i="6"/>
  <c r="O22" i="6" s="1"/>
  <c r="M7" i="6"/>
  <c r="N7" i="6"/>
  <c r="O7" i="6" s="1"/>
  <c r="N93" i="6"/>
  <c r="O93" i="6" s="1"/>
  <c r="M93" i="6"/>
  <c r="M24" i="6"/>
  <c r="M78" i="6"/>
  <c r="M37" i="6"/>
  <c r="N19" i="6"/>
  <c r="O19" i="6" s="1"/>
  <c r="M55" i="6"/>
  <c r="M79" i="6"/>
  <c r="M34" i="6"/>
  <c r="N14" i="6"/>
  <c r="O14" i="6" s="1"/>
  <c r="N8" i="6"/>
  <c r="O8" i="6" s="1"/>
  <c r="M8" i="6"/>
  <c r="N68" i="6"/>
  <c r="O68" i="6" s="1"/>
  <c r="M68" i="6"/>
  <c r="C105" i="1"/>
  <c r="C108" i="1" s="1"/>
  <c r="C43" i="1"/>
  <c r="C57" i="1" s="1"/>
  <c r="C116" i="1"/>
  <c r="M82" i="6"/>
  <c r="N82" i="6"/>
  <c r="O82" i="6" s="1"/>
  <c r="M77" i="6"/>
  <c r="N77" i="6"/>
  <c r="O77" i="6" s="1"/>
  <c r="M99" i="6"/>
  <c r="N99" i="6"/>
  <c r="O99" i="6" s="1"/>
  <c r="M27" i="6"/>
  <c r="N27" i="6"/>
  <c r="O27" i="6" s="1"/>
  <c r="N53" i="6"/>
  <c r="O53" i="6" s="1"/>
  <c r="M53" i="6"/>
  <c r="N35" i="6"/>
  <c r="O35" i="6" s="1"/>
  <c r="M35" i="6"/>
  <c r="N43" i="6"/>
  <c r="O43" i="6" s="1"/>
  <c r="M43" i="6"/>
  <c r="N62" i="6"/>
  <c r="O62" i="6" s="1"/>
  <c r="M62" i="6"/>
  <c r="N48" i="6"/>
  <c r="O48" i="6" s="1"/>
  <c r="M48" i="6"/>
  <c r="N47" i="6"/>
  <c r="O47" i="6" s="1"/>
  <c r="M47" i="6"/>
  <c r="C63" i="1" l="1"/>
  <c r="C48" i="1"/>
  <c r="C49" i="1" s="1"/>
  <c r="E49" i="1" l="1"/>
  <c r="C58" i="1"/>
  <c r="C64" i="1" l="1"/>
  <c r="E58" i="1"/>
  <c r="E64" i="1" l="1"/>
  <c r="C71" i="1"/>
  <c r="E71" i="1" l="1"/>
  <c r="C83" i="1"/>
  <c r="C97" i="1" l="1"/>
  <c r="E83" i="1"/>
  <c r="E97" i="1" l="1"/>
  <c r="C109" i="1"/>
  <c r="E109" i="1" s="1"/>
</calcChain>
</file>

<file path=xl/sharedStrings.xml><?xml version="1.0" encoding="utf-8"?>
<sst xmlns="http://schemas.openxmlformats.org/spreadsheetml/2006/main" count="622" uniqueCount="344">
  <si>
    <t>UCC28950 Excel Design Tool</t>
  </si>
  <si>
    <t>This spreadsheet guides the User through the design process for a CONTINUOUS CONDUCTION MODE PFC BOOST converter using the UCC28019 controller.</t>
  </si>
  <si>
    <t>1. The Macros must be ENABLED.</t>
  </si>
  <si>
    <t>2. The Analysis ToolPak Add-In must be checked.</t>
  </si>
  <si>
    <t>• This feature can be found in the Tools Menu.</t>
  </si>
  <si>
    <t>• Select Add-Ins</t>
  </si>
  <si>
    <t>• Check the box next to Analysis ToolPak</t>
  </si>
  <si>
    <t>3. Enter the desired design parameters in the YELLOW shaded boxes</t>
  </si>
  <si>
    <t>5. Actual standard values must be entered for the spreadsheet to calculate the gain-phase plots.</t>
  </si>
  <si>
    <t>Design Specifications</t>
  </si>
  <si>
    <t>Description</t>
  </si>
  <si>
    <t xml:space="preserve">Minimum </t>
  </si>
  <si>
    <t>Maximum</t>
  </si>
  <si>
    <t xml:space="preserve">Typical </t>
  </si>
  <si>
    <t>Input Voltage</t>
  </si>
  <si>
    <t>Output Voltage</t>
  </si>
  <si>
    <t>Allowable Output Voltage
Transients (90% Load Step)</t>
  </si>
  <si>
    <t>Unit</t>
  </si>
  <si>
    <t>V</t>
  </si>
  <si>
    <t>W</t>
  </si>
  <si>
    <t xml:space="preserve"> </t>
  </si>
  <si>
    <t>kHz</t>
  </si>
  <si>
    <r>
      <t>Output Power (P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</t>
    </r>
  </si>
  <si>
    <r>
      <t>Inductor (L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 Switching Frequency</t>
    </r>
  </si>
  <si>
    <t>Full Load Efficiency</t>
  </si>
  <si>
    <r>
      <t>P</t>
    </r>
    <r>
      <rPr>
        <b/>
        <vertAlign val="subscript"/>
        <sz val="12"/>
        <rFont val="Arial"/>
        <family val="2"/>
      </rPr>
      <t>BUDGET</t>
    </r>
  </si>
  <si>
    <r>
      <t>V</t>
    </r>
    <r>
      <rPr>
        <b/>
        <vertAlign val="subscript"/>
        <sz val="12"/>
        <rFont val="Arial"/>
        <family val="2"/>
      </rPr>
      <t>RDSON</t>
    </r>
  </si>
  <si>
    <t>a1</t>
  </si>
  <si>
    <t>Variable</t>
  </si>
  <si>
    <r>
      <t>T1 Transformer Turns Ratio=N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</si>
  <si>
    <t>Maximum Duty Cycle Nominal</t>
  </si>
  <si>
    <t>Typical Duty Cycle</t>
  </si>
  <si>
    <r>
      <t>D</t>
    </r>
    <r>
      <rPr>
        <b/>
        <vertAlign val="subscript"/>
        <sz val="12"/>
        <rFont val="Arial"/>
        <family val="2"/>
      </rPr>
      <t>MAX</t>
    </r>
  </si>
  <si>
    <r>
      <t>D</t>
    </r>
    <r>
      <rPr>
        <b/>
        <vertAlign val="subscript"/>
        <sz val="12"/>
        <rFont val="Arial"/>
        <family val="2"/>
      </rPr>
      <t>TYP</t>
    </r>
  </si>
  <si>
    <t>Inductor Ripple Current</t>
  </si>
  <si>
    <t>A</t>
  </si>
  <si>
    <r>
      <t>L</t>
    </r>
    <r>
      <rPr>
        <b/>
        <vertAlign val="subscript"/>
        <sz val="12"/>
        <rFont val="Arial"/>
        <family val="2"/>
      </rPr>
      <t>MAG</t>
    </r>
  </si>
  <si>
    <t>mH</t>
  </si>
  <si>
    <r>
      <t>I</t>
    </r>
    <r>
      <rPr>
        <b/>
        <vertAlign val="subscript"/>
        <sz val="12"/>
        <rFont val="Arial"/>
        <family val="2"/>
      </rPr>
      <t>PS</t>
    </r>
  </si>
  <si>
    <r>
      <t>I</t>
    </r>
    <r>
      <rPr>
        <b/>
        <vertAlign val="subscript"/>
        <sz val="12"/>
        <rFont val="Arial"/>
        <family val="2"/>
      </rPr>
      <t>MS</t>
    </r>
  </si>
  <si>
    <r>
      <t>I</t>
    </r>
    <r>
      <rPr>
        <b/>
        <vertAlign val="subscript"/>
        <sz val="12"/>
        <rFont val="Arial"/>
        <family val="2"/>
      </rPr>
      <t>SRMS1</t>
    </r>
  </si>
  <si>
    <r>
      <t>I</t>
    </r>
    <r>
      <rPr>
        <b/>
        <vertAlign val="subscript"/>
        <sz val="12"/>
        <rFont val="Arial"/>
        <family val="2"/>
      </rPr>
      <t>MS2</t>
    </r>
  </si>
  <si>
    <r>
      <t>I</t>
    </r>
    <r>
      <rPr>
        <b/>
        <vertAlign val="subscript"/>
        <sz val="12"/>
        <rFont val="Arial"/>
        <family val="2"/>
      </rPr>
      <t>SRMS2</t>
    </r>
  </si>
  <si>
    <r>
      <t>I</t>
    </r>
    <r>
      <rPr>
        <b/>
        <vertAlign val="subscript"/>
        <sz val="12"/>
        <rFont val="Arial"/>
        <family val="2"/>
      </rPr>
      <t>SRMS3</t>
    </r>
  </si>
  <si>
    <r>
      <t>I</t>
    </r>
    <r>
      <rPr>
        <b/>
        <vertAlign val="subscript"/>
        <sz val="12"/>
        <rFont val="Arial"/>
        <family val="2"/>
      </rPr>
      <t>SRMS</t>
    </r>
  </si>
  <si>
    <r>
      <t>dIL</t>
    </r>
    <r>
      <rPr>
        <b/>
        <vertAlign val="subscript"/>
        <sz val="12"/>
        <rFont val="Arial"/>
        <family val="2"/>
      </rPr>
      <t>MAG</t>
    </r>
  </si>
  <si>
    <r>
      <t>I</t>
    </r>
    <r>
      <rPr>
        <b/>
        <vertAlign val="subscript"/>
        <sz val="12"/>
        <rFont val="Arial"/>
        <family val="2"/>
      </rPr>
      <t>PP</t>
    </r>
  </si>
  <si>
    <r>
      <t>I</t>
    </r>
    <r>
      <rPr>
        <b/>
        <vertAlign val="subscript"/>
        <sz val="12"/>
        <rFont val="Arial"/>
        <family val="2"/>
      </rPr>
      <t>MP</t>
    </r>
  </si>
  <si>
    <r>
      <t>I</t>
    </r>
    <r>
      <rPr>
        <b/>
        <vertAlign val="subscript"/>
        <sz val="12"/>
        <rFont val="Arial"/>
        <family val="2"/>
      </rPr>
      <t>MP2</t>
    </r>
  </si>
  <si>
    <r>
      <t>I</t>
    </r>
    <r>
      <rPr>
        <b/>
        <vertAlign val="subscript"/>
        <sz val="12"/>
        <rFont val="Arial"/>
        <family val="2"/>
      </rPr>
      <t>PRMS1</t>
    </r>
  </si>
  <si>
    <r>
      <t>I</t>
    </r>
    <r>
      <rPr>
        <b/>
        <vertAlign val="subscript"/>
        <sz val="12"/>
        <rFont val="Arial"/>
        <family val="2"/>
      </rPr>
      <t>PRMS2</t>
    </r>
  </si>
  <si>
    <r>
      <t>DCR</t>
    </r>
    <r>
      <rPr>
        <b/>
        <vertAlign val="subscript"/>
        <sz val="12"/>
        <rFont val="Arial"/>
        <family val="2"/>
      </rPr>
      <t>P</t>
    </r>
  </si>
  <si>
    <r>
      <t>I</t>
    </r>
    <r>
      <rPr>
        <b/>
        <vertAlign val="subscript"/>
        <sz val="12"/>
        <rFont val="Arial"/>
        <family val="2"/>
      </rPr>
      <t>PRMS</t>
    </r>
  </si>
  <si>
    <r>
      <t>DCR</t>
    </r>
    <r>
      <rPr>
        <b/>
        <vertAlign val="subscript"/>
        <sz val="12"/>
        <rFont val="Arial"/>
        <family val="2"/>
      </rPr>
      <t>S</t>
    </r>
  </si>
  <si>
    <r>
      <t>P</t>
    </r>
    <r>
      <rPr>
        <b/>
        <vertAlign val="subscript"/>
        <sz val="12"/>
        <rFont val="Arial"/>
        <family val="2"/>
      </rPr>
      <t>T1</t>
    </r>
  </si>
  <si>
    <t>Transformer Primary DC Resistance</t>
  </si>
  <si>
    <t>Transformer Secondary DC Resistance</t>
  </si>
  <si>
    <t>Estimated transform loss, 2X Copper Losses</t>
  </si>
  <si>
    <t>Recalculate Power Budget</t>
  </si>
  <si>
    <t>QA, QB, QC, QD FET selection:</t>
  </si>
  <si>
    <r>
      <t>R</t>
    </r>
    <r>
      <rPr>
        <b/>
        <vertAlign val="subscript"/>
        <sz val="12"/>
        <rFont val="Arial"/>
        <family val="2"/>
      </rPr>
      <t>ds(on)QA</t>
    </r>
  </si>
  <si>
    <t>FET drain to source on resistance</t>
  </si>
  <si>
    <t>FET Specified Coss</t>
  </si>
  <si>
    <t>pF</t>
  </si>
  <si>
    <r>
      <t>C</t>
    </r>
    <r>
      <rPr>
        <b/>
        <vertAlign val="subscript"/>
        <sz val="12"/>
        <rFont val="Arial"/>
        <family val="2"/>
      </rPr>
      <t>OSS_QA_SPEC</t>
    </r>
  </si>
  <si>
    <r>
      <t>V</t>
    </r>
    <r>
      <rPr>
        <b/>
        <vertAlign val="subscript"/>
        <sz val="12"/>
        <rFont val="Arial"/>
        <family val="2"/>
      </rPr>
      <t>dsQA</t>
    </r>
  </si>
  <si>
    <r>
      <t>Calculate average C</t>
    </r>
    <r>
      <rPr>
        <b/>
        <vertAlign val="subscript"/>
        <sz val="12"/>
        <rFont val="Arial"/>
        <family val="2"/>
      </rPr>
      <t xml:space="preserve">OSS </t>
    </r>
  </si>
  <si>
    <r>
      <t>C</t>
    </r>
    <r>
      <rPr>
        <b/>
        <vertAlign val="subscript"/>
        <sz val="12"/>
        <rFont val="Arial"/>
        <family val="2"/>
      </rPr>
      <t>OSS_QA_AVG</t>
    </r>
  </si>
  <si>
    <r>
      <t>P</t>
    </r>
    <r>
      <rPr>
        <b/>
        <vertAlign val="subscript"/>
        <sz val="12"/>
        <rFont val="Arial"/>
        <family val="2"/>
      </rPr>
      <t>QA</t>
    </r>
  </si>
  <si>
    <t xml:space="preserve">Calculate QA losses </t>
  </si>
  <si>
    <r>
      <t>V</t>
    </r>
    <r>
      <rPr>
        <b/>
        <vertAlign val="subscript"/>
        <sz val="12"/>
        <rFont val="Arial"/>
        <family val="2"/>
      </rPr>
      <t>g</t>
    </r>
  </si>
  <si>
    <r>
      <t>QA</t>
    </r>
    <r>
      <rPr>
        <b/>
        <vertAlign val="subscript"/>
        <sz val="12"/>
        <rFont val="Arial"/>
        <family val="2"/>
      </rPr>
      <t>g</t>
    </r>
  </si>
  <si>
    <t>nC</t>
  </si>
  <si>
    <t>Primary Magnetizing Inductance</t>
  </si>
  <si>
    <r>
      <t>L</t>
    </r>
    <r>
      <rPr>
        <b/>
        <vertAlign val="subscript"/>
        <sz val="12"/>
        <rFont val="Arial"/>
        <family val="2"/>
      </rPr>
      <t>S</t>
    </r>
  </si>
  <si>
    <t>uH</t>
  </si>
  <si>
    <r>
      <t>DCR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</si>
  <si>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DC Resistance</t>
    </r>
  </si>
  <si>
    <r>
      <t>Estimate L</t>
    </r>
    <r>
      <rPr>
        <b/>
        <vertAlign val="subscript"/>
        <sz val="12"/>
        <rFont val="Arial"/>
        <family val="2"/>
      </rPr>
      <t xml:space="preserve">S </t>
    </r>
    <r>
      <rPr>
        <b/>
        <sz val="12"/>
        <rFont val="Arial"/>
        <family val="2"/>
      </rPr>
      <t>power loss (P</t>
    </r>
    <r>
      <rPr>
        <b/>
        <vertAlign val="subscript"/>
        <sz val="12"/>
        <rFont val="Arial"/>
        <family val="2"/>
      </rPr>
      <t>LS</t>
    </r>
    <r>
      <rPr>
        <b/>
        <sz val="12"/>
        <rFont val="Arial"/>
        <family val="2"/>
      </rPr>
      <t xml:space="preserve">) </t>
    </r>
  </si>
  <si>
    <r>
      <t>P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</si>
  <si>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OUT</t>
    </r>
  </si>
  <si>
    <r>
      <t>DCR</t>
    </r>
    <r>
      <rPr>
        <b/>
        <vertAlign val="subscript"/>
        <sz val="12"/>
        <rFont val="Arial"/>
        <family val="2"/>
      </rPr>
      <t>LOUT</t>
    </r>
  </si>
  <si>
    <r>
      <t>Estimate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power loss</t>
    </r>
  </si>
  <si>
    <r>
      <t>P</t>
    </r>
    <r>
      <rPr>
        <b/>
        <vertAlign val="subscript"/>
        <sz val="12"/>
        <rFont val="Arial"/>
        <family val="2"/>
      </rPr>
      <t>LOUT</t>
    </r>
  </si>
  <si>
    <r>
      <t>Calculate 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</si>
  <si>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LOUT_RMS</t>
    </r>
  </si>
  <si>
    <t>Calculated Shim Inductance</t>
  </si>
  <si>
    <t>Calculate Output Inductance</t>
  </si>
  <si>
    <r>
      <t>t</t>
    </r>
    <r>
      <rPr>
        <b/>
        <vertAlign val="subscript"/>
        <sz val="12"/>
        <rFont val="Arial"/>
        <family val="2"/>
      </rPr>
      <t>HU</t>
    </r>
  </si>
  <si>
    <r>
      <t>Time it takes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to change 90% of its full load current</t>
    </r>
  </si>
  <si>
    <t>us</t>
  </si>
  <si>
    <r>
      <t>ESR</t>
    </r>
    <r>
      <rPr>
        <b/>
        <vertAlign val="subscript"/>
        <sz val="12"/>
        <rFont val="Arial"/>
        <family val="2"/>
      </rPr>
      <t>COUT</t>
    </r>
  </si>
  <si>
    <r>
      <t>C</t>
    </r>
    <r>
      <rPr>
        <b/>
        <vertAlign val="subscript"/>
        <sz val="12"/>
        <rFont val="Arial"/>
        <family val="2"/>
      </rPr>
      <t>OUT</t>
    </r>
  </si>
  <si>
    <t>uF</t>
  </si>
  <si>
    <t>n</t>
  </si>
  <si>
    <t>Single Capacitor Capacitance</t>
  </si>
  <si>
    <t>Single Capacitor ESR</t>
  </si>
  <si>
    <t>Total Output Capacitance</t>
  </si>
  <si>
    <r>
      <t>I</t>
    </r>
    <r>
      <rPr>
        <b/>
        <vertAlign val="subscript"/>
        <sz val="12"/>
        <rFont val="Arial"/>
        <family val="2"/>
      </rPr>
      <t>COUT_RMS</t>
    </r>
  </si>
  <si>
    <t>Output Capacitance RMS Current</t>
  </si>
  <si>
    <t>Calculate Output Capacitance Loss</t>
  </si>
  <si>
    <r>
      <t>P</t>
    </r>
    <r>
      <rPr>
        <b/>
        <vertAlign val="subscript"/>
        <sz val="12"/>
        <rFont val="Arial"/>
        <family val="2"/>
      </rPr>
      <t>COUT</t>
    </r>
  </si>
  <si>
    <r>
      <t>V</t>
    </r>
    <r>
      <rPr>
        <b/>
        <vertAlign val="subscript"/>
        <sz val="12"/>
        <rFont val="Arial"/>
        <family val="2"/>
      </rPr>
      <t>DROP</t>
    </r>
  </si>
  <si>
    <t>Minimum Input During Line Dropout</t>
  </si>
  <si>
    <r>
      <t>C</t>
    </r>
    <r>
      <rPr>
        <b/>
        <vertAlign val="subscript"/>
        <sz val="12"/>
        <rFont val="Arial"/>
        <family val="2"/>
      </rPr>
      <t>IN</t>
    </r>
  </si>
  <si>
    <t>Calculate Minimum Input Capacitance</t>
  </si>
  <si>
    <r>
      <t>High Frequency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</si>
  <si>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CINRMS</t>
    </r>
  </si>
  <si>
    <r>
      <t>ESR</t>
    </r>
    <r>
      <rPr>
        <b/>
        <vertAlign val="subscript"/>
        <sz val="12"/>
        <rFont val="Arial"/>
        <family val="2"/>
      </rPr>
      <t>CIN</t>
    </r>
  </si>
  <si>
    <r>
      <t>P</t>
    </r>
    <r>
      <rPr>
        <b/>
        <vertAlign val="subscript"/>
        <sz val="12"/>
        <rFont val="Arial"/>
        <family val="2"/>
      </rPr>
      <t>CIN</t>
    </r>
  </si>
  <si>
    <t>Select FETs QE and QF:</t>
  </si>
  <si>
    <r>
      <t>QE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</si>
  <si>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ds(on)QE</t>
    </r>
  </si>
  <si>
    <t>QE and QF Gate Charge</t>
  </si>
  <si>
    <t xml:space="preserve">Set Initial Power Budget </t>
  </si>
  <si>
    <t>Estimated FET Voltage Drop</t>
  </si>
  <si>
    <t>QA FET Gate Charge</t>
  </si>
  <si>
    <r>
      <t>Voltage Across Drain to Source Where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color indexed="8"/>
        <rFont val="Arial"/>
        <family val="2"/>
      </rPr>
      <t>was Measured, Data Sheet Parameter</t>
    </r>
  </si>
  <si>
    <r>
      <t>V</t>
    </r>
    <r>
      <rPr>
        <b/>
        <vertAlign val="subscript"/>
        <sz val="12"/>
        <rFont val="Arial"/>
        <family val="2"/>
      </rPr>
      <t>dsQE</t>
    </r>
  </si>
  <si>
    <r>
      <t>V</t>
    </r>
    <r>
      <rPr>
        <b/>
        <vertAlign val="subscript"/>
        <sz val="12"/>
        <rFont val="Arial"/>
        <family val="2"/>
      </rPr>
      <t>dsQE_SPEC</t>
    </r>
  </si>
  <si>
    <r>
      <t>Voltage Specified at C</t>
    </r>
    <r>
      <rPr>
        <b/>
        <vertAlign val="subscript"/>
        <sz val="12"/>
        <rFont val="Arial"/>
        <family val="2"/>
      </rPr>
      <t>OSS</t>
    </r>
    <r>
      <rPr>
        <b/>
        <sz val="12"/>
        <rFont val="Arial"/>
        <family val="2"/>
      </rPr>
      <t xml:space="preserve"> Specified in the Data Sheet</t>
    </r>
  </si>
  <si>
    <r>
      <t>C</t>
    </r>
    <r>
      <rPr>
        <b/>
        <vertAlign val="subscript"/>
        <sz val="12"/>
        <rFont val="Arial"/>
        <family val="2"/>
      </rPr>
      <t>OSS_SPEC</t>
    </r>
  </si>
  <si>
    <r>
      <t>Specified QE and QF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rFont val="Arial"/>
        <family val="2"/>
      </rPr>
      <t>From the Data Sheet</t>
    </r>
  </si>
  <si>
    <r>
      <t>C</t>
    </r>
    <r>
      <rPr>
        <b/>
        <vertAlign val="subscript"/>
        <sz val="12"/>
        <rFont val="Arial"/>
        <family val="2"/>
      </rPr>
      <t>OSS_QE_AVG</t>
    </r>
  </si>
  <si>
    <r>
      <t>Average QE and QF C</t>
    </r>
    <r>
      <rPr>
        <b/>
        <vertAlign val="subscript"/>
        <sz val="12"/>
        <rFont val="Arial"/>
        <family val="2"/>
      </rPr>
      <t>OSS</t>
    </r>
  </si>
  <si>
    <t>QE and QF RMS Current</t>
  </si>
  <si>
    <r>
      <t>I</t>
    </r>
    <r>
      <rPr>
        <b/>
        <vertAlign val="subscript"/>
        <sz val="12"/>
        <rFont val="Arial"/>
        <family val="2"/>
      </rPr>
      <t>QE_RMS</t>
    </r>
  </si>
  <si>
    <r>
      <t>QE</t>
    </r>
    <r>
      <rPr>
        <b/>
        <vertAlign val="subscript"/>
        <sz val="12"/>
        <rFont val="Arial"/>
        <family val="2"/>
      </rPr>
      <t>MILLER_MAX</t>
    </r>
  </si>
  <si>
    <r>
      <t>QE</t>
    </r>
    <r>
      <rPr>
        <b/>
        <vertAlign val="subscript"/>
        <sz val="12"/>
        <rFont val="Arial"/>
        <family val="2"/>
      </rPr>
      <t>MILLER_MIN</t>
    </r>
  </si>
  <si>
    <t>Maximum Gate Charge at the end of the Miller Plateau</t>
  </si>
  <si>
    <t>Peak Current Gate of QE and QF is Driven with</t>
  </si>
  <si>
    <r>
      <t>I</t>
    </r>
    <r>
      <rPr>
        <b/>
        <vertAlign val="subscript"/>
        <sz val="12"/>
        <rFont val="Arial"/>
        <family val="2"/>
      </rPr>
      <t>P</t>
    </r>
  </si>
  <si>
    <r>
      <t>t</t>
    </r>
    <r>
      <rPr>
        <b/>
        <vertAlign val="subscript"/>
        <sz val="12"/>
        <rFont val="Arial"/>
        <family val="2"/>
      </rPr>
      <t>r</t>
    </r>
    <r>
      <rPr>
        <b/>
        <sz val="12"/>
        <rFont val="Arial"/>
        <family val="2"/>
      </rPr>
      <t xml:space="preserve"> ≈ t</t>
    </r>
    <r>
      <rPr>
        <b/>
        <vertAlign val="subscript"/>
        <sz val="12"/>
        <rFont val="Arial"/>
        <family val="2"/>
      </rPr>
      <t>f</t>
    </r>
  </si>
  <si>
    <t>ns</t>
  </si>
  <si>
    <t>Estimate QE FET Losses</t>
  </si>
  <si>
    <r>
      <t>P</t>
    </r>
    <r>
      <rPr>
        <b/>
        <vertAlign val="subscript"/>
        <sz val="12"/>
        <rFont val="Arial"/>
        <family val="2"/>
      </rPr>
      <t>QE</t>
    </r>
  </si>
  <si>
    <t>Maximum Voltage Across QE and QF</t>
  </si>
  <si>
    <t>a2</t>
  </si>
  <si>
    <r>
      <t>Select CT and Enter Turns Ratio a2 = I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/I</t>
    </r>
    <r>
      <rPr>
        <b/>
        <vertAlign val="subscript"/>
        <sz val="12"/>
        <rFont val="Arial"/>
        <family val="2"/>
      </rPr>
      <t>S</t>
    </r>
  </si>
  <si>
    <t>Std. Resistors</t>
  </si>
  <si>
    <t>Capacitors</t>
  </si>
  <si>
    <t>Enter resistor value</t>
  </si>
  <si>
    <t>E6</t>
  </si>
  <si>
    <t>E96</t>
  </si>
  <si>
    <t>Cap value</t>
  </si>
  <si>
    <t>Closest E6 Value</t>
  </si>
  <si>
    <t>Closest E12 Value</t>
  </si>
  <si>
    <t>C values up to 10nF</t>
  </si>
  <si>
    <t>Closest E24 Value</t>
  </si>
  <si>
    <t>Closest E48 Value</t>
  </si>
  <si>
    <t>Closest E96 Value</t>
  </si>
  <si>
    <t>E12</t>
  </si>
  <si>
    <t>C values greater than 10nF</t>
  </si>
  <si>
    <t>E24</t>
  </si>
  <si>
    <t>E48</t>
  </si>
  <si>
    <r>
      <t>R</t>
    </r>
    <r>
      <rPr>
        <b/>
        <vertAlign val="subscript"/>
        <sz val="12"/>
        <rFont val="Arial"/>
        <family val="2"/>
      </rPr>
      <t>S</t>
    </r>
  </si>
  <si>
    <t>Calculate Current Sense Resistor</t>
  </si>
  <si>
    <t>Ω</t>
  </si>
  <si>
    <r>
      <t>I</t>
    </r>
    <r>
      <rPr>
        <b/>
        <vertAlign val="subscript"/>
        <sz val="12"/>
        <rFont val="Arial"/>
        <family val="2"/>
      </rPr>
      <t>P1</t>
    </r>
  </si>
  <si>
    <r>
      <t>Calculate nominal peak current (I</t>
    </r>
    <r>
      <rPr>
        <b/>
        <vertAlign val="subscript"/>
        <sz val="12"/>
        <rFont val="Arial"/>
        <family val="2"/>
      </rPr>
      <t>P1</t>
    </r>
    <r>
      <rPr>
        <b/>
        <sz val="12"/>
        <rFont val="Arial"/>
        <family val="2"/>
      </rPr>
      <t>) at V</t>
    </r>
    <r>
      <rPr>
        <b/>
        <vertAlign val="subscript"/>
        <sz val="12"/>
        <rFont val="Arial"/>
        <family val="2"/>
      </rPr>
      <t>INMIN</t>
    </r>
  </si>
  <si>
    <t>Select Current Sense Resistor for Your Design</t>
  </si>
  <si>
    <t>Estimate Rs Power Loss</t>
  </si>
  <si>
    <r>
      <t>P</t>
    </r>
    <r>
      <rPr>
        <b/>
        <vertAlign val="subscript"/>
        <sz val="12"/>
        <rFont val="Arial"/>
        <family val="2"/>
      </rPr>
      <t>RS</t>
    </r>
  </si>
  <si>
    <r>
      <t>V</t>
    </r>
    <r>
      <rPr>
        <b/>
        <vertAlign val="subscript"/>
        <sz val="12"/>
        <rFont val="Arial"/>
        <family val="2"/>
      </rPr>
      <t>DA</t>
    </r>
  </si>
  <si>
    <r>
      <t>Maximum Diode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Reverse Voltage</t>
    </r>
  </si>
  <si>
    <r>
      <t>t</t>
    </r>
    <r>
      <rPr>
        <b/>
        <vertAlign val="subscript"/>
        <sz val="12"/>
        <rFont val="Arial"/>
        <family val="2"/>
      </rPr>
      <t>DELAY</t>
    </r>
  </si>
  <si>
    <t>fr</t>
  </si>
  <si>
    <t>Calculate Resonant Tank Frequency</t>
  </si>
  <si>
    <t>Possible Delay That will Be Required for ZVS</t>
  </si>
  <si>
    <r>
      <t>D</t>
    </r>
    <r>
      <rPr>
        <b/>
        <vertAlign val="subscript"/>
        <sz val="12"/>
        <rFont val="Arial"/>
        <family val="2"/>
      </rPr>
      <t>CLAMP</t>
    </r>
  </si>
  <si>
    <r>
      <t>t</t>
    </r>
    <r>
      <rPr>
        <b/>
        <vertAlign val="subscript"/>
        <sz val="12"/>
        <rFont val="Arial"/>
        <family val="2"/>
      </rPr>
      <t>DELAY</t>
    </r>
    <r>
      <rPr>
        <b/>
        <sz val="12"/>
        <rFont val="Arial"/>
        <family val="2"/>
      </rPr>
      <t xml:space="preserve"> will act as a duty cycle clamp</t>
    </r>
  </si>
  <si>
    <t>Switching Cycle Period</t>
  </si>
  <si>
    <t>ts</t>
  </si>
  <si>
    <t>Shim Inductance Used</t>
  </si>
  <si>
    <t>Output Inductance Used</t>
  </si>
  <si>
    <t>Selecting Power Transformer (T1)</t>
  </si>
  <si>
    <t>Number of Output Capacitors Used</t>
  </si>
  <si>
    <t>Input Capacitance Used</t>
  </si>
  <si>
    <r>
      <t>Estimate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Losses</t>
    </r>
  </si>
  <si>
    <r>
      <t>P</t>
    </r>
    <r>
      <rPr>
        <b/>
        <vertAlign val="subscript"/>
        <sz val="12"/>
        <rFont val="Arial"/>
        <family val="2"/>
      </rPr>
      <t>DA</t>
    </r>
  </si>
  <si>
    <t>V1</t>
  </si>
  <si>
    <r>
      <t>R</t>
    </r>
    <r>
      <rPr>
        <b/>
        <vertAlign val="subscript"/>
        <sz val="12"/>
        <rFont val="Arial"/>
        <family val="2"/>
      </rPr>
      <t>B</t>
    </r>
  </si>
  <si>
    <t>Select Standard Resistor</t>
  </si>
  <si>
    <r>
      <t>R</t>
    </r>
    <r>
      <rPr>
        <b/>
        <vertAlign val="subscript"/>
        <sz val="12"/>
        <rFont val="Arial"/>
        <family val="2"/>
      </rPr>
      <t>A</t>
    </r>
  </si>
  <si>
    <t>Calculated Resistance</t>
  </si>
  <si>
    <r>
      <t>R</t>
    </r>
    <r>
      <rPr>
        <b/>
        <vertAlign val="subscript"/>
        <sz val="12"/>
        <rFont val="Arial"/>
        <family val="2"/>
      </rPr>
      <t>C</t>
    </r>
  </si>
  <si>
    <r>
      <t>R</t>
    </r>
    <r>
      <rPr>
        <b/>
        <vertAlign val="subscript"/>
        <sz val="12"/>
        <rFont val="Arial"/>
        <family val="2"/>
      </rPr>
      <t>I</t>
    </r>
  </si>
  <si>
    <r>
      <t>f</t>
    </r>
    <r>
      <rPr>
        <b/>
        <vertAlign val="subscript"/>
        <sz val="12"/>
        <rFont val="Arial"/>
        <family val="2"/>
      </rPr>
      <t>C</t>
    </r>
  </si>
  <si>
    <t>Voltage Loop Crossover Frequency</t>
  </si>
  <si>
    <r>
      <t>R</t>
    </r>
    <r>
      <rPr>
        <b/>
        <vertAlign val="subscript"/>
        <sz val="12"/>
        <rFont val="Arial"/>
        <family val="2"/>
      </rPr>
      <t>LOAD</t>
    </r>
  </si>
  <si>
    <t>a1*a2*rload/rs</t>
  </si>
  <si>
    <t>Constant</t>
  </si>
  <si>
    <t>n1/d1</t>
  </si>
  <si>
    <t>n1divd1</t>
  </si>
  <si>
    <t>1/d2</t>
  </si>
  <si>
    <t>n1/(d1*d2)</t>
  </si>
  <si>
    <t>a1*a2*rload/rs*(n1/(d1*d2))</t>
  </si>
  <si>
    <t>absolute maximum(a1*a2*rload/rs*(n1/(d1*d2)))</t>
  </si>
  <si>
    <t>n1</t>
  </si>
  <si>
    <t>|Gco(fc)|</t>
  </si>
  <si>
    <r>
      <t>R</t>
    </r>
    <r>
      <rPr>
        <b/>
        <vertAlign val="subscript"/>
        <sz val="12"/>
        <rFont val="Arial"/>
        <family val="2"/>
      </rPr>
      <t>F</t>
    </r>
  </si>
  <si>
    <t>Calculate Feedback Resistor</t>
  </si>
  <si>
    <r>
      <t>C</t>
    </r>
    <r>
      <rPr>
        <b/>
        <vertAlign val="subscript"/>
        <sz val="12"/>
        <rFont val="Arial"/>
        <family val="2"/>
      </rPr>
      <t>Z</t>
    </r>
  </si>
  <si>
    <t>nF</t>
  </si>
  <si>
    <t>Calculate Pole Capacitor</t>
  </si>
  <si>
    <t>Calculate Zero Capacitor</t>
  </si>
  <si>
    <t>mΩ</t>
  </si>
  <si>
    <t>Output Capacitance ESR  ≤</t>
  </si>
  <si>
    <t>Output Capacitance Cout  ≥</t>
  </si>
  <si>
    <t>kΩ</t>
  </si>
  <si>
    <r>
      <t>C</t>
    </r>
    <r>
      <rPr>
        <b/>
        <vertAlign val="subscript"/>
        <sz val="12"/>
        <rFont val="Arial"/>
        <family val="2"/>
      </rPr>
      <t>P</t>
    </r>
  </si>
  <si>
    <t>Cz</t>
  </si>
  <si>
    <t>values up to 10 nF</t>
  </si>
  <si>
    <t>values greater than 10nf</t>
  </si>
  <si>
    <r>
      <t>t</t>
    </r>
    <r>
      <rPr>
        <b/>
        <vertAlign val="subscript"/>
        <sz val="12"/>
        <rFont val="Arial"/>
        <family val="2"/>
      </rPr>
      <t>SS</t>
    </r>
  </si>
  <si>
    <t>Soft Start Time</t>
  </si>
  <si>
    <t>ms</t>
  </si>
  <si>
    <r>
      <t>C</t>
    </r>
    <r>
      <rPr>
        <b/>
        <vertAlign val="subscript"/>
        <sz val="12"/>
        <rFont val="Arial"/>
        <family val="2"/>
      </rPr>
      <t>SS</t>
    </r>
  </si>
  <si>
    <t>values greater than 10 nf</t>
  </si>
  <si>
    <r>
      <t>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</si>
  <si>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DELAB</t>
    </r>
  </si>
  <si>
    <r>
      <t>R</t>
    </r>
    <r>
      <rPr>
        <b/>
        <vertAlign val="subscript"/>
        <sz val="12"/>
        <rFont val="Arial"/>
        <family val="2"/>
      </rPr>
      <t>DELCD</t>
    </r>
  </si>
  <si>
    <r>
      <t>t</t>
    </r>
    <r>
      <rPr>
        <b/>
        <vertAlign val="subscript"/>
        <sz val="12"/>
        <rFont val="Arial"/>
        <family val="2"/>
      </rPr>
      <t>CDSET</t>
    </r>
  </si>
  <si>
    <r>
      <t>Set to half of 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</si>
  <si>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DELEF</t>
    </r>
  </si>
  <si>
    <t>Setting Minimum on Time</t>
  </si>
  <si>
    <t>Minimum on Time</t>
  </si>
  <si>
    <r>
      <t>t</t>
    </r>
    <r>
      <rPr>
        <b/>
        <vertAlign val="subscript"/>
        <sz val="12"/>
        <rFont val="Arial"/>
        <family val="2"/>
      </rPr>
      <t>MIN</t>
    </r>
  </si>
  <si>
    <r>
      <t>R</t>
    </r>
    <r>
      <rPr>
        <b/>
        <vertAlign val="subscript"/>
        <sz val="12"/>
        <rFont val="Arial"/>
        <family val="2"/>
      </rPr>
      <t>TMIN</t>
    </r>
  </si>
  <si>
    <r>
      <t>Calculate R</t>
    </r>
    <r>
      <rPr>
        <b/>
        <vertAlign val="subscript"/>
        <sz val="12"/>
        <rFont val="Arial"/>
        <family val="2"/>
      </rPr>
      <t>TMIN</t>
    </r>
  </si>
  <si>
    <t>Setup PWM Switching Frequency</t>
  </si>
  <si>
    <r>
      <t>Calculate R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Value</t>
    </r>
  </si>
  <si>
    <r>
      <t>R</t>
    </r>
    <r>
      <rPr>
        <b/>
        <vertAlign val="subscript"/>
        <sz val="12"/>
        <rFont val="Arial"/>
        <family val="2"/>
      </rPr>
      <t>T</t>
    </r>
  </si>
  <si>
    <t>Setup Slope Compensation</t>
  </si>
  <si>
    <t>V/us</t>
  </si>
  <si>
    <r>
      <t>Calculate V</t>
    </r>
    <r>
      <rPr>
        <b/>
        <vertAlign val="subscript"/>
        <sz val="12"/>
        <rFont val="Arial"/>
        <family val="2"/>
      </rPr>
      <t>SLOPE</t>
    </r>
  </si>
  <si>
    <r>
      <t>V</t>
    </r>
    <r>
      <rPr>
        <b/>
        <vertAlign val="subscript"/>
        <sz val="12"/>
        <rFont val="Arial"/>
        <family val="2"/>
      </rPr>
      <t>SLOPE</t>
    </r>
  </si>
  <si>
    <r>
      <t>Calculate R</t>
    </r>
    <r>
      <rPr>
        <b/>
        <vertAlign val="subscript"/>
        <sz val="12"/>
        <rFont val="Arial"/>
        <family val="2"/>
      </rPr>
      <t>SUM</t>
    </r>
  </si>
  <si>
    <r>
      <t>R</t>
    </r>
    <r>
      <rPr>
        <b/>
        <vertAlign val="subscript"/>
        <sz val="12"/>
        <rFont val="Arial"/>
        <family val="2"/>
      </rPr>
      <t>SUM</t>
    </r>
  </si>
  <si>
    <r>
      <t>Voltage across R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at 15% load</t>
    </r>
  </si>
  <si>
    <r>
      <t>V</t>
    </r>
    <r>
      <rPr>
        <b/>
        <vertAlign val="subscript"/>
        <sz val="12"/>
        <rFont val="Arial"/>
        <family val="2"/>
      </rPr>
      <t>RS</t>
    </r>
  </si>
  <si>
    <r>
      <t>R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</si>
  <si>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E</t>
    </r>
  </si>
  <si>
    <r>
      <t>Calculate R</t>
    </r>
    <r>
      <rPr>
        <b/>
        <vertAlign val="subscript"/>
        <sz val="12"/>
        <rFont val="Arial"/>
        <family val="2"/>
      </rPr>
      <t xml:space="preserve">E </t>
    </r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</si>
  <si>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LOUT</t>
    </r>
  </si>
  <si>
    <t>Partial RMS Current</t>
  </si>
  <si>
    <t>Counter</t>
  </si>
  <si>
    <t>Gco n1/d1</t>
  </si>
  <si>
    <t>Gco 1/d2</t>
  </si>
  <si>
    <t>Gco n1/(d1*d2)</t>
  </si>
  <si>
    <t>Gco(f)</t>
  </si>
  <si>
    <t>|Gco(f)|</t>
  </si>
  <si>
    <t>Gc n1/n1</t>
  </si>
  <si>
    <t>Gc 1/n2</t>
  </si>
  <si>
    <t>Gc(f)</t>
  </si>
  <si>
    <t>Gc(f)*Gco(f)</t>
  </si>
  <si>
    <t>TvdB(f)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</si>
  <si>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</rPr>
      <t>(f)</t>
    </r>
  </si>
  <si>
    <t>frequency</t>
  </si>
  <si>
    <t>TvdB(f)
MathCad Check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</si>
  <si>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</rPr>
      <t>(f)
MathCAD
Check</t>
    </r>
  </si>
  <si>
    <t>Frequency</t>
  </si>
  <si>
    <t>ӨTv(f)</t>
  </si>
  <si>
    <t>T1 Primary Magnetizing Inductance &gt; or =</t>
  </si>
  <si>
    <r>
      <t>Calculate T1 Secondary RMS Current (I</t>
    </r>
    <r>
      <rPr>
        <b/>
        <vertAlign val="subscript"/>
        <sz val="12"/>
        <rFont val="Arial"/>
        <family val="2"/>
      </rPr>
      <t>SRMS</t>
    </r>
    <r>
      <rPr>
        <b/>
        <sz val="12"/>
        <rFont val="Arial"/>
        <family val="2"/>
      </rPr>
      <t>)</t>
    </r>
  </si>
  <si>
    <r>
      <t>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equivalent series resistance</t>
    </r>
  </si>
  <si>
    <t>Total Equivalent Series Resistance</t>
  </si>
  <si>
    <t>QE and QF on Resistance</t>
  </si>
  <si>
    <t>Minimum Gate Charge at the beginning of the Miller Plateau</t>
  </si>
  <si>
    <r>
      <t>Approximate QE and QF V</t>
    </r>
    <r>
      <rPr>
        <b/>
        <vertAlign val="subscript"/>
        <sz val="12"/>
        <rFont val="Arial"/>
        <family val="2"/>
      </rPr>
      <t>ds</t>
    </r>
    <r>
      <rPr>
        <b/>
        <sz val="12"/>
        <rFont val="Arial"/>
        <family val="2"/>
      </rPr>
      <t xml:space="preserve"> Rise and Fall Times</t>
    </r>
  </si>
  <si>
    <t>Equivalent Series Resistance</t>
  </si>
  <si>
    <r>
      <t>Estimate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Power Dissipation</t>
    </r>
  </si>
  <si>
    <t>Programmed Voltage Reference, Needs to be &lt; 5V</t>
  </si>
  <si>
    <t>Load Impedance at 10% Load</t>
  </si>
  <si>
    <t>Calculate Soft Start Capacitor</t>
  </si>
  <si>
    <t>Calculate 1/4 LC Tank Frequency and set AB Initial Delay</t>
  </si>
  <si>
    <t>Calculate AB timing resistor</t>
  </si>
  <si>
    <r>
      <t>Set Initial CD delay to AB Delay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= t</t>
    </r>
    <r>
      <rPr>
        <b/>
        <vertAlign val="subscript"/>
        <sz val="12"/>
        <rFont val="Arial"/>
        <family val="2"/>
      </rPr>
      <t>CDSET</t>
    </r>
  </si>
  <si>
    <r>
      <t>Calculate Magnetizing Current during I</t>
    </r>
    <r>
      <rPr>
        <b/>
        <vertAlign val="subscript"/>
        <sz val="12"/>
        <rFont val="Arial"/>
        <family val="2"/>
      </rPr>
      <t>LOUT</t>
    </r>
    <r>
      <rPr>
        <b/>
        <sz val="12"/>
        <rFont val="Arial"/>
        <family val="2"/>
      </rPr>
      <t xml:space="preserve"> down slope</t>
    </r>
  </si>
  <si>
    <t>Setup DCM Comparator</t>
  </si>
  <si>
    <t>Voltage Applied to FET Gate ≈ VDD</t>
  </si>
  <si>
    <r>
      <t>Double pole of G</t>
    </r>
    <r>
      <rPr>
        <b/>
        <vertAlign val="subscript"/>
        <sz val="12"/>
        <rFont val="Arial"/>
        <family val="2"/>
      </rPr>
      <t>CO</t>
    </r>
    <r>
      <rPr>
        <b/>
        <sz val="12"/>
        <rFont val="Arial"/>
        <family val="2"/>
      </rPr>
      <t>(f)</t>
    </r>
  </si>
  <si>
    <r>
      <t>f</t>
    </r>
    <r>
      <rPr>
        <b/>
        <vertAlign val="subscript"/>
        <sz val="12"/>
        <rFont val="Arial"/>
        <family val="2"/>
      </rPr>
      <t>PP</t>
    </r>
  </si>
  <si>
    <r>
      <t>Select Shim Inductor (L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)</t>
    </r>
  </si>
  <si>
    <r>
      <t>Selecting Output Inductor (L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</si>
  <si>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Selecting Output Capacitance (C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</si>
  <si>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Input Capacitance Calculations (C</t>
    </r>
    <r>
      <rPr>
        <b/>
        <vertAlign val="subscript"/>
        <sz val="12"/>
        <color indexed="9"/>
        <rFont val="Arial"/>
        <family val="2"/>
      </rPr>
      <t>IN</t>
    </r>
    <r>
      <rPr>
        <b/>
        <sz val="12"/>
        <color indexed="9"/>
        <rFont val="Arial"/>
        <family val="2"/>
      </rPr>
      <t>)</t>
    </r>
  </si>
  <si>
    <t>Recalculate Power Budget 
This is the remaining power left for the CT network, IC and IC sensing resistors</t>
  </si>
  <si>
    <r>
      <t>Setting up Voltage Amplifier Reference G</t>
    </r>
    <r>
      <rPr>
        <b/>
        <vertAlign val="subscript"/>
        <sz val="12"/>
        <color indexed="9"/>
        <rFont val="Arial"/>
        <family val="2"/>
      </rPr>
      <t>C</t>
    </r>
    <r>
      <rPr>
        <b/>
        <sz val="12"/>
        <color indexed="9"/>
        <rFont val="Arial"/>
        <family val="2"/>
      </rPr>
      <t>(f)</t>
    </r>
  </si>
  <si>
    <r>
      <t>Select Soft Start Capacitor (C</t>
    </r>
    <r>
      <rPr>
        <b/>
        <vertAlign val="subscript"/>
        <sz val="12"/>
        <color indexed="9"/>
        <rFont val="Arial"/>
        <family val="2"/>
      </rPr>
      <t>SS</t>
    </r>
    <r>
      <rPr>
        <b/>
        <sz val="12"/>
        <color indexed="9"/>
        <rFont val="Arial"/>
        <family val="2"/>
      </rPr>
      <t>)</t>
    </r>
  </si>
  <si>
    <t>It is recommended that you read this application note before using this design tool</t>
  </si>
  <si>
    <t>Please Refer to Figure of T1 Current</t>
  </si>
  <si>
    <r>
      <t>Primary Magnetizing Current Based on L</t>
    </r>
    <r>
      <rPr>
        <b/>
        <vertAlign val="subscript"/>
        <sz val="12"/>
        <rFont val="Arial"/>
        <family val="2"/>
      </rPr>
      <t>MAG</t>
    </r>
  </si>
  <si>
    <r>
      <t>Calculate T1 Primary RMS Current (I</t>
    </r>
    <r>
      <rPr>
        <b/>
        <vertAlign val="subscript"/>
        <sz val="12"/>
        <rFont val="Arial"/>
        <family val="2"/>
      </rPr>
      <t>PRMS</t>
    </r>
    <r>
      <rPr>
        <b/>
        <sz val="12"/>
        <rFont val="Arial"/>
        <family val="2"/>
      </rPr>
      <t>)</t>
    </r>
  </si>
  <si>
    <t>UCC28950 Design Calculator</t>
  </si>
  <si>
    <r>
      <t>Setting up the current sense network (CT, R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, R</t>
    </r>
    <r>
      <rPr>
        <b/>
        <vertAlign val="subscript"/>
        <sz val="12"/>
        <color indexed="9"/>
        <rFont val="Arial"/>
        <family val="2"/>
      </rPr>
      <t xml:space="preserve">RE, </t>
    </r>
    <r>
      <rPr>
        <b/>
        <sz val="12"/>
        <color indexed="9"/>
        <rFont val="Arial"/>
        <family val="2"/>
      </rPr>
      <t>D</t>
    </r>
    <r>
      <rPr>
        <b/>
        <vertAlign val="subscript"/>
        <sz val="12"/>
        <color indexed="9"/>
        <rFont val="Arial"/>
        <family val="2"/>
      </rPr>
      <t>A</t>
    </r>
    <r>
      <rPr>
        <b/>
        <sz val="12"/>
        <color indexed="9"/>
        <rFont val="Arial"/>
        <family val="2"/>
      </rPr>
      <t>):</t>
    </r>
  </si>
  <si>
    <t>Closest Standard Capacitor Value</t>
  </si>
  <si>
    <t>Closest Standard Resistor Value (E48)</t>
  </si>
  <si>
    <t>4. The spreadsheet will calculate the ideal values and display the results in red type.</t>
  </si>
  <si>
    <r>
      <t>L</t>
    </r>
    <r>
      <rPr>
        <b/>
        <vertAlign val="subscript"/>
        <sz val="12"/>
        <rFont val="Arial"/>
        <family val="2"/>
      </rPr>
      <t>LK</t>
    </r>
  </si>
  <si>
    <t>Measured Transformer Primary Leakage Inductance</t>
  </si>
  <si>
    <t>&gt; Invalid parameters entered in yellow cells</t>
  </si>
  <si>
    <t>&gt; Design cannot calculate realistic values for your design parameters</t>
  </si>
  <si>
    <t>&gt; Efficiency goal with selected components may not be achievable</t>
  </si>
  <si>
    <t>Warning Negative Numbers in Calculated Values Could Indicate</t>
  </si>
  <si>
    <t>Select Transformer Turns Ratio</t>
  </si>
  <si>
    <r>
      <t>R</t>
    </r>
    <r>
      <rPr>
        <b/>
        <vertAlign val="subscript"/>
        <sz val="12"/>
        <rFont val="Arial"/>
        <family val="2"/>
      </rPr>
      <t>DA1</t>
    </r>
  </si>
  <si>
    <r>
      <t>V</t>
    </r>
    <r>
      <rPr>
        <b/>
        <vertAlign val="subscript"/>
        <sz val="12"/>
        <rFont val="Arial"/>
        <family val="2"/>
      </rPr>
      <t>ADEL</t>
    </r>
  </si>
  <si>
    <t>Calculate Voltage at ADEL pin to Meet Delay Range</t>
  </si>
  <si>
    <r>
      <t>Select Standard Resistor for R</t>
    </r>
    <r>
      <rPr>
        <b/>
        <vertAlign val="subscript"/>
        <sz val="12"/>
        <rFont val="Arial"/>
        <family val="2"/>
      </rPr>
      <t xml:space="preserve">DA1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</si>
  <si>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DA2</t>
    </r>
  </si>
  <si>
    <r>
      <t>R</t>
    </r>
    <r>
      <rPr>
        <b/>
        <vertAlign val="subscript"/>
        <sz val="12"/>
        <rFont val="Arial"/>
        <family val="2"/>
      </rPr>
      <t>DA2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</si>
  <si>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DA2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</si>
  <si>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Recalculate V</t>
    </r>
    <r>
      <rPr>
        <b/>
        <vertAlign val="subscript"/>
        <sz val="12"/>
        <rFont val="Arial"/>
        <family val="2"/>
      </rPr>
      <t>ADEL</t>
    </r>
    <r>
      <rPr>
        <b/>
        <sz val="12"/>
        <rFont val="Arial"/>
        <family val="2"/>
      </rPr>
      <t xml:space="preserve"> Based on R</t>
    </r>
    <r>
      <rPr>
        <b/>
        <vertAlign val="subscript"/>
        <sz val="12"/>
        <rFont val="Arial"/>
        <family val="2"/>
      </rPr>
      <t>DA1</t>
    </r>
    <r>
      <rPr>
        <b/>
        <sz val="12"/>
        <rFont val="Arial"/>
        <family val="2"/>
      </rPr>
      <t xml:space="preserve"> and R</t>
    </r>
    <r>
      <rPr>
        <b/>
        <vertAlign val="subscript"/>
        <sz val="12"/>
        <rFont val="Arial"/>
        <family val="2"/>
      </rPr>
      <t>DA2</t>
    </r>
    <r>
      <rPr>
        <b/>
        <sz val="12"/>
        <rFont val="Arial"/>
        <family val="2"/>
      </rPr>
      <t xml:space="preserve"> Selection</t>
    </r>
  </si>
  <si>
    <r>
      <t>Enter/Fine Tune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Based on Valley Switching/ZVS</t>
    </r>
  </si>
  <si>
    <r>
      <t>Setting AB Initial Turn-on Delay (t</t>
    </r>
    <r>
      <rPr>
        <b/>
        <vertAlign val="subscript"/>
        <sz val="12"/>
        <color indexed="9"/>
        <rFont val="Arial"/>
        <family val="2"/>
      </rPr>
      <t>ABSET</t>
    </r>
    <r>
      <rPr>
        <b/>
        <sz val="12"/>
        <color indexed="9"/>
        <rFont val="Arial"/>
        <family val="2"/>
      </rPr>
      <t>)</t>
    </r>
  </si>
  <si>
    <r>
      <t>Setting CD Initial Turn-on Delay (t</t>
    </r>
    <r>
      <rPr>
        <b/>
        <vertAlign val="subscript"/>
        <sz val="12"/>
        <color indexed="9"/>
        <rFont val="Arial"/>
        <family val="2"/>
      </rPr>
      <t>CDSET</t>
    </r>
    <r>
      <rPr>
        <b/>
        <sz val="12"/>
        <color indexed="9"/>
        <rFont val="Arial"/>
        <family val="2"/>
      </rPr>
      <t>)</t>
    </r>
  </si>
  <si>
    <r>
      <t>R</t>
    </r>
    <r>
      <rPr>
        <b/>
        <vertAlign val="subscript"/>
        <sz val="12"/>
        <rFont val="Arial"/>
        <family val="2"/>
      </rPr>
      <t>CA1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</si>
  <si>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CA1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</si>
  <si>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CA2</t>
    </r>
  </si>
  <si>
    <r>
      <t>R</t>
    </r>
    <r>
      <rPr>
        <b/>
        <vertAlign val="subscript"/>
        <sz val="12"/>
        <rFont val="Arial"/>
        <family val="2"/>
      </rPr>
      <t>CA2</t>
    </r>
  </si>
  <si>
    <t>Calculate Voltage at ADELEF pin to Meet Delay Range</t>
  </si>
  <si>
    <r>
      <t>V</t>
    </r>
    <r>
      <rPr>
        <b/>
        <vertAlign val="subscript"/>
        <sz val="12"/>
        <rFont val="Arial"/>
        <family val="2"/>
      </rPr>
      <t>ADELEF</t>
    </r>
  </si>
  <si>
    <r>
      <t>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= t</t>
    </r>
    <r>
      <rPr>
        <b/>
        <vertAlign val="subscript"/>
        <sz val="12"/>
        <rFont val="Arial"/>
        <family val="2"/>
      </rPr>
      <t>BESET</t>
    </r>
  </si>
  <si>
    <r>
      <t>Enter/Fine Tune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and t</t>
    </r>
    <r>
      <rPr>
        <b/>
        <vertAlign val="subscript"/>
        <sz val="12"/>
        <rFont val="Arial"/>
        <family val="2"/>
      </rPr>
      <t>AFSET</t>
    </r>
  </si>
  <si>
    <t>Select Standard Resistor Value</t>
  </si>
  <si>
    <r>
      <t>Setting AF and BE turnoff delay (t</t>
    </r>
    <r>
      <rPr>
        <b/>
        <vertAlign val="subscript"/>
        <sz val="12"/>
        <color indexed="9"/>
        <rFont val="Arial"/>
        <family val="2"/>
      </rPr>
      <t>AFSET</t>
    </r>
    <r>
      <rPr>
        <b/>
        <sz val="12"/>
        <color indexed="9"/>
        <rFont val="Arial"/>
        <family val="2"/>
      </rPr>
      <t>, t</t>
    </r>
    <r>
      <rPr>
        <b/>
        <vertAlign val="subscript"/>
        <sz val="12"/>
        <color indexed="9"/>
        <rFont val="Arial"/>
        <family val="2"/>
      </rPr>
      <t>BESET</t>
    </r>
    <r>
      <rPr>
        <b/>
        <sz val="12"/>
        <color indexed="9"/>
        <rFont val="Arial"/>
        <family val="2"/>
      </rPr>
      <t>)</t>
    </r>
  </si>
  <si>
    <t>Select Standard Capacitor Value</t>
  </si>
  <si>
    <t>Select Standard Resistor Value (Between 13K and 90K ohm)</t>
  </si>
  <si>
    <t>Select Standard Resistor Value(Between 13K and 90K ohm)</t>
  </si>
  <si>
    <t>This design tool was generated based on the information in application report SLUA560</t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</si>
  <si>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LMAG</t>
    </r>
  </si>
  <si>
    <t>6. Note this design tool was generated to accompany application report     SLUA560</t>
  </si>
  <si>
    <t>Revision</t>
  </si>
  <si>
    <t>Enter Design Parameters and Chosen Component Values in Yellow Cells</t>
  </si>
  <si>
    <r>
      <t>V</t>
    </r>
    <r>
      <rPr>
        <b/>
        <vertAlign val="subscript"/>
        <sz val="12"/>
        <rFont val="Arial"/>
        <family val="2"/>
      </rPr>
      <t>SLOPE1</t>
    </r>
  </si>
  <si>
    <r>
      <t>V</t>
    </r>
    <r>
      <rPr>
        <b/>
        <vertAlign val="subscript"/>
        <sz val="12"/>
        <rFont val="Arial"/>
        <family val="2"/>
      </rPr>
      <t>SLOPE2</t>
    </r>
  </si>
  <si>
    <r>
      <t>Calculate V</t>
    </r>
    <r>
      <rPr>
        <b/>
        <vertAlign val="subscript"/>
        <sz val="12"/>
        <rFont val="Arial"/>
        <family val="2"/>
      </rPr>
      <t>SLOPE1</t>
    </r>
  </si>
  <si>
    <r>
      <t>Calculate V</t>
    </r>
    <r>
      <rPr>
        <b/>
        <vertAlign val="subscript"/>
        <sz val="12"/>
        <rFont val="Arial"/>
        <family val="2"/>
      </rPr>
      <t>SLOPE2</t>
    </r>
  </si>
  <si>
    <t>Use 4x470uF, 50V KZM series from Nippon Chemi-con, Irms each = 2A, ESR each =68 milli-Ohm @ -10C</t>
  </si>
  <si>
    <t>Center tap rectifier</t>
  </si>
  <si>
    <t>Use 2xIPP111N15N3 150V 10.8 milli-Ohm Opti-Mos in parallel (in total we have 4)</t>
  </si>
  <si>
    <t>Use IPP50R199CP</t>
  </si>
  <si>
    <t>For each Mosfet it will be Pqe/2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</si>
</sst>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%"/>
    <numFmt numFmtId="167" formatCode="0.E+00"/>
    <numFmt numFmtId="168" formatCode="#,##0.0"/>
  </numFmts>
  <fonts count="3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6"/>
      <color indexed="10"/>
      <name val="Arial"/>
      <family val="2"/>
    </font>
    <font>
      <sz val="20"/>
      <name val="Arial"/>
      <family val="2"/>
    </font>
    <font>
      <b/>
      <vertAlign val="subscript"/>
      <sz val="12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b/>
      <sz val="12"/>
      <color indexed="9"/>
      <name val="Arial"/>
      <family val="2"/>
    </font>
    <font>
      <b/>
      <vertAlign val="subscript"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2" borderId="0" xfId="0" applyFont="1" applyFill="1" applyAlignment="1">
      <alignment vertical="center"/>
    </xf>
    <xf numFmtId="164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64" fontId="2" fillId="4" borderId="1" xfId="0" applyNumberFormat="1" applyFont="1" applyFill="1" applyBorder="1" applyAlignment="1" applyProtection="1">
      <alignment horizontal="left"/>
    </xf>
    <xf numFmtId="0" fontId="7" fillId="4" borderId="0" xfId="0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8" fillId="4" borderId="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49" fontId="1" fillId="4" borderId="0" xfId="0" applyNumberFormat="1" applyFont="1" applyFill="1" applyBorder="1" applyProtection="1">
      <protection hidden="1"/>
    </xf>
    <xf numFmtId="0" fontId="7" fillId="4" borderId="2" xfId="0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9" fillId="5" borderId="4" xfId="0" applyFont="1" applyFill="1" applyBorder="1" applyProtection="1">
      <protection hidden="1"/>
    </xf>
    <xf numFmtId="1" fontId="7" fillId="4" borderId="0" xfId="0" applyNumberFormat="1" applyFont="1" applyFill="1" applyBorder="1" applyProtection="1">
      <protection hidden="1"/>
    </xf>
    <xf numFmtId="1" fontId="11" fillId="6" borderId="5" xfId="0" applyNumberFormat="1" applyFont="1" applyFill="1" applyBorder="1" applyAlignment="1" applyProtection="1">
      <alignment horizontal="center"/>
      <protection hidden="1"/>
    </xf>
    <xf numFmtId="0" fontId="11" fillId="6" borderId="6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0" fillId="7" borderId="7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10" fillId="8" borderId="7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9" fillId="5" borderId="10" xfId="0" applyFont="1" applyFill="1" applyBorder="1" applyAlignment="1" applyProtection="1">
      <alignment horizontal="center"/>
      <protection hidden="1"/>
    </xf>
    <xf numFmtId="0" fontId="9" fillId="5" borderId="11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1" fontId="12" fillId="4" borderId="0" xfId="0" applyNumberFormat="1" applyFont="1" applyFill="1" applyBorder="1" applyProtection="1">
      <protection hidden="1"/>
    </xf>
    <xf numFmtId="165" fontId="13" fillId="4" borderId="0" xfId="0" applyNumberFormat="1" applyFont="1" applyFill="1" applyBorder="1" applyAlignment="1" applyProtection="1">
      <alignment horizontal="center"/>
      <protection hidden="1"/>
    </xf>
    <xf numFmtId="2" fontId="12" fillId="4" borderId="0" xfId="0" applyNumberFormat="1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center" wrapText="1"/>
      <protection hidden="1"/>
    </xf>
    <xf numFmtId="2" fontId="1" fillId="4" borderId="0" xfId="0" applyNumberFormat="1" applyFont="1" applyFill="1" applyBorder="1" applyAlignment="1" applyProtection="1">
      <alignment horizontal="center"/>
      <protection hidden="1"/>
    </xf>
    <xf numFmtId="1" fontId="16" fillId="4" borderId="0" xfId="0" applyNumberFormat="1" applyFont="1" applyFill="1" applyBorder="1" applyProtection="1"/>
    <xf numFmtId="0" fontId="1" fillId="4" borderId="14" xfId="0" applyFont="1" applyFill="1" applyBorder="1" applyProtection="1">
      <protection hidden="1"/>
    </xf>
    <xf numFmtId="0" fontId="10" fillId="9" borderId="15" xfId="0" applyFont="1" applyFill="1" applyBorder="1" applyAlignment="1">
      <alignment horizontal="center" wrapText="1"/>
    </xf>
    <xf numFmtId="0" fontId="16" fillId="4" borderId="0" xfId="0" applyFont="1" applyFill="1" applyBorder="1" applyProtection="1">
      <protection hidden="1"/>
    </xf>
    <xf numFmtId="0" fontId="10" fillId="9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1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Protection="1">
      <protection hidden="1"/>
    </xf>
    <xf numFmtId="0" fontId="1" fillId="4" borderId="0" xfId="0" applyFont="1" applyFill="1"/>
    <xf numFmtId="49" fontId="17" fillId="6" borderId="7" xfId="0" applyNumberFormat="1" applyFont="1" applyFill="1" applyBorder="1" applyAlignment="1">
      <alignment horizontal="center" wrapText="1"/>
    </xf>
    <xf numFmtId="49" fontId="17" fillId="6" borderId="8" xfId="0" applyNumberFormat="1" applyFont="1" applyFill="1" applyBorder="1" applyAlignment="1">
      <alignment horizontal="center" wrapText="1"/>
    </xf>
    <xf numFmtId="0" fontId="18" fillId="4" borderId="0" xfId="0" applyFont="1" applyFill="1"/>
    <xf numFmtId="49" fontId="0" fillId="4" borderId="0" xfId="0" applyNumberFormat="1" applyFill="1" applyBorder="1" applyProtection="1"/>
    <xf numFmtId="49" fontId="17" fillId="6" borderId="9" xfId="0" applyNumberFormat="1" applyFont="1" applyFill="1" applyBorder="1" applyAlignment="1">
      <alignment horizontal="center" wrapText="1"/>
    </xf>
    <xf numFmtId="49" fontId="12" fillId="4" borderId="0" xfId="0" applyNumberFormat="1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0" fontId="12" fillId="4" borderId="0" xfId="0" applyFont="1" applyFill="1" applyProtection="1">
      <protection hidden="1"/>
    </xf>
    <xf numFmtId="0" fontId="17" fillId="4" borderId="0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/>
    <xf numFmtId="0" fontId="19" fillId="4" borderId="0" xfId="0" applyFont="1" applyFill="1" applyProtection="1">
      <protection hidden="1"/>
    </xf>
    <xf numFmtId="0" fontId="0" fillId="4" borderId="0" xfId="0" applyFill="1" applyBorder="1" applyAlignment="1">
      <alignment wrapText="1"/>
    </xf>
    <xf numFmtId="0" fontId="0" fillId="4" borderId="0" xfId="0" applyFill="1" applyProtection="1">
      <protection hidden="1"/>
    </xf>
    <xf numFmtId="0" fontId="2" fillId="4" borderId="1" xfId="0" applyFont="1" applyFill="1" applyBorder="1" applyAlignment="1" applyProtection="1">
      <alignment horizontal="left"/>
    </xf>
    <xf numFmtId="0" fontId="2" fillId="10" borderId="1" xfId="0" applyFont="1" applyFill="1" applyBorder="1" applyAlignment="1" applyProtection="1">
      <alignment horizontal="left"/>
      <protection locked="0"/>
    </xf>
    <xf numFmtId="9" fontId="2" fillId="10" borderId="1" xfId="0" applyNumberFormat="1" applyFont="1" applyFill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2" fillId="11" borderId="1" xfId="0" applyFont="1" applyFill="1" applyBorder="1" applyAlignment="1" applyProtection="1">
      <alignment horizontal="left"/>
    </xf>
    <xf numFmtId="0" fontId="2" fillId="12" borderId="1" xfId="0" applyFont="1" applyFill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2" fontId="2" fillId="0" borderId="1" xfId="0" applyNumberFormat="1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1" fontId="2" fillId="0" borderId="1" xfId="0" applyNumberFormat="1" applyFont="1" applyBorder="1" applyAlignment="1" applyProtection="1">
      <alignment horizontal="left"/>
    </xf>
    <xf numFmtId="164" fontId="2" fillId="12" borderId="1" xfId="0" applyNumberFormat="1" applyFont="1" applyFill="1" applyBorder="1" applyAlignment="1" applyProtection="1">
      <alignment horizontal="left"/>
    </xf>
    <xf numFmtId="167" fontId="2" fillId="0" borderId="1" xfId="0" applyNumberFormat="1" applyFont="1" applyBorder="1" applyAlignment="1" applyProtection="1">
      <alignment horizontal="left"/>
    </xf>
    <xf numFmtId="9" fontId="2" fillId="0" borderId="1" xfId="0" applyNumberFormat="1" applyFont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wrapText="1"/>
    </xf>
    <xf numFmtId="1" fontId="2" fillId="4" borderId="1" xfId="0" applyNumberFormat="1" applyFont="1" applyFill="1" applyBorder="1" applyAlignment="1" applyProtection="1">
      <alignment horizontal="left"/>
    </xf>
    <xf numFmtId="0" fontId="22" fillId="4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12" borderId="1" xfId="0" applyFont="1" applyFill="1" applyBorder="1" applyAlignment="1" applyProtection="1">
      <alignment horizontal="left" wrapText="1"/>
    </xf>
    <xf numFmtId="168" fontId="2" fillId="0" borderId="1" xfId="0" applyNumberFormat="1" applyFont="1" applyBorder="1" applyAlignment="1" applyProtection="1">
      <alignment horizontal="left"/>
    </xf>
    <xf numFmtId="165" fontId="2" fillId="0" borderId="1" xfId="0" applyNumberFormat="1" applyFont="1" applyBorder="1" applyAlignment="1" applyProtection="1">
      <alignment horizontal="left"/>
    </xf>
    <xf numFmtId="164" fontId="11" fillId="6" borderId="16" xfId="0" applyNumberFormat="1" applyFont="1" applyFill="1" applyBorder="1" applyProtection="1">
      <protection hidden="1"/>
    </xf>
    <xf numFmtId="164" fontId="11" fillId="6" borderId="17" xfId="0" applyNumberFormat="1" applyFont="1" applyFill="1" applyBorder="1" applyProtection="1">
      <protection hidden="1"/>
    </xf>
    <xf numFmtId="164" fontId="11" fillId="6" borderId="18" xfId="0" applyNumberFormat="1" applyFont="1" applyFill="1" applyBorder="1" applyProtection="1">
      <protection hidden="1"/>
    </xf>
    <xf numFmtId="0" fontId="23" fillId="0" borderId="1" xfId="0" applyFont="1" applyBorder="1" applyAlignment="1" applyProtection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2" fillId="0" borderId="1" xfId="0" applyFont="1" applyFill="1" applyBorder="1" applyAlignment="1" applyProtection="1">
      <alignment horizontal="left"/>
    </xf>
    <xf numFmtId="165" fontId="0" fillId="0" borderId="1" xfId="0" applyNumberFormat="1" applyBorder="1"/>
    <xf numFmtId="0" fontId="0" fillId="0" borderId="1" xfId="0" applyFill="1" applyBorder="1"/>
    <xf numFmtId="0" fontId="24" fillId="0" borderId="1" xfId="0" applyFont="1" applyBorder="1"/>
    <xf numFmtId="0" fontId="0" fillId="0" borderId="1" xfId="0" applyBorder="1" applyAlignment="1">
      <alignment wrapText="1"/>
    </xf>
    <xf numFmtId="0" fontId="26" fillId="12" borderId="1" xfId="0" applyFont="1" applyFill="1" applyBorder="1" applyAlignment="1" applyProtection="1">
      <alignment horizontal="left"/>
    </xf>
    <xf numFmtId="0" fontId="26" fillId="13" borderId="1" xfId="0" applyFont="1" applyFill="1" applyBorder="1" applyAlignment="1" applyProtection="1">
      <alignment horizontal="left"/>
    </xf>
    <xf numFmtId="14" fontId="26" fillId="13" borderId="1" xfId="0" applyNumberFormat="1" applyFont="1" applyFill="1" applyBorder="1" applyAlignment="1" applyProtection="1">
      <alignment horizontal="left"/>
    </xf>
    <xf numFmtId="164" fontId="26" fillId="12" borderId="1" xfId="0" applyNumberFormat="1" applyFont="1" applyFill="1" applyBorder="1" applyAlignment="1" applyProtection="1">
      <alignment horizontal="left"/>
    </xf>
    <xf numFmtId="0" fontId="28" fillId="0" borderId="1" xfId="0" applyFont="1" applyBorder="1" applyAlignment="1" applyProtection="1">
      <alignment horizontal="left"/>
    </xf>
    <xf numFmtId="0" fontId="28" fillId="4" borderId="1" xfId="0" applyFont="1" applyFill="1" applyBorder="1" applyAlignment="1" applyProtection="1">
      <alignment horizontal="left"/>
    </xf>
    <xf numFmtId="164" fontId="2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/>
    </xf>
    <xf numFmtId="14" fontId="6" fillId="3" borderId="1" xfId="0" applyNumberFormat="1" applyFont="1" applyFill="1" applyBorder="1" applyAlignment="1" applyProtection="1">
      <alignment horizontal="left"/>
    </xf>
    <xf numFmtId="0" fontId="26" fillId="14" borderId="1" xfId="0" applyFont="1" applyFill="1" applyBorder="1" applyAlignment="1" applyProtection="1">
      <alignment horizontal="left"/>
    </xf>
    <xf numFmtId="14" fontId="26" fillId="14" borderId="1" xfId="0" applyNumberFormat="1" applyFont="1" applyFill="1" applyBorder="1" applyAlignment="1" applyProtection="1">
      <alignment horizontal="left"/>
    </xf>
    <xf numFmtId="0" fontId="29" fillId="0" borderId="1" xfId="0" applyFont="1" applyBorder="1" applyAlignment="1" applyProtection="1">
      <alignment horizontal="left"/>
    </xf>
    <xf numFmtId="2" fontId="28" fillId="0" borderId="1" xfId="0" applyNumberFormat="1" applyFont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2" fontId="2" fillId="4" borderId="1" xfId="0" applyNumberFormat="1" applyFont="1" applyFill="1" applyBorder="1" applyAlignment="1" applyProtection="1">
      <alignment horizontal="left"/>
    </xf>
    <xf numFmtId="165" fontId="2" fillId="4" borderId="1" xfId="0" applyNumberFormat="1" applyFont="1" applyFill="1" applyBorder="1" applyAlignment="1" applyProtection="1">
      <alignment horizontal="left"/>
    </xf>
    <xf numFmtId="165" fontId="2" fillId="3" borderId="1" xfId="0" applyNumberFormat="1" applyFont="1" applyFill="1" applyBorder="1" applyAlignment="1" applyProtection="1">
      <alignment horizontal="left"/>
      <protection locked="0"/>
    </xf>
    <xf numFmtId="11" fontId="2" fillId="0" borderId="1" xfId="0" applyNumberFormat="1" applyFont="1" applyBorder="1" applyAlignment="1" applyProtection="1">
      <alignment horizontal="left"/>
    </xf>
    <xf numFmtId="11" fontId="2" fillId="4" borderId="1" xfId="0" applyNumberFormat="1" applyFont="1" applyFill="1" applyBorder="1" applyAlignment="1" applyProtection="1">
      <alignment horizontal="left"/>
    </xf>
    <xf numFmtId="166" fontId="2" fillId="0" borderId="1" xfId="0" applyNumberFormat="1" applyFont="1" applyBorder="1" applyAlignment="1" applyProtection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7" fillId="4" borderId="0" xfId="0" applyFont="1" applyFill="1" applyBorder="1" applyAlignment="1" applyProtection="1">
      <alignment horizontal="center" wrapText="1"/>
      <protection hidden="1"/>
    </xf>
    <xf numFmtId="0" fontId="10" fillId="7" borderId="19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10" fillId="8" borderId="21" xfId="0" applyFont="1" applyFill="1" applyBorder="1" applyAlignment="1">
      <alignment horizontal="center" wrapText="1"/>
    </xf>
    <xf numFmtId="0" fontId="10" fillId="9" borderId="19" xfId="0" applyFont="1" applyFill="1" applyBorder="1" applyAlignment="1">
      <alignment horizontal="center" wrapText="1"/>
    </xf>
    <xf numFmtId="0" fontId="10" fillId="9" borderId="15" xfId="0" applyFont="1" applyFill="1" applyBorder="1" applyAlignment="1">
      <alignment horizontal="center" wrapText="1"/>
    </xf>
    <xf numFmtId="49" fontId="17" fillId="6" borderId="19" xfId="0" applyNumberFormat="1" applyFont="1" applyFill="1" applyBorder="1" applyAlignment="1">
      <alignment horizontal="center" wrapText="1"/>
    </xf>
    <xf numFmtId="49" fontId="17" fillId="6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Tv(f) Frequency Response</a:t>
            </a:r>
          </a:p>
        </c:rich>
      </c:tx>
      <c:layout>
        <c:manualLayout>
          <c:xMode val="edge"/>
          <c:yMode val="edge"/>
          <c:x val="0.3575345342106209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79474782932"/>
          <c:y val="0.11778304275115783"/>
          <c:w val="0.78630189580338705"/>
          <c:h val="0.729792970771879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7000.0000000000009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14000.000000000002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28000.000000000004</c:v>
                </c:pt>
                <c:pt idx="28">
                  <c:v>28999.999999999996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55000.000000000007</c:v>
                </c:pt>
                <c:pt idx="55">
                  <c:v>56000.000000000007</c:v>
                </c:pt>
                <c:pt idx="56">
                  <c:v>56999.999999999993</c:v>
                </c:pt>
                <c:pt idx="57">
                  <c:v>57999.999999999993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51.833664872874017</c:v>
                </c:pt>
                <c:pt idx="1">
                  <c:v>14.750912700709414</c:v>
                </c:pt>
                <c:pt idx="2">
                  <c:v>2.4987443023129399</c:v>
                </c:pt>
                <c:pt idx="3">
                  <c:v>-0.22969352009936744</c:v>
                </c:pt>
                <c:pt idx="4">
                  <c:v>-2.2915956421740979</c:v>
                </c:pt>
                <c:pt idx="5">
                  <c:v>-3.9544071805914731</c:v>
                </c:pt>
                <c:pt idx="6">
                  <c:v>-5.3491389487700385</c:v>
                </c:pt>
                <c:pt idx="7">
                  <c:v>-6.5497746556474237</c:v>
                </c:pt>
                <c:pt idx="8">
                  <c:v>-7.6023403789988722</c:v>
                </c:pt>
                <c:pt idx="9">
                  <c:v>-8.5375771059555365</c:v>
                </c:pt>
                <c:pt idx="10">
                  <c:v>-9.3771701037246196</c:v>
                </c:pt>
                <c:pt idx="11">
                  <c:v>-10.137091818509049</c:v>
                </c:pt>
                <c:pt idx="12">
                  <c:v>-10.829522195758889</c:v>
                </c:pt>
                <c:pt idx="13">
                  <c:v>-11.46401518527513</c:v>
                </c:pt>
                <c:pt idx="14">
                  <c:v>-12.048242009517832</c:v>
                </c:pt>
                <c:pt idx="15">
                  <c:v>-12.588484966135816</c:v>
                </c:pt>
                <c:pt idx="16">
                  <c:v>-13.089977794736956</c:v>
                </c:pt>
                <c:pt idx="17">
                  <c:v>-13.557147990154771</c:v>
                </c:pt>
                <c:pt idx="18">
                  <c:v>-13.993794235939532</c:v>
                </c:pt>
                <c:pt idx="19">
                  <c:v>-14.403219526023827</c:v>
                </c:pt>
                <c:pt idx="20">
                  <c:v>-14.788333134873167</c:v>
                </c:pt>
                <c:pt idx="21">
                  <c:v>-15.151730098775285</c:v>
                </c:pt>
                <c:pt idx="22">
                  <c:v>-15.495754052688714</c:v>
                </c:pt>
                <c:pt idx="23">
                  <c:v>-15.822547446262782</c:v>
                </c:pt>
                <c:pt idx="24">
                  <c:v>-16.134091950923576</c:v>
                </c:pt>
                <c:pt idx="25">
                  <c:v>-16.432241040751215</c:v>
                </c:pt>
                <c:pt idx="26">
                  <c:v>-16.718746148258038</c:v>
                </c:pt>
                <c:pt idx="27">
                  <c:v>-16.99527738039297</c:v>
                </c:pt>
                <c:pt idx="28">
                  <c:v>-17.263439480224413</c:v>
                </c:pt>
                <c:pt idx="29">
                  <c:v>-17.524783505475995</c:v>
                </c:pt>
                <c:pt idx="30">
                  <c:v>-17.780814548258014</c:v>
                </c:pt>
                <c:pt idx="31">
                  <c:v>-18.032995730499774</c:v>
                </c:pt>
                <c:pt idx="32">
                  <c:v>-18.282748670691436</c:v>
                </c:pt>
                <c:pt idx="33">
                  <c:v>-18.531450625610255</c:v>
                </c:pt>
                <c:pt idx="34">
                  <c:v>-18.780428561756075</c:v>
                </c:pt>
                <c:pt idx="35">
                  <c:v>-19.030950499506108</c:v>
                </c:pt>
                <c:pt idx="36">
                  <c:v>-19.284214589668753</c:v>
                </c:pt>
                <c:pt idx="37">
                  <c:v>-19.541336514315788</c:v>
                </c:pt>
                <c:pt idx="38">
                  <c:v>-19.803335934702915</c:v>
                </c:pt>
                <c:pt idx="39">
                  <c:v>-20.071122819011716</c:v>
                </c:pt>
                <c:pt idx="40">
                  <c:v>-20.345484551130046</c:v>
                </c:pt>
                <c:pt idx="41">
                  <c:v>-20.627074730607418</c:v>
                </c:pt>
                <c:pt idx="42">
                  <c:v>-20.916404511053702</c:v>
                </c:pt>
                <c:pt idx="43">
                  <c:v>-21.213837186235406</c:v>
                </c:pt>
                <c:pt idx="44">
                  <c:v>-21.519586527380334</c:v>
                </c:pt>
                <c:pt idx="45">
                  <c:v>-21.833719119703861</c:v>
                </c:pt>
                <c:pt idx="46">
                  <c:v>-22.156160667177488</c:v>
                </c:pt>
                <c:pt idx="47">
                  <c:v>-22.486705962408585</c:v>
                </c:pt>
                <c:pt idx="48">
                  <c:v>-22.825031982543543</c:v>
                </c:pt>
                <c:pt idx="49">
                  <c:v>-23.170713395833044</c:v>
                </c:pt>
                <c:pt idx="50">
                  <c:v>-23.523239661044727</c:v>
                </c:pt>
                <c:pt idx="51">
                  <c:v>-23.882032876566495</c:v>
                </c:pt>
                <c:pt idx="52">
                  <c:v>-24.246465581049385</c:v>
                </c:pt>
                <c:pt idx="53">
                  <c:v>-24.615877808313265</c:v>
                </c:pt>
                <c:pt idx="54">
                  <c:v>-24.989592837247095</c:v>
                </c:pt>
                <c:pt idx="55">
                  <c:v>-25.36693123303758</c:v>
                </c:pt>
                <c:pt idx="56">
                  <c:v>-25.747222931728004</c:v>
                </c:pt>
                <c:pt idx="57">
                  <c:v>-26.129817262232983</c:v>
                </c:pt>
                <c:pt idx="58">
                  <c:v>-26.514090919560566</c:v>
                </c:pt>
                <c:pt idx="59">
                  <c:v>-26.899453995710147</c:v>
                </c:pt>
                <c:pt idx="60">
                  <c:v>-27.285354239920867</c:v>
                </c:pt>
                <c:pt idx="61">
                  <c:v>-27.671279759779338</c:v>
                </c:pt>
                <c:pt idx="62">
                  <c:v>-28.056760393007657</c:v>
                </c:pt>
                <c:pt idx="63">
                  <c:v>-28.44136798112466</c:v>
                </c:pt>
                <c:pt idx="64">
                  <c:v>-28.824715765226394</c:v>
                </c:pt>
                <c:pt idx="65">
                  <c:v>-29.206457105082929</c:v>
                </c:pt>
                <c:pt idx="66">
                  <c:v>-29.586283699086518</c:v>
                </c:pt>
                <c:pt idx="67">
                  <c:v>-29.963923457083101</c:v>
                </c:pt>
                <c:pt idx="68">
                  <c:v>-30.339138152752632</c:v>
                </c:pt>
                <c:pt idx="69">
                  <c:v>-30.711720958331043</c:v>
                </c:pt>
                <c:pt idx="70">
                  <c:v>-31.081493942892486</c:v>
                </c:pt>
                <c:pt idx="71">
                  <c:v>-31.448305596533892</c:v>
                </c:pt>
                <c:pt idx="72">
                  <c:v>-31.812028426735893</c:v>
                </c:pt>
                <c:pt idx="73">
                  <c:v>-32.172556659814163</c:v>
                </c:pt>
                <c:pt idx="74">
                  <c:v>-32.529804069511442</c:v>
                </c:pt>
                <c:pt idx="75">
                  <c:v>-32.88370194614042</c:v>
                </c:pt>
                <c:pt idx="76">
                  <c:v>-33.234197212948395</c:v>
                </c:pt>
                <c:pt idx="77">
                  <c:v>-33.581250691262561</c:v>
                </c:pt>
                <c:pt idx="78">
                  <c:v>-33.924835512180223</c:v>
                </c:pt>
                <c:pt idx="79">
                  <c:v>-34.264935669863085</c:v>
                </c:pt>
                <c:pt idx="80">
                  <c:v>-34.601544709644067</c:v>
                </c:pt>
                <c:pt idx="81">
                  <c:v>-34.934664542976627</c:v>
                </c:pt>
                <c:pt idx="82">
                  <c:v>-35.264304380600528</c:v>
                </c:pt>
                <c:pt idx="83">
                  <c:v>-35.59047977502297</c:v>
                </c:pt>
                <c:pt idx="84">
                  <c:v>-35.913211763433345</c:v>
                </c:pt>
                <c:pt idx="85">
                  <c:v>-36.232526102392477</c:v>
                </c:pt>
                <c:pt idx="86">
                  <c:v>-36.548452585996074</c:v>
                </c:pt>
                <c:pt idx="87">
                  <c:v>-36.861024439672995</c:v>
                </c:pt>
                <c:pt idx="88">
                  <c:v>-37.17027778227876</c:v>
                </c:pt>
                <c:pt idx="89">
                  <c:v>-37.476251149688352</c:v>
                </c:pt>
                <c:pt idx="90">
                  <c:v>-37.778985073624824</c:v>
                </c:pt>
                <c:pt idx="91">
                  <c:v>-38.078521709994966</c:v>
                </c:pt>
                <c:pt idx="92">
                  <c:v>-38.374904511511396</c:v>
                </c:pt>
                <c:pt idx="93">
                  <c:v>-38.668177939866638</c:v>
                </c:pt>
                <c:pt idx="94">
                  <c:v>-38.958387213177716</c:v>
                </c:pt>
                <c:pt idx="95">
                  <c:v>-39.245578084842222</c:v>
                </c:pt>
                <c:pt idx="96">
                  <c:v>-39.529796650335676</c:v>
                </c:pt>
                <c:pt idx="97">
                  <c:v>-39.81108917883688</c:v>
                </c:pt>
                <c:pt idx="98">
                  <c:v>-40.089501966890012</c:v>
                </c:pt>
                <c:pt idx="99">
                  <c:v>-40.365081211610928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19040"/>
        <c:axId val="46831104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7000.0000000000009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14000.000000000002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28000.000000000004</c:v>
                </c:pt>
                <c:pt idx="28">
                  <c:v>28999.999999999996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55000.000000000007</c:v>
                </c:pt>
                <c:pt idx="55">
                  <c:v>56000.000000000007</c:v>
                </c:pt>
                <c:pt idx="56">
                  <c:v>56999.999999999993</c:v>
                </c:pt>
                <c:pt idx="57">
                  <c:v>57999.999999999993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14.366310907110346</c:v>
                </c:pt>
                <c:pt idx="1">
                  <c:v>43.265670110541123</c:v>
                </c:pt>
                <c:pt idx="2">
                  <c:v>66.505255120452006</c:v>
                </c:pt>
                <c:pt idx="3">
                  <c:v>69.456542588986153</c:v>
                </c:pt>
                <c:pt idx="4">
                  <c:v>70.765704533164183</c:v>
                </c:pt>
                <c:pt idx="5">
                  <c:v>71.229843576102994</c:v>
                </c:pt>
                <c:pt idx="6">
                  <c:v>71.212226612999387</c:v>
                </c:pt>
                <c:pt idx="7">
                  <c:v>70.897235541828451</c:v>
                </c:pt>
                <c:pt idx="8">
                  <c:v>70.385482908741366</c:v>
                </c:pt>
                <c:pt idx="9">
                  <c:v>69.734624288390108</c:v>
                </c:pt>
                <c:pt idx="10">
                  <c:v>68.978821539336778</c:v>
                </c:pt>
                <c:pt idx="11">
                  <c:v>68.138777097209129</c:v>
                </c:pt>
                <c:pt idx="12">
                  <c:v>67.2272080851194</c:v>
                </c:pt>
                <c:pt idx="13">
                  <c:v>66.251957669555892</c:v>
                </c:pt>
                <c:pt idx="14">
                  <c:v>65.217818469852588</c:v>
                </c:pt>
                <c:pt idx="15">
                  <c:v>64.127627713943781</c:v>
                </c:pt>
                <c:pt idx="16">
                  <c:v>62.982939696797089</c:v>
                </c:pt>
                <c:pt idx="17">
                  <c:v>61.784448309333911</c:v>
                </c:pt>
                <c:pt idx="18">
                  <c:v>60.532259921840975</c:v>
                </c:pt>
                <c:pt idx="19">
                  <c:v>59.226076032630289</c:v>
                </c:pt>
                <c:pt idx="20">
                  <c:v>57.865321479967292</c:v>
                </c:pt>
                <c:pt idx="21">
                  <c:v>56.449240116534142</c:v>
                </c:pt>
                <c:pt idx="22">
                  <c:v>54.976971533177391</c:v>
                </c:pt>
                <c:pt idx="23">
                  <c:v>53.447617365805016</c:v>
                </c:pt>
                <c:pt idx="24">
                  <c:v>51.860302583416171</c:v>
                </c:pt>
                <c:pt idx="25">
                  <c:v>50.214235146956327</c:v>
                </c:pt>
                <c:pt idx="26">
                  <c:v>48.508766076514121</c:v>
                </c:pt>
                <c:pt idx="27">
                  <c:v>46.74345098351381</c:v>
                </c:pt>
                <c:pt idx="28">
                  <c:v>44.918113342893406</c:v>
                </c:pt>
                <c:pt idx="29">
                  <c:v>43.032909096188092</c:v>
                </c:pt>
                <c:pt idx="30">
                  <c:v>41.088391535848245</c:v>
                </c:pt>
                <c:pt idx="31">
                  <c:v>39.085574804417604</c:v>
                </c:pt>
                <c:pt idx="32">
                  <c:v>37.025993757668232</c:v>
                </c:pt>
                <c:pt idx="33">
                  <c:v>34.91175741999939</c:v>
                </c:pt>
                <c:pt idx="34">
                  <c:v>32.745592854099755</c:v>
                </c:pt>
                <c:pt idx="35">
                  <c:v>30.53087603892115</c:v>
                </c:pt>
                <c:pt idx="36">
                  <c:v>28.271646368620452</c:v>
                </c:pt>
                <c:pt idx="37">
                  <c:v>25.972601710813876</c:v>
                </c:pt>
                <c:pt idx="38">
                  <c:v>23.639071633832401</c:v>
                </c:pt>
                <c:pt idx="39">
                  <c:v>21.27696743172072</c:v>
                </c:pt>
                <c:pt idx="40">
                  <c:v>18.892708896711724</c:v>
                </c:pt>
                <c:pt idx="41">
                  <c:v>16.493129313642129</c:v>
                </c:pt>
                <c:pt idx="42">
                  <c:v>14.085361734130828</c:v>
                </c:pt>
                <c:pt idx="43">
                  <c:v>11.676711054829951</c:v>
                </c:pt>
                <c:pt idx="44">
                  <c:v>9.2745175939314208</c:v>
                </c:pt>
                <c:pt idx="45">
                  <c:v>6.8860185801000569</c:v>
                </c:pt>
                <c:pt idx="46">
                  <c:v>4.5182141398190652</c:v>
                </c:pt>
                <c:pt idx="47">
                  <c:v>2.1777439687421634</c:v>
                </c:pt>
                <c:pt idx="48">
                  <c:v>-0.12922004511858631</c:v>
                </c:pt>
                <c:pt idx="49">
                  <c:v>-2.3970612906435349</c:v>
                </c:pt>
                <c:pt idx="50">
                  <c:v>-4.6207835787261047</c:v>
                </c:pt>
                <c:pt idx="51">
                  <c:v>-6.7960531314543005</c:v>
                </c:pt>
                <c:pt idx="52">
                  <c:v>-8.9192180481184664</c:v>
                </c:pt>
                <c:pt idx="53">
                  <c:v>-10.98730709775532</c:v>
                </c:pt>
                <c:pt idx="54">
                  <c:v>-12.998010580389405</c:v>
                </c:pt>
                <c:pt idx="55">
                  <c:v>-14.949646542234291</c:v>
                </c:pt>
                <c:pt idx="56">
                  <c:v>-16.841115843264618</c:v>
                </c:pt>
                <c:pt idx="57">
                  <c:v>-18.671849509800268</c:v>
                </c:pt>
                <c:pt idx="58">
                  <c:v>-20.441751528217537</c:v>
                </c:pt>
                <c:pt idx="59">
                  <c:v>-22.151139820960509</c:v>
                </c:pt>
                <c:pt idx="60">
                  <c:v>-23.800687659380003</c:v>
                </c:pt>
                <c:pt idx="61">
                  <c:v>-25.391367264717701</c:v>
                </c:pt>
                <c:pt idx="62">
                  <c:v>-26.924396869571865</c:v>
                </c:pt>
                <c:pt idx="63">
                  <c:v>-28.401192084249658</c:v>
                </c:pt>
                <c:pt idx="64">
                  <c:v>-29.823322049896205</c:v>
                </c:pt>
                <c:pt idx="65">
                  <c:v>-31.19247056794319</c:v>
                </c:pt>
                <c:pt idx="66">
                  <c:v>-32.510402171054807</c:v>
                </c:pt>
                <c:pt idx="67">
                  <c:v>-33.778932937801301</c:v>
                </c:pt>
                <c:pt idx="68">
                  <c:v>-34.999905742963278</c:v>
                </c:pt>
                <c:pt idx="69">
                  <c:v>-36.175169568016713</c:v>
                </c:pt>
                <c:pt idx="70">
                  <c:v>-37.306562462722923</c:v>
                </c:pt>
                <c:pt idx="71">
                  <c:v>-38.39589774037745</c:v>
                </c:pt>
                <c:pt idx="72">
                  <c:v>-39.444952999022576</c:v>
                </c:pt>
                <c:pt idx="73">
                  <c:v>-40.455461582844691</c:v>
                </c:pt>
                <c:pt idx="74">
                  <c:v>-41.429106127460614</c:v>
                </c:pt>
                <c:pt idx="75">
                  <c:v>-42.367513866271565</c:v>
                </c:pt>
                <c:pt idx="76">
                  <c:v>-43.272253409950395</c:v>
                </c:pt>
                <c:pt idx="77">
                  <c:v>-44.144832745612348</c:v>
                </c:pt>
                <c:pt idx="78">
                  <c:v>-44.986698235074584</c:v>
                </c:pt>
                <c:pt idx="79">
                  <c:v>-45.799234422117252</c:v>
                </c:pt>
                <c:pt idx="80">
                  <c:v>-46.583764486377788</c:v>
                </c:pt>
                <c:pt idx="81">
                  <c:v>-47.341551206342046</c:v>
                </c:pt>
                <c:pt idx="82">
                  <c:v>-48.073798315787315</c:v>
                </c:pt>
                <c:pt idx="83">
                  <c:v>-48.781652157194344</c:v>
                </c:pt>
                <c:pt idx="84">
                  <c:v>-49.466203552186187</c:v>
                </c:pt>
                <c:pt idx="85">
                  <c:v>-50.128489823274208</c:v>
                </c:pt>
                <c:pt idx="86">
                  <c:v>-50.769496913312992</c:v>
                </c:pt>
                <c:pt idx="87">
                  <c:v>-51.390161559298235</c:v>
                </c:pt>
                <c:pt idx="88">
                  <c:v>-51.99137348579734</c:v>
                </c:pt>
                <c:pt idx="89">
                  <c:v>-52.573977590513607</c:v>
                </c:pt>
                <c:pt idx="90">
                  <c:v>-53.13877610049326</c:v>
                </c:pt>
                <c:pt idx="91">
                  <c:v>-53.686530682480793</c:v>
                </c:pt>
                <c:pt idx="92">
                  <c:v>-54.217964495006868</c:v>
                </c:pt>
                <c:pt idx="93">
                  <c:v>-54.733764173166605</c:v>
                </c:pt>
                <c:pt idx="94">
                  <c:v>-55.234581739767634</c:v>
                </c:pt>
                <c:pt idx="95">
                  <c:v>-55.721036438742544</c:v>
                </c:pt>
                <c:pt idx="96">
                  <c:v>-56.193716488486018</c:v>
                </c:pt>
                <c:pt idx="97">
                  <c:v>-56.653180754191851</c:v>
                </c:pt>
                <c:pt idx="98">
                  <c:v>-57.099960339369943</c:v>
                </c:pt>
                <c:pt idx="99">
                  <c:v>-57.534560097587018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3024"/>
        <c:axId val="46843008"/>
      </c:scatterChart>
      <c:valAx>
        <c:axId val="46919040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506878078596338"/>
              <c:y val="0.92609796754620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31104"/>
        <c:crossesAt val="-80"/>
        <c:crossBetween val="midCat"/>
      </c:valAx>
      <c:valAx>
        <c:axId val="46831104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in dB</a:t>
                </a:r>
              </a:p>
            </c:rich>
          </c:tx>
          <c:layout>
            <c:manualLayout>
              <c:xMode val="edge"/>
              <c:yMode val="edge"/>
              <c:x val="1.643835616438356E-2"/>
              <c:y val="0.3926101846968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19040"/>
        <c:crosses val="autoZero"/>
        <c:crossBetween val="midCat"/>
      </c:valAx>
      <c:valAx>
        <c:axId val="4683302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43008"/>
        <c:crosses val="autoZero"/>
        <c:crossBetween val="midCat"/>
      </c:valAx>
      <c:valAx>
        <c:axId val="46843008"/>
        <c:scaling>
          <c:orientation val="minMax"/>
          <c:max val="180"/>
          <c:min val="-180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Phase in Degrees</a:t>
                </a:r>
              </a:p>
            </c:rich>
          </c:tx>
          <c:layout>
            <c:manualLayout>
              <c:xMode val="edge"/>
              <c:yMode val="edge"/>
              <c:x val="0.94794578075000901"/>
              <c:y val="0.33487346414261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33024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4671916010497"/>
          <c:y val="0.70207924933170884"/>
          <c:w val="0.1356165821738036"/>
          <c:h val="0.11316421475029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Tv(f) Frequency Response</a:t>
            </a:r>
          </a:p>
        </c:rich>
      </c:tx>
      <c:layout>
        <c:manualLayout>
          <c:xMode val="edge"/>
          <c:yMode val="edge"/>
          <c:x val="0.32948963751853916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8410590965584"/>
          <c:y val="0.11734693877551021"/>
          <c:w val="0.79406983151467858"/>
          <c:h val="0.739795918367346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7000.0000000000009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14000.000000000002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28000.000000000004</c:v>
                </c:pt>
                <c:pt idx="28">
                  <c:v>28999.999999999996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55000.000000000007</c:v>
                </c:pt>
                <c:pt idx="55">
                  <c:v>56000.000000000007</c:v>
                </c:pt>
                <c:pt idx="56">
                  <c:v>56999.999999999993</c:v>
                </c:pt>
                <c:pt idx="57">
                  <c:v>57999.999999999993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51.833664872874017</c:v>
                </c:pt>
                <c:pt idx="1">
                  <c:v>14.750912700709414</c:v>
                </c:pt>
                <c:pt idx="2">
                  <c:v>2.4987443023129399</c:v>
                </c:pt>
                <c:pt idx="3">
                  <c:v>-0.22969352009936744</c:v>
                </c:pt>
                <c:pt idx="4">
                  <c:v>-2.2915956421740979</c:v>
                </c:pt>
                <c:pt idx="5">
                  <c:v>-3.9544071805914731</c:v>
                </c:pt>
                <c:pt idx="6">
                  <c:v>-5.3491389487700385</c:v>
                </c:pt>
                <c:pt idx="7">
                  <c:v>-6.5497746556474237</c:v>
                </c:pt>
                <c:pt idx="8">
                  <c:v>-7.6023403789988722</c:v>
                </c:pt>
                <c:pt idx="9">
                  <c:v>-8.5375771059555365</c:v>
                </c:pt>
                <c:pt idx="10">
                  <c:v>-9.3771701037246196</c:v>
                </c:pt>
                <c:pt idx="11">
                  <c:v>-10.137091818509049</c:v>
                </c:pt>
                <c:pt idx="12">
                  <c:v>-10.829522195758889</c:v>
                </c:pt>
                <c:pt idx="13">
                  <c:v>-11.46401518527513</c:v>
                </c:pt>
                <c:pt idx="14">
                  <c:v>-12.048242009517832</c:v>
                </c:pt>
                <c:pt idx="15">
                  <c:v>-12.588484966135816</c:v>
                </c:pt>
                <c:pt idx="16">
                  <c:v>-13.089977794736956</c:v>
                </c:pt>
                <c:pt idx="17">
                  <c:v>-13.557147990154771</c:v>
                </c:pt>
                <c:pt idx="18">
                  <c:v>-13.993794235939532</c:v>
                </c:pt>
                <c:pt idx="19">
                  <c:v>-14.403219526023827</c:v>
                </c:pt>
                <c:pt idx="20">
                  <c:v>-14.788333134873167</c:v>
                </c:pt>
                <c:pt idx="21">
                  <c:v>-15.151730098775285</c:v>
                </c:pt>
                <c:pt idx="22">
                  <c:v>-15.495754052688714</c:v>
                </c:pt>
                <c:pt idx="23">
                  <c:v>-15.822547446262782</c:v>
                </c:pt>
                <c:pt idx="24">
                  <c:v>-16.134091950923576</c:v>
                </c:pt>
                <c:pt idx="25">
                  <c:v>-16.432241040751215</c:v>
                </c:pt>
                <c:pt idx="26">
                  <c:v>-16.718746148258038</c:v>
                </c:pt>
                <c:pt idx="27">
                  <c:v>-16.99527738039297</c:v>
                </c:pt>
                <c:pt idx="28">
                  <c:v>-17.263439480224413</c:v>
                </c:pt>
                <c:pt idx="29">
                  <c:v>-17.524783505475995</c:v>
                </c:pt>
                <c:pt idx="30">
                  <c:v>-17.780814548258014</c:v>
                </c:pt>
                <c:pt idx="31">
                  <c:v>-18.032995730499774</c:v>
                </c:pt>
                <c:pt idx="32">
                  <c:v>-18.282748670691436</c:v>
                </c:pt>
                <c:pt idx="33">
                  <c:v>-18.531450625610255</c:v>
                </c:pt>
                <c:pt idx="34">
                  <c:v>-18.780428561756075</c:v>
                </c:pt>
                <c:pt idx="35">
                  <c:v>-19.030950499506108</c:v>
                </c:pt>
                <c:pt idx="36">
                  <c:v>-19.284214589668753</c:v>
                </c:pt>
                <c:pt idx="37">
                  <c:v>-19.541336514315788</c:v>
                </c:pt>
                <c:pt idx="38">
                  <c:v>-19.803335934702915</c:v>
                </c:pt>
                <c:pt idx="39">
                  <c:v>-20.071122819011716</c:v>
                </c:pt>
                <c:pt idx="40">
                  <c:v>-20.345484551130046</c:v>
                </c:pt>
                <c:pt idx="41">
                  <c:v>-20.627074730607418</c:v>
                </c:pt>
                <c:pt idx="42">
                  <c:v>-20.916404511053702</c:v>
                </c:pt>
                <c:pt idx="43">
                  <c:v>-21.213837186235406</c:v>
                </c:pt>
                <c:pt idx="44">
                  <c:v>-21.519586527380334</c:v>
                </c:pt>
                <c:pt idx="45">
                  <c:v>-21.833719119703861</c:v>
                </c:pt>
                <c:pt idx="46">
                  <c:v>-22.156160667177488</c:v>
                </c:pt>
                <c:pt idx="47">
                  <c:v>-22.486705962408585</c:v>
                </c:pt>
                <c:pt idx="48">
                  <c:v>-22.825031982543543</c:v>
                </c:pt>
                <c:pt idx="49">
                  <c:v>-23.170713395833044</c:v>
                </c:pt>
                <c:pt idx="50">
                  <c:v>-23.523239661044727</c:v>
                </c:pt>
                <c:pt idx="51">
                  <c:v>-23.882032876566495</c:v>
                </c:pt>
                <c:pt idx="52">
                  <c:v>-24.246465581049385</c:v>
                </c:pt>
                <c:pt idx="53">
                  <c:v>-24.615877808313265</c:v>
                </c:pt>
                <c:pt idx="54">
                  <c:v>-24.989592837247095</c:v>
                </c:pt>
                <c:pt idx="55">
                  <c:v>-25.36693123303758</c:v>
                </c:pt>
                <c:pt idx="56">
                  <c:v>-25.747222931728004</c:v>
                </c:pt>
                <c:pt idx="57">
                  <c:v>-26.129817262232983</c:v>
                </c:pt>
                <c:pt idx="58">
                  <c:v>-26.514090919560566</c:v>
                </c:pt>
                <c:pt idx="59">
                  <c:v>-26.899453995710147</c:v>
                </c:pt>
                <c:pt idx="60">
                  <c:v>-27.285354239920867</c:v>
                </c:pt>
                <c:pt idx="61">
                  <c:v>-27.671279759779338</c:v>
                </c:pt>
                <c:pt idx="62">
                  <c:v>-28.056760393007657</c:v>
                </c:pt>
                <c:pt idx="63">
                  <c:v>-28.44136798112466</c:v>
                </c:pt>
                <c:pt idx="64">
                  <c:v>-28.824715765226394</c:v>
                </c:pt>
                <c:pt idx="65">
                  <c:v>-29.206457105082929</c:v>
                </c:pt>
                <c:pt idx="66">
                  <c:v>-29.586283699086518</c:v>
                </c:pt>
                <c:pt idx="67">
                  <c:v>-29.963923457083101</c:v>
                </c:pt>
                <c:pt idx="68">
                  <c:v>-30.339138152752632</c:v>
                </c:pt>
                <c:pt idx="69">
                  <c:v>-30.711720958331043</c:v>
                </c:pt>
                <c:pt idx="70">
                  <c:v>-31.081493942892486</c:v>
                </c:pt>
                <c:pt idx="71">
                  <c:v>-31.448305596533892</c:v>
                </c:pt>
                <c:pt idx="72">
                  <c:v>-31.812028426735893</c:v>
                </c:pt>
                <c:pt idx="73">
                  <c:v>-32.172556659814163</c:v>
                </c:pt>
                <c:pt idx="74">
                  <c:v>-32.529804069511442</c:v>
                </c:pt>
                <c:pt idx="75">
                  <c:v>-32.88370194614042</c:v>
                </c:pt>
                <c:pt idx="76">
                  <c:v>-33.234197212948395</c:v>
                </c:pt>
                <c:pt idx="77">
                  <c:v>-33.581250691262561</c:v>
                </c:pt>
                <c:pt idx="78">
                  <c:v>-33.924835512180223</c:v>
                </c:pt>
                <c:pt idx="79">
                  <c:v>-34.264935669863085</c:v>
                </c:pt>
                <c:pt idx="80">
                  <c:v>-34.601544709644067</c:v>
                </c:pt>
                <c:pt idx="81">
                  <c:v>-34.934664542976627</c:v>
                </c:pt>
                <c:pt idx="82">
                  <c:v>-35.264304380600528</c:v>
                </c:pt>
                <c:pt idx="83">
                  <c:v>-35.59047977502297</c:v>
                </c:pt>
                <c:pt idx="84">
                  <c:v>-35.913211763433345</c:v>
                </c:pt>
                <c:pt idx="85">
                  <c:v>-36.232526102392477</c:v>
                </c:pt>
                <c:pt idx="86">
                  <c:v>-36.548452585996074</c:v>
                </c:pt>
                <c:pt idx="87">
                  <c:v>-36.861024439672995</c:v>
                </c:pt>
                <c:pt idx="88">
                  <c:v>-37.17027778227876</c:v>
                </c:pt>
                <c:pt idx="89">
                  <c:v>-37.476251149688352</c:v>
                </c:pt>
                <c:pt idx="90">
                  <c:v>-37.778985073624824</c:v>
                </c:pt>
                <c:pt idx="91">
                  <c:v>-38.078521709994966</c:v>
                </c:pt>
                <c:pt idx="92">
                  <c:v>-38.374904511511396</c:v>
                </c:pt>
                <c:pt idx="93">
                  <c:v>-38.668177939866638</c:v>
                </c:pt>
                <c:pt idx="94">
                  <c:v>-38.958387213177716</c:v>
                </c:pt>
                <c:pt idx="95">
                  <c:v>-39.245578084842222</c:v>
                </c:pt>
                <c:pt idx="96">
                  <c:v>-39.529796650335676</c:v>
                </c:pt>
                <c:pt idx="97">
                  <c:v>-39.81108917883688</c:v>
                </c:pt>
                <c:pt idx="98">
                  <c:v>-40.089501966890012</c:v>
                </c:pt>
                <c:pt idx="99">
                  <c:v>-40.365081211610928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6992"/>
        <c:axId val="48278912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7000.0000000000009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14000.000000000002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28000.000000000004</c:v>
                </c:pt>
                <c:pt idx="28">
                  <c:v>28999.999999999996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55000.000000000007</c:v>
                </c:pt>
                <c:pt idx="55">
                  <c:v>56000.000000000007</c:v>
                </c:pt>
                <c:pt idx="56">
                  <c:v>56999.999999999993</c:v>
                </c:pt>
                <c:pt idx="57">
                  <c:v>57999.999999999993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14.366310907110346</c:v>
                </c:pt>
                <c:pt idx="1">
                  <c:v>43.265670110541123</c:v>
                </c:pt>
                <c:pt idx="2">
                  <c:v>66.505255120452006</c:v>
                </c:pt>
                <c:pt idx="3">
                  <c:v>69.456542588986153</c:v>
                </c:pt>
                <c:pt idx="4">
                  <c:v>70.765704533164183</c:v>
                </c:pt>
                <c:pt idx="5">
                  <c:v>71.229843576102994</c:v>
                </c:pt>
                <c:pt idx="6">
                  <c:v>71.212226612999387</c:v>
                </c:pt>
                <c:pt idx="7">
                  <c:v>70.897235541828451</c:v>
                </c:pt>
                <c:pt idx="8">
                  <c:v>70.385482908741366</c:v>
                </c:pt>
                <c:pt idx="9">
                  <c:v>69.734624288390108</c:v>
                </c:pt>
                <c:pt idx="10">
                  <c:v>68.978821539336778</c:v>
                </c:pt>
                <c:pt idx="11">
                  <c:v>68.138777097209129</c:v>
                </c:pt>
                <c:pt idx="12">
                  <c:v>67.2272080851194</c:v>
                </c:pt>
                <c:pt idx="13">
                  <c:v>66.251957669555892</c:v>
                </c:pt>
                <c:pt idx="14">
                  <c:v>65.217818469852588</c:v>
                </c:pt>
                <c:pt idx="15">
                  <c:v>64.127627713943781</c:v>
                </c:pt>
                <c:pt idx="16">
                  <c:v>62.982939696797089</c:v>
                </c:pt>
                <c:pt idx="17">
                  <c:v>61.784448309333911</c:v>
                </c:pt>
                <c:pt idx="18">
                  <c:v>60.532259921840975</c:v>
                </c:pt>
                <c:pt idx="19">
                  <c:v>59.226076032630289</c:v>
                </c:pt>
                <c:pt idx="20">
                  <c:v>57.865321479967292</c:v>
                </c:pt>
                <c:pt idx="21">
                  <c:v>56.449240116534142</c:v>
                </c:pt>
                <c:pt idx="22">
                  <c:v>54.976971533177391</c:v>
                </c:pt>
                <c:pt idx="23">
                  <c:v>53.447617365805016</c:v>
                </c:pt>
                <c:pt idx="24">
                  <c:v>51.860302583416171</c:v>
                </c:pt>
                <c:pt idx="25">
                  <c:v>50.214235146956327</c:v>
                </c:pt>
                <c:pt idx="26">
                  <c:v>48.508766076514121</c:v>
                </c:pt>
                <c:pt idx="27">
                  <c:v>46.74345098351381</c:v>
                </c:pt>
                <c:pt idx="28">
                  <c:v>44.918113342893406</c:v>
                </c:pt>
                <c:pt idx="29">
                  <c:v>43.032909096188092</c:v>
                </c:pt>
                <c:pt idx="30">
                  <c:v>41.088391535848245</c:v>
                </c:pt>
                <c:pt idx="31">
                  <c:v>39.085574804417604</c:v>
                </c:pt>
                <c:pt idx="32">
                  <c:v>37.025993757668232</c:v>
                </c:pt>
                <c:pt idx="33">
                  <c:v>34.91175741999939</c:v>
                </c:pt>
                <c:pt idx="34">
                  <c:v>32.745592854099755</c:v>
                </c:pt>
                <c:pt idx="35">
                  <c:v>30.53087603892115</c:v>
                </c:pt>
                <c:pt idx="36">
                  <c:v>28.271646368620452</c:v>
                </c:pt>
                <c:pt idx="37">
                  <c:v>25.972601710813876</c:v>
                </c:pt>
                <c:pt idx="38">
                  <c:v>23.639071633832401</c:v>
                </c:pt>
                <c:pt idx="39">
                  <c:v>21.27696743172072</c:v>
                </c:pt>
                <c:pt idx="40">
                  <c:v>18.892708896711724</c:v>
                </c:pt>
                <c:pt idx="41">
                  <c:v>16.493129313642129</c:v>
                </c:pt>
                <c:pt idx="42">
                  <c:v>14.085361734130828</c:v>
                </c:pt>
                <c:pt idx="43">
                  <c:v>11.676711054829951</c:v>
                </c:pt>
                <c:pt idx="44">
                  <c:v>9.2745175939314208</c:v>
                </c:pt>
                <c:pt idx="45">
                  <c:v>6.8860185801000569</c:v>
                </c:pt>
                <c:pt idx="46">
                  <c:v>4.5182141398190652</c:v>
                </c:pt>
                <c:pt idx="47">
                  <c:v>2.1777439687421634</c:v>
                </c:pt>
                <c:pt idx="48">
                  <c:v>-0.12922004511858631</c:v>
                </c:pt>
                <c:pt idx="49">
                  <c:v>-2.3970612906435349</c:v>
                </c:pt>
                <c:pt idx="50">
                  <c:v>-4.6207835787261047</c:v>
                </c:pt>
                <c:pt idx="51">
                  <c:v>-6.7960531314543005</c:v>
                </c:pt>
                <c:pt idx="52">
                  <c:v>-8.9192180481184664</c:v>
                </c:pt>
                <c:pt idx="53">
                  <c:v>-10.98730709775532</c:v>
                </c:pt>
                <c:pt idx="54">
                  <c:v>-12.998010580389405</c:v>
                </c:pt>
                <c:pt idx="55">
                  <c:v>-14.949646542234291</c:v>
                </c:pt>
                <c:pt idx="56">
                  <c:v>-16.841115843264618</c:v>
                </c:pt>
                <c:pt idx="57">
                  <c:v>-18.671849509800268</c:v>
                </c:pt>
                <c:pt idx="58">
                  <c:v>-20.441751528217537</c:v>
                </c:pt>
                <c:pt idx="59">
                  <c:v>-22.151139820960509</c:v>
                </c:pt>
                <c:pt idx="60">
                  <c:v>-23.800687659380003</c:v>
                </c:pt>
                <c:pt idx="61">
                  <c:v>-25.391367264717701</c:v>
                </c:pt>
                <c:pt idx="62">
                  <c:v>-26.924396869571865</c:v>
                </c:pt>
                <c:pt idx="63">
                  <c:v>-28.401192084249658</c:v>
                </c:pt>
                <c:pt idx="64">
                  <c:v>-29.823322049896205</c:v>
                </c:pt>
                <c:pt idx="65">
                  <c:v>-31.19247056794319</c:v>
                </c:pt>
                <c:pt idx="66">
                  <c:v>-32.510402171054807</c:v>
                </c:pt>
                <c:pt idx="67">
                  <c:v>-33.778932937801301</c:v>
                </c:pt>
                <c:pt idx="68">
                  <c:v>-34.999905742963278</c:v>
                </c:pt>
                <c:pt idx="69">
                  <c:v>-36.175169568016713</c:v>
                </c:pt>
                <c:pt idx="70">
                  <c:v>-37.306562462722923</c:v>
                </c:pt>
                <c:pt idx="71">
                  <c:v>-38.39589774037745</c:v>
                </c:pt>
                <c:pt idx="72">
                  <c:v>-39.444952999022576</c:v>
                </c:pt>
                <c:pt idx="73">
                  <c:v>-40.455461582844691</c:v>
                </c:pt>
                <c:pt idx="74">
                  <c:v>-41.429106127460614</c:v>
                </c:pt>
                <c:pt idx="75">
                  <c:v>-42.367513866271565</c:v>
                </c:pt>
                <c:pt idx="76">
                  <c:v>-43.272253409950395</c:v>
                </c:pt>
                <c:pt idx="77">
                  <c:v>-44.144832745612348</c:v>
                </c:pt>
                <c:pt idx="78">
                  <c:v>-44.986698235074584</c:v>
                </c:pt>
                <c:pt idx="79">
                  <c:v>-45.799234422117252</c:v>
                </c:pt>
                <c:pt idx="80">
                  <c:v>-46.583764486377788</c:v>
                </c:pt>
                <c:pt idx="81">
                  <c:v>-47.341551206342046</c:v>
                </c:pt>
                <c:pt idx="82">
                  <c:v>-48.073798315787315</c:v>
                </c:pt>
                <c:pt idx="83">
                  <c:v>-48.781652157194344</c:v>
                </c:pt>
                <c:pt idx="84">
                  <c:v>-49.466203552186187</c:v>
                </c:pt>
                <c:pt idx="85">
                  <c:v>-50.128489823274208</c:v>
                </c:pt>
                <c:pt idx="86">
                  <c:v>-50.769496913312992</c:v>
                </c:pt>
                <c:pt idx="87">
                  <c:v>-51.390161559298235</c:v>
                </c:pt>
                <c:pt idx="88">
                  <c:v>-51.99137348579734</c:v>
                </c:pt>
                <c:pt idx="89">
                  <c:v>-52.573977590513607</c:v>
                </c:pt>
                <c:pt idx="90">
                  <c:v>-53.13877610049326</c:v>
                </c:pt>
                <c:pt idx="91">
                  <c:v>-53.686530682480793</c:v>
                </c:pt>
                <c:pt idx="92">
                  <c:v>-54.217964495006868</c:v>
                </c:pt>
                <c:pt idx="93">
                  <c:v>-54.733764173166605</c:v>
                </c:pt>
                <c:pt idx="94">
                  <c:v>-55.234581739767634</c:v>
                </c:pt>
                <c:pt idx="95">
                  <c:v>-55.721036438742544</c:v>
                </c:pt>
                <c:pt idx="96">
                  <c:v>-56.193716488486018</c:v>
                </c:pt>
                <c:pt idx="97">
                  <c:v>-56.653180754191851</c:v>
                </c:pt>
                <c:pt idx="98">
                  <c:v>-57.099960339369943</c:v>
                </c:pt>
                <c:pt idx="99">
                  <c:v>-57.534560097587018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5184"/>
        <c:axId val="48286720"/>
      </c:scatterChart>
      <c:valAx>
        <c:axId val="48276992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680429979201528"/>
              <c:y val="0.93112244897959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8912"/>
        <c:crossesAt val="-80"/>
        <c:crossBetween val="midCat"/>
      </c:valAx>
      <c:valAx>
        <c:axId val="48278912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Gain in dB</a:t>
                </a:r>
              </a:p>
            </c:rich>
          </c:tx>
          <c:layout>
            <c:manualLayout>
              <c:xMode val="edge"/>
              <c:yMode val="edge"/>
              <c:x val="1.9769357495881382E-2"/>
              <c:y val="0.3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6992"/>
        <c:crosses val="autoZero"/>
        <c:crossBetween val="midCat"/>
      </c:valAx>
      <c:valAx>
        <c:axId val="4828518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86720"/>
        <c:crosses val="autoZero"/>
        <c:crossBetween val="midCat"/>
      </c:valAx>
      <c:valAx>
        <c:axId val="48286720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85184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191121085152658"/>
          <c:y val="0.70408163265306123"/>
          <c:w val="0.28500858315280603"/>
          <c:h val="0.8290816326530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12</xdr:col>
      <xdr:colOff>257175</xdr:colOff>
      <xdr:row>35</xdr:row>
      <xdr:rowOff>76200</xdr:rowOff>
    </xdr:to>
    <xdr:pic>
      <xdr:nvPicPr>
        <xdr:cNvPr id="41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7400925" cy="5676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151</xdr:row>
      <xdr:rowOff>38100</xdr:rowOff>
    </xdr:from>
    <xdr:to>
      <xdr:col>3</xdr:col>
      <xdr:colOff>695325</xdr:colOff>
      <xdr:row>171</xdr:row>
      <xdr:rowOff>161925</xdr:rowOff>
    </xdr:to>
    <xdr:graphicFrame macro="">
      <xdr:nvGraphicFramePr>
        <xdr:cNvPr id="104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8</xdr:col>
      <xdr:colOff>523875</xdr:colOff>
      <xdr:row>4</xdr:row>
      <xdr:rowOff>85725</xdr:rowOff>
    </xdr:to>
    <xdr:pic>
      <xdr:nvPicPr>
        <xdr:cNvPr id="51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4006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57150</xdr:rowOff>
        </xdr:from>
        <xdr:to>
          <xdr:col>8</xdr:col>
          <xdr:colOff>533400</xdr:colOff>
          <xdr:row>46</xdr:row>
          <xdr:rowOff>57150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352425</xdr:colOff>
      <xdr:row>34</xdr:row>
      <xdr:rowOff>123825</xdr:rowOff>
    </xdr:to>
    <xdr:pic>
      <xdr:nvPicPr>
        <xdr:cNvPr id="61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19625" cy="562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34</xdr:row>
      <xdr:rowOff>133350</xdr:rowOff>
    </xdr:to>
    <xdr:pic>
      <xdr:nvPicPr>
        <xdr:cNvPr id="71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563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85</xdr:row>
      <xdr:rowOff>114300</xdr:rowOff>
    </xdr:from>
    <xdr:to>
      <xdr:col>7</xdr:col>
      <xdr:colOff>57150</xdr:colOff>
      <xdr:row>105</xdr:row>
      <xdr:rowOff>152400</xdr:rowOff>
    </xdr:to>
    <xdr:graphicFrame macro="">
      <xdr:nvGraphicFramePr>
        <xdr:cNvPr id="30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0799388/My%20Documents/Applications%20Information/UCC28070/Design%20Tool/UCC28070%20Design%20Tool%208%2015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Information"/>
      <sheetName val="Current Loop Calaculations"/>
      <sheetName val="Voltage Loop Calaclations"/>
    </sheetNames>
    <sheetDataSet>
      <sheetData sheetId="0">
        <row r="29">
          <cell r="C29">
            <v>2.4499999999999999E-4</v>
          </cell>
        </row>
        <row r="40">
          <cell r="C40">
            <v>50</v>
          </cell>
        </row>
        <row r="83">
          <cell r="C83">
            <v>4020</v>
          </cell>
        </row>
        <row r="85">
          <cell r="C85">
            <v>2.1999999999999998E-9</v>
          </cell>
        </row>
        <row r="87">
          <cell r="C87">
            <v>3.3E-10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7" workbookViewId="0">
      <selection activeCell="A16" sqref="A16:N16"/>
    </sheetView>
  </sheetViews>
  <sheetFormatPr defaultRowHeight="12.75" x14ac:dyDescent="0.2"/>
  <sheetData>
    <row r="1" spans="1:14" ht="33.75" x14ac:dyDescent="0.2">
      <c r="A1" s="112" t="s">
        <v>294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5.5" x14ac:dyDescent="0.2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5.5" x14ac:dyDescent="0.2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25.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5.5" x14ac:dyDescent="0.2">
      <c r="A7" s="1"/>
      <c r="B7" s="115" t="s">
        <v>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ht="25.5" x14ac:dyDescent="0.2">
      <c r="A8" s="1"/>
      <c r="B8" s="115" t="s">
        <v>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ht="25.5" x14ac:dyDescent="0.2">
      <c r="A9" s="1"/>
      <c r="B9" s="115" t="s">
        <v>6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ht="25.5" x14ac:dyDescent="0.2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x14ac:dyDescent="0.2">
      <c r="A12" s="116" t="s">
        <v>298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25.5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25.5" x14ac:dyDescent="0.2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25.5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45.75" customHeight="1" x14ac:dyDescent="0.2">
      <c r="A16" s="116" t="s">
        <v>332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" x14ac:dyDescent="0.2">
      <c r="A17" t="s">
        <v>20</v>
      </c>
    </row>
  </sheetData>
  <sheetProtection password="ECDD" sheet="1" objects="1" scenarios="1"/>
  <mergeCells count="11">
    <mergeCell ref="A14:N14"/>
    <mergeCell ref="A16:N16"/>
    <mergeCell ref="A5:N5"/>
    <mergeCell ref="B7:N7"/>
    <mergeCell ref="B8:N8"/>
    <mergeCell ref="B9:N9"/>
    <mergeCell ref="A1:N1"/>
    <mergeCell ref="A2:N2"/>
    <mergeCell ref="A3:N3"/>
    <mergeCell ref="A4:N4"/>
    <mergeCell ref="A12:N1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3"/>
  <sheetViews>
    <sheetView workbookViewId="0">
      <selection activeCell="F39" sqref="F39"/>
    </sheetView>
  </sheetViews>
  <sheetFormatPr defaultRowHeight="12.75" x14ac:dyDescent="0.2"/>
  <sheetData>
    <row r="43" spans="4:4" x14ac:dyDescent="0.2">
      <c r="D43" t="s">
        <v>20</v>
      </c>
    </row>
  </sheetData>
  <phoneticPr fontId="21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abSelected="1" topLeftCell="A40" workbookViewId="0">
      <selection activeCell="C60" sqref="C60"/>
    </sheetView>
  </sheetViews>
  <sheetFormatPr defaultRowHeight="15.75" x14ac:dyDescent="0.25"/>
  <cols>
    <col min="1" max="1" width="66.140625" style="59" customWidth="1"/>
    <col min="2" max="2" width="15" style="59" customWidth="1"/>
    <col min="3" max="3" width="13.42578125" style="59" customWidth="1"/>
    <col min="4" max="5" width="11.5703125" style="59" customWidth="1"/>
    <col min="6" max="16384" width="9.140625" style="59"/>
  </cols>
  <sheetData>
    <row r="1" spans="1:8" x14ac:dyDescent="0.25">
      <c r="A1" s="59" t="s">
        <v>0</v>
      </c>
    </row>
    <row r="2" spans="1:8" x14ac:dyDescent="0.25">
      <c r="A2" s="59" t="s">
        <v>333</v>
      </c>
      <c r="B2" s="60">
        <v>40822</v>
      </c>
    </row>
    <row r="3" spans="1:8" x14ac:dyDescent="0.25">
      <c r="B3" s="60"/>
    </row>
    <row r="4" spans="1:8" x14ac:dyDescent="0.25">
      <c r="A4" s="92" t="s">
        <v>330</v>
      </c>
      <c r="B4" s="93"/>
      <c r="C4" s="92"/>
      <c r="D4" s="92"/>
      <c r="E4" s="92"/>
      <c r="F4" s="92"/>
    </row>
    <row r="5" spans="1:8" x14ac:dyDescent="0.25">
      <c r="A5" s="92" t="s">
        <v>290</v>
      </c>
      <c r="B5" s="93"/>
      <c r="C5" s="92"/>
      <c r="D5" s="92"/>
      <c r="E5" s="92"/>
      <c r="F5" s="92"/>
    </row>
    <row r="6" spans="1:8" x14ac:dyDescent="0.25">
      <c r="A6" s="99" t="s">
        <v>334</v>
      </c>
      <c r="B6" s="100"/>
      <c r="C6" s="99"/>
      <c r="D6" s="99"/>
      <c r="E6" s="99"/>
      <c r="F6" s="99"/>
    </row>
    <row r="7" spans="1:8" x14ac:dyDescent="0.25">
      <c r="A7" s="101" t="s">
        <v>304</v>
      </c>
      <c r="B7" s="102"/>
      <c r="C7" s="101"/>
      <c r="D7" s="101"/>
      <c r="E7" s="101"/>
      <c r="F7" s="101"/>
    </row>
    <row r="8" spans="1:8" s="55" customFormat="1" x14ac:dyDescent="0.25">
      <c r="A8" s="101" t="s">
        <v>303</v>
      </c>
      <c r="B8" s="102"/>
      <c r="C8" s="101"/>
      <c r="D8" s="101"/>
      <c r="E8" s="101"/>
      <c r="F8" s="101"/>
    </row>
    <row r="9" spans="1:8" s="55" customFormat="1" x14ac:dyDescent="0.25">
      <c r="A9" s="101" t="s">
        <v>301</v>
      </c>
      <c r="B9" s="102"/>
      <c r="C9" s="101"/>
      <c r="D9" s="101"/>
      <c r="E9" s="101"/>
      <c r="F9" s="101"/>
    </row>
    <row r="10" spans="1:8" s="55" customFormat="1" x14ac:dyDescent="0.25">
      <c r="A10" s="101" t="s">
        <v>302</v>
      </c>
      <c r="B10" s="102"/>
      <c r="C10" s="101"/>
      <c r="D10" s="101"/>
      <c r="E10" s="101"/>
      <c r="F10" s="101"/>
    </row>
    <row r="11" spans="1:8" x14ac:dyDescent="0.25">
      <c r="A11" s="59" t="s">
        <v>9</v>
      </c>
    </row>
    <row r="12" spans="1:8" x14ac:dyDescent="0.25">
      <c r="A12" s="59" t="s">
        <v>10</v>
      </c>
      <c r="B12" s="59" t="s">
        <v>11</v>
      </c>
      <c r="C12" s="59" t="s">
        <v>13</v>
      </c>
      <c r="D12" s="59" t="s">
        <v>12</v>
      </c>
      <c r="E12" s="59" t="s">
        <v>17</v>
      </c>
    </row>
    <row r="13" spans="1:8" x14ac:dyDescent="0.25">
      <c r="A13" s="59" t="s">
        <v>14</v>
      </c>
      <c r="B13" s="56">
        <v>350</v>
      </c>
      <c r="C13" s="56">
        <v>390</v>
      </c>
      <c r="D13" s="56">
        <v>430</v>
      </c>
      <c r="E13" s="59" t="s">
        <v>18</v>
      </c>
      <c r="F13" s="103" t="str">
        <f>IF(VINMAX/VINMIN&gt;3,"Please Keep Input Voltage &lt; 3:1","")</f>
        <v/>
      </c>
    </row>
    <row r="14" spans="1:8" x14ac:dyDescent="0.25">
      <c r="A14" s="59" t="s">
        <v>15</v>
      </c>
      <c r="B14" s="56">
        <v>30.4</v>
      </c>
      <c r="C14" s="56">
        <v>32</v>
      </c>
      <c r="D14" s="56">
        <v>33.6</v>
      </c>
      <c r="E14" s="59" t="s">
        <v>18</v>
      </c>
      <c r="F14" s="96" t="str">
        <f>IF(VOUT&lt;1.5,"The Minimum Output Voltage &gt; 1.5 V","")</f>
        <v/>
      </c>
      <c r="G14" s="55"/>
      <c r="H14" s="55"/>
    </row>
    <row r="15" spans="1:8" ht="31.5" x14ac:dyDescent="0.25">
      <c r="A15" s="61" t="s">
        <v>16</v>
      </c>
      <c r="D15" s="56">
        <v>1.6</v>
      </c>
      <c r="E15" s="59" t="s">
        <v>18</v>
      </c>
      <c r="F15" s="96"/>
    </row>
    <row r="16" spans="1:8" ht="18.75" x14ac:dyDescent="0.35">
      <c r="A16" s="61" t="s">
        <v>22</v>
      </c>
      <c r="D16" s="56">
        <v>1920</v>
      </c>
      <c r="E16" s="59" t="s">
        <v>19</v>
      </c>
    </row>
    <row r="17" spans="1:6" x14ac:dyDescent="0.25">
      <c r="A17" s="59" t="s">
        <v>24</v>
      </c>
      <c r="B17" s="57">
        <v>0.95</v>
      </c>
      <c r="D17" s="59" t="s">
        <v>20</v>
      </c>
      <c r="F17" s="96" t="str">
        <f>IF(Eff&gt;96%,"Please be Realistic with Efficiency Goal","")</f>
        <v/>
      </c>
    </row>
    <row r="18" spans="1:6" ht="18.75" x14ac:dyDescent="0.35">
      <c r="A18" s="59" t="s">
        <v>23</v>
      </c>
      <c r="C18" s="56">
        <v>200</v>
      </c>
      <c r="E18" s="59" t="s">
        <v>21</v>
      </c>
      <c r="F18" s="95" t="str">
        <f>IF(fs&gt;1000,"UCC28950 Can Only Achieve 1MHz Switching Frequency","")</f>
        <v/>
      </c>
    </row>
    <row r="19" spans="1:6" x14ac:dyDescent="0.25">
      <c r="A19" s="62"/>
      <c r="B19" s="62"/>
      <c r="C19" s="62"/>
      <c r="D19" s="62"/>
      <c r="E19" s="62"/>
      <c r="F19" s="62"/>
    </row>
    <row r="20" spans="1:6" x14ac:dyDescent="0.25">
      <c r="A20" s="91" t="s">
        <v>175</v>
      </c>
      <c r="B20" s="91"/>
      <c r="C20" s="91"/>
      <c r="D20" s="91"/>
      <c r="E20" s="91"/>
      <c r="F20" s="91"/>
    </row>
    <row r="21" spans="1:6" x14ac:dyDescent="0.25">
      <c r="A21" s="59" t="s">
        <v>10</v>
      </c>
      <c r="B21" s="59" t="s">
        <v>28</v>
      </c>
      <c r="D21" s="59" t="s">
        <v>17</v>
      </c>
    </row>
    <row r="22" spans="1:6" ht="18.75" x14ac:dyDescent="0.35">
      <c r="A22" s="59" t="s">
        <v>114</v>
      </c>
      <c r="B22" s="64" t="s">
        <v>25</v>
      </c>
      <c r="C22" s="64">
        <f>pout*(1-Eff)/Eff</f>
        <v>101.05263157894747</v>
      </c>
      <c r="D22" s="59" t="s">
        <v>19</v>
      </c>
    </row>
    <row r="23" spans="1:6" ht="18.75" x14ac:dyDescent="0.35">
      <c r="A23" s="59" t="s">
        <v>115</v>
      </c>
      <c r="B23" s="59" t="s">
        <v>26</v>
      </c>
      <c r="C23" s="59">
        <v>0.5</v>
      </c>
      <c r="D23" s="59" t="s">
        <v>18</v>
      </c>
    </row>
    <row r="24" spans="1:6" ht="18.75" x14ac:dyDescent="0.35">
      <c r="A24" s="59" t="s">
        <v>30</v>
      </c>
      <c r="B24" s="59" t="s">
        <v>32</v>
      </c>
      <c r="C24" s="70">
        <v>0.9</v>
      </c>
    </row>
    <row r="25" spans="1:6" ht="18.75" x14ac:dyDescent="0.35">
      <c r="A25" s="59" t="s">
        <v>29</v>
      </c>
      <c r="B25" s="59" t="s">
        <v>27</v>
      </c>
      <c r="C25" s="65">
        <f>((VINMIN-2*vrdson)*dmax)/(VOUT+vrdson)</f>
        <v>9.6646153846153862</v>
      </c>
      <c r="D25" s="59" t="s">
        <v>20</v>
      </c>
      <c r="E25" s="59" t="s">
        <v>20</v>
      </c>
    </row>
    <row r="26" spans="1:6" x14ac:dyDescent="0.25">
      <c r="A26" s="59" t="s">
        <v>305</v>
      </c>
      <c r="B26" s="59" t="s">
        <v>27</v>
      </c>
      <c r="C26" s="105">
        <v>9.6</v>
      </c>
    </row>
    <row r="27" spans="1:6" s="65" customFormat="1" ht="18.75" x14ac:dyDescent="0.35">
      <c r="A27" s="65" t="s">
        <v>31</v>
      </c>
      <c r="B27" s="65" t="s">
        <v>33</v>
      </c>
      <c r="C27" s="111">
        <f>((VOUT+vrdson)*_taa1)/((vin-2*vrdson))</f>
        <v>0.80205655526992292</v>
      </c>
      <c r="D27" s="104" t="str">
        <f>IF(dtyp&gt;1,"Turns Ratio a1 in Error, Pleast Adjust","")</f>
        <v/>
      </c>
    </row>
    <row r="28" spans="1:6" ht="18.75" x14ac:dyDescent="0.35">
      <c r="A28" s="59" t="s">
        <v>34</v>
      </c>
      <c r="B28" s="83" t="s">
        <v>244</v>
      </c>
      <c r="C28" s="65">
        <f>pout*0.1/VOUT</f>
        <v>6</v>
      </c>
      <c r="D28" s="59" t="s">
        <v>35</v>
      </c>
    </row>
    <row r="29" spans="1:6" ht="18.75" x14ac:dyDescent="0.35">
      <c r="A29" s="59" t="s">
        <v>263</v>
      </c>
      <c r="B29" s="59" t="s">
        <v>36</v>
      </c>
      <c r="C29" s="65">
        <f>(vin*(1-dtyp)*_taa1)/(dilout*0.35*fs)</f>
        <v>1.7645244215938301</v>
      </c>
      <c r="D29" s="59" t="s">
        <v>37</v>
      </c>
    </row>
    <row r="30" spans="1:6" ht="18.75" x14ac:dyDescent="0.35">
      <c r="A30" s="59" t="s">
        <v>291</v>
      </c>
      <c r="B30" s="59" t="s">
        <v>38</v>
      </c>
      <c r="C30" s="64">
        <f>(pout/VOUT)+(dilout/2)</f>
        <v>63</v>
      </c>
      <c r="D30" s="59" t="s">
        <v>35</v>
      </c>
      <c r="E30" s="59" t="s">
        <v>20</v>
      </c>
    </row>
    <row r="31" spans="1:6" ht="18.75" x14ac:dyDescent="0.35">
      <c r="A31" s="59" t="s">
        <v>291</v>
      </c>
      <c r="B31" s="59" t="s">
        <v>39</v>
      </c>
      <c r="C31" s="64">
        <f>(pout/VOUT)-(dilout/2)</f>
        <v>57</v>
      </c>
      <c r="D31" s="59" t="s">
        <v>35</v>
      </c>
      <c r="E31" s="76"/>
    </row>
    <row r="32" spans="1:6" ht="18.75" x14ac:dyDescent="0.35">
      <c r="A32" s="59" t="s">
        <v>291</v>
      </c>
      <c r="B32" s="59" t="s">
        <v>41</v>
      </c>
      <c r="C32" s="64">
        <f>ips-(dilout/2)</f>
        <v>60</v>
      </c>
      <c r="D32" s="59" t="s">
        <v>35</v>
      </c>
      <c r="E32" s="65" t="s">
        <v>20</v>
      </c>
    </row>
    <row r="33" spans="1:5" ht="18.75" x14ac:dyDescent="0.35">
      <c r="A33" s="59" t="s">
        <v>245</v>
      </c>
      <c r="B33" s="59" t="s">
        <v>40</v>
      </c>
      <c r="C33" s="64">
        <f>((dmax/2)*(ips*ims+(((ips-ims)^2)/3)))^0.5</f>
        <v>40.265990612426265</v>
      </c>
      <c r="D33" s="59" t="s">
        <v>35</v>
      </c>
      <c r="E33" s="64" t="s">
        <v>20</v>
      </c>
    </row>
    <row r="34" spans="1:5" ht="18.75" x14ac:dyDescent="0.35">
      <c r="A34" s="59" t="s">
        <v>245</v>
      </c>
      <c r="B34" s="59" t="s">
        <v>42</v>
      </c>
      <c r="C34" s="64">
        <f>(((1-dmax)/2)*(ips*_ims2+(((ips-_ims2)^2)/3)))^0.5</f>
        <v>13.75318145012273</v>
      </c>
      <c r="D34" s="59" t="s">
        <v>35</v>
      </c>
      <c r="E34" s="59" t="s">
        <v>20</v>
      </c>
    </row>
    <row r="35" spans="1:5" ht="18.75" x14ac:dyDescent="0.35">
      <c r="A35" s="59" t="s">
        <v>245</v>
      </c>
      <c r="B35" s="59" t="s">
        <v>43</v>
      </c>
      <c r="C35" s="64">
        <f>(dilout/2)*((1-dmax)/6)^0.5</f>
        <v>0.38729833462074165</v>
      </c>
      <c r="D35" s="59" t="s">
        <v>35</v>
      </c>
      <c r="E35" s="59" t="s">
        <v>20</v>
      </c>
    </row>
    <row r="36" spans="1:5" ht="18.75" x14ac:dyDescent="0.35">
      <c r="A36" s="59" t="s">
        <v>264</v>
      </c>
      <c r="B36" s="59" t="s">
        <v>44</v>
      </c>
      <c r="C36" s="64">
        <f>(isrms1^2+isrms2^2+isrms3^2)^0.5</f>
        <v>42.551733219693887</v>
      </c>
      <c r="D36" s="59" t="s">
        <v>35</v>
      </c>
    </row>
    <row r="37" spans="1:5" ht="18.75" x14ac:dyDescent="0.35">
      <c r="A37" s="59" t="s">
        <v>292</v>
      </c>
      <c r="B37" s="83" t="s">
        <v>331</v>
      </c>
      <c r="C37" s="65">
        <f>(VINMIN*dmax)/(lmag*fs)</f>
        <v>0.89259178321678345</v>
      </c>
      <c r="D37" s="59" t="s">
        <v>35</v>
      </c>
    </row>
    <row r="38" spans="1:5" ht="18.75" x14ac:dyDescent="0.35">
      <c r="A38" s="59" t="s">
        <v>291</v>
      </c>
      <c r="B38" s="59" t="s">
        <v>46</v>
      </c>
      <c r="C38" s="65">
        <f>(((pout/(VOUT*Eff))+dilout/2)/_taa1)+dilmag</f>
        <v>7.7840391516378364</v>
      </c>
      <c r="D38" s="59" t="s">
        <v>35</v>
      </c>
    </row>
    <row r="39" spans="1:5" ht="18.75" x14ac:dyDescent="0.35">
      <c r="A39" s="59" t="s">
        <v>291</v>
      </c>
      <c r="B39" s="59" t="s">
        <v>47</v>
      </c>
      <c r="C39" s="65">
        <f>(((pout/(VOUT*Eff))-dilout/2)/_taa1)+dilmag</f>
        <v>7.1590391516378364</v>
      </c>
      <c r="D39" s="59" t="s">
        <v>35</v>
      </c>
    </row>
    <row r="40" spans="1:5" ht="18.75" x14ac:dyDescent="0.35">
      <c r="A40" s="59" t="s">
        <v>291</v>
      </c>
      <c r="B40" s="59" t="s">
        <v>48</v>
      </c>
      <c r="C40" s="65">
        <f>ipp-((dilout/2)/_ta1)</f>
        <v>7.4736284544076552</v>
      </c>
      <c r="D40" s="59" t="s">
        <v>35</v>
      </c>
    </row>
    <row r="41" spans="1:5" ht="18.75" x14ac:dyDescent="0.35">
      <c r="A41" s="59" t="s">
        <v>245</v>
      </c>
      <c r="B41" s="59" t="s">
        <v>49</v>
      </c>
      <c r="C41" s="65">
        <f>((dmax)*(ipp*imp+(((ipp-imp)^2)/3)))^0.5</f>
        <v>7.0901907195795051</v>
      </c>
      <c r="D41" s="59" t="s">
        <v>35</v>
      </c>
    </row>
    <row r="42" spans="1:5" ht="18.75" x14ac:dyDescent="0.35">
      <c r="A42" s="59" t="s">
        <v>245</v>
      </c>
      <c r="B42" s="59" t="s">
        <v>50</v>
      </c>
      <c r="C42" s="65">
        <f>(((1-dmax))*(ipp*_imp2+(((ipp-_imp2)^2)/3)))^0.5</f>
        <v>2.4126154845082279</v>
      </c>
      <c r="D42" s="59" t="s">
        <v>35</v>
      </c>
    </row>
    <row r="43" spans="1:5" ht="18.75" x14ac:dyDescent="0.35">
      <c r="A43" s="59" t="s">
        <v>293</v>
      </c>
      <c r="B43" s="59" t="s">
        <v>52</v>
      </c>
      <c r="C43" s="65">
        <f>((iprms1)^2+(iprms2)^2)^0.5</f>
        <v>7.4894270752908874</v>
      </c>
      <c r="D43" s="59" t="s">
        <v>35</v>
      </c>
    </row>
    <row r="44" spans="1:5" ht="18.75" x14ac:dyDescent="0.35">
      <c r="A44" s="59" t="s">
        <v>73</v>
      </c>
      <c r="B44" s="59" t="s">
        <v>36</v>
      </c>
      <c r="C44" s="105">
        <v>3.2</v>
      </c>
      <c r="D44" s="59" t="s">
        <v>37</v>
      </c>
      <c r="E44" s="95" t="str">
        <f>IF(lmag2&lt;lmag,"Please make Lmag &gt; or = Calculated Lmag","")</f>
        <v/>
      </c>
    </row>
    <row r="45" spans="1:5" ht="18.75" x14ac:dyDescent="0.35">
      <c r="A45" s="59" t="s">
        <v>55</v>
      </c>
      <c r="B45" s="59" t="s">
        <v>51</v>
      </c>
      <c r="C45" s="105">
        <v>40</v>
      </c>
      <c r="D45" s="59" t="s">
        <v>206</v>
      </c>
    </row>
    <row r="46" spans="1:5" ht="18.75" x14ac:dyDescent="0.35">
      <c r="A46" s="59" t="s">
        <v>56</v>
      </c>
      <c r="B46" s="59" t="s">
        <v>53</v>
      </c>
      <c r="C46" s="105">
        <v>0.8</v>
      </c>
      <c r="D46" s="59" t="s">
        <v>206</v>
      </c>
    </row>
    <row r="47" spans="1:5" ht="18.75" x14ac:dyDescent="0.35">
      <c r="A47" s="59" t="s">
        <v>300</v>
      </c>
      <c r="B47" s="59" t="s">
        <v>299</v>
      </c>
      <c r="C47" s="105">
        <v>10</v>
      </c>
      <c r="D47" s="59" t="s">
        <v>75</v>
      </c>
    </row>
    <row r="48" spans="1:5" ht="18.75" x14ac:dyDescent="0.35">
      <c r="A48" s="66" t="s">
        <v>57</v>
      </c>
      <c r="B48" s="59" t="s">
        <v>54</v>
      </c>
      <c r="C48" s="65">
        <f>2*((iprms^2*(dcrp/1000))+2*(isrms^2*(dcrs/1000)))</f>
        <v>10.281401433288018</v>
      </c>
      <c r="D48" s="59" t="s">
        <v>19</v>
      </c>
    </row>
    <row r="49" spans="1:7" ht="18.75" x14ac:dyDescent="0.35">
      <c r="A49" s="59" t="s">
        <v>58</v>
      </c>
      <c r="B49" s="59" t="s">
        <v>25</v>
      </c>
      <c r="C49" s="65">
        <f>pbudget-C48</f>
        <v>90.771230145659445</v>
      </c>
      <c r="D49" s="59" t="s">
        <v>19</v>
      </c>
      <c r="E49" s="95" t="str">
        <f>IF(C49&lt;0,"PBudget Cannot be Made with Selected Components","")</f>
        <v/>
      </c>
    </row>
    <row r="50" spans="1:7" x14ac:dyDescent="0.25">
      <c r="A50" s="91" t="s">
        <v>59</v>
      </c>
      <c r="B50" s="91"/>
      <c r="C50" s="91" t="s">
        <v>20</v>
      </c>
      <c r="D50" s="91"/>
      <c r="E50" s="91"/>
      <c r="F50" s="91"/>
    </row>
    <row r="51" spans="1:7" ht="18.75" x14ac:dyDescent="0.35">
      <c r="A51" s="66" t="s">
        <v>280</v>
      </c>
      <c r="B51" s="59" t="s">
        <v>70</v>
      </c>
      <c r="C51" s="4">
        <v>12</v>
      </c>
      <c r="D51" s="59" t="s">
        <v>18</v>
      </c>
      <c r="G51" s="59" t="s">
        <v>342</v>
      </c>
    </row>
    <row r="52" spans="1:7" ht="18.75" x14ac:dyDescent="0.35">
      <c r="A52" s="59" t="s">
        <v>61</v>
      </c>
      <c r="B52" s="59" t="s">
        <v>60</v>
      </c>
      <c r="C52" s="4">
        <v>200</v>
      </c>
      <c r="D52" s="59" t="s">
        <v>206</v>
      </c>
    </row>
    <row r="53" spans="1:7" ht="18.75" x14ac:dyDescent="0.35">
      <c r="A53" s="59" t="s">
        <v>62</v>
      </c>
      <c r="B53" s="59" t="s">
        <v>64</v>
      </c>
      <c r="C53" s="4">
        <v>450</v>
      </c>
      <c r="D53" s="59" t="s">
        <v>63</v>
      </c>
    </row>
    <row r="54" spans="1:7" ht="18.75" x14ac:dyDescent="0.35">
      <c r="A54" s="59" t="s">
        <v>116</v>
      </c>
      <c r="B54" s="59" t="s">
        <v>71</v>
      </c>
      <c r="C54" s="4">
        <v>48</v>
      </c>
      <c r="D54" s="59" t="s">
        <v>72</v>
      </c>
    </row>
    <row r="55" spans="1:7" ht="36" x14ac:dyDescent="0.35">
      <c r="A55" s="61" t="s">
        <v>117</v>
      </c>
      <c r="B55" s="59" t="s">
        <v>65</v>
      </c>
      <c r="C55" s="4">
        <v>25</v>
      </c>
      <c r="D55" s="59" t="s">
        <v>18</v>
      </c>
    </row>
    <row r="56" spans="1:7" ht="18.75" x14ac:dyDescent="0.35">
      <c r="A56" s="59" t="s">
        <v>66</v>
      </c>
      <c r="B56" s="59" t="s">
        <v>67</v>
      </c>
      <c r="C56" s="67">
        <f>C53*((C55/VINMAX)^0.5)</f>
        <v>108.50463498834272</v>
      </c>
      <c r="D56" s="59" t="s">
        <v>63</v>
      </c>
    </row>
    <row r="57" spans="1:7" ht="18.75" x14ac:dyDescent="0.35">
      <c r="A57" s="59" t="s">
        <v>69</v>
      </c>
      <c r="B57" s="59" t="s">
        <v>68</v>
      </c>
      <c r="C57" s="64">
        <f>((iprms^2)*(rdsonqa/1000)/2)+(2*(QAg*0.000000001)*vg*(fs*1000/2))</f>
        <v>5.7243517916100215</v>
      </c>
      <c r="D57" s="59" t="s">
        <v>19</v>
      </c>
    </row>
    <row r="58" spans="1:7" ht="18.75" x14ac:dyDescent="0.35">
      <c r="A58" s="59" t="s">
        <v>58</v>
      </c>
      <c r="B58" s="59" t="s">
        <v>25</v>
      </c>
      <c r="C58" s="64">
        <f>C49-4*C57</f>
        <v>67.873822979219355</v>
      </c>
      <c r="D58" s="59" t="s">
        <v>19</v>
      </c>
      <c r="E58" s="95" t="str">
        <f>IF(C58&lt;0,"PBudget Cannot be Made with Selected Components","")</f>
        <v/>
      </c>
    </row>
    <row r="59" spans="1:7" ht="18.75" x14ac:dyDescent="0.35">
      <c r="A59" s="91" t="s">
        <v>283</v>
      </c>
      <c r="B59" s="63"/>
      <c r="C59" s="68"/>
      <c r="D59" s="63"/>
      <c r="E59" s="91"/>
      <c r="F59" s="91"/>
    </row>
    <row r="60" spans="1:7" ht="18.75" x14ac:dyDescent="0.35">
      <c r="A60" s="59" t="s">
        <v>86</v>
      </c>
      <c r="B60" s="59" t="s">
        <v>74</v>
      </c>
      <c r="C60" s="65">
        <f>(((2*cossqaavg*0.000000000001)*((vin)^2)/((ipp/2)-(dilout/(2*_ta1)))^2)*1000000)-llk</f>
        <v>-7.4269324716927354</v>
      </c>
      <c r="D60" s="59" t="s">
        <v>75</v>
      </c>
      <c r="E60" s="95" t="str">
        <f>IF(C60&lt;0,"Calculated Ls is Negative and Ls Might Not be Needed, However, Leave a Place Holder for Ls Just in Case","")</f>
        <v>Calculated Ls is Negative and Ls Might Not be Needed, However, Leave a Place Holder for Ls Just in Case</v>
      </c>
    </row>
    <row r="61" spans="1:7" ht="18.75" x14ac:dyDescent="0.35">
      <c r="A61" s="59" t="s">
        <v>173</v>
      </c>
      <c r="B61" s="59" t="s">
        <v>74</v>
      </c>
      <c r="C61" s="105">
        <v>10</v>
      </c>
      <c r="D61" s="59" t="s">
        <v>75</v>
      </c>
    </row>
    <row r="62" spans="1:7" ht="18.75" x14ac:dyDescent="0.35">
      <c r="A62" s="59" t="s">
        <v>77</v>
      </c>
      <c r="B62" s="59" t="s">
        <v>76</v>
      </c>
      <c r="C62" s="105">
        <v>20</v>
      </c>
      <c r="D62" s="59" t="s">
        <v>206</v>
      </c>
    </row>
    <row r="63" spans="1:7" ht="18.75" x14ac:dyDescent="0.35">
      <c r="A63" s="59" t="s">
        <v>78</v>
      </c>
      <c r="B63" s="59" t="s">
        <v>79</v>
      </c>
      <c r="C63" s="64">
        <f>2*iprms^2*(C62*0.001)</f>
        <v>2.2436607166440088</v>
      </c>
      <c r="D63" s="59" t="s">
        <v>19</v>
      </c>
    </row>
    <row r="64" spans="1:7" ht="18.75" x14ac:dyDescent="0.35">
      <c r="A64" s="59" t="s">
        <v>58</v>
      </c>
      <c r="B64" s="59" t="s">
        <v>25</v>
      </c>
      <c r="C64" s="64">
        <f>C58-C63</f>
        <v>65.63016226257534</v>
      </c>
      <c r="D64" s="59" t="s">
        <v>19</v>
      </c>
      <c r="E64" s="95" t="str">
        <f>IF(C64&lt;0,"PBudget Cannot be Made with Selected Components","")</f>
        <v/>
      </c>
    </row>
    <row r="65" spans="1:7" ht="18.75" x14ac:dyDescent="0.35">
      <c r="A65" s="91" t="s">
        <v>284</v>
      </c>
      <c r="B65" s="63"/>
      <c r="C65" s="68"/>
      <c r="D65" s="63"/>
      <c r="E65" s="91"/>
      <c r="F65" s="91"/>
    </row>
    <row r="66" spans="1:7" ht="18.75" x14ac:dyDescent="0.35">
      <c r="A66" s="59" t="s">
        <v>87</v>
      </c>
      <c r="B66" s="59" t="s">
        <v>80</v>
      </c>
      <c r="C66" s="65">
        <f>((VOUT*(1-dtyp))/(dilout*fs))*1000</f>
        <v>5.2784918594687227</v>
      </c>
      <c r="D66" s="59" t="s">
        <v>75</v>
      </c>
    </row>
    <row r="67" spans="1:7" ht="18.75" x14ac:dyDescent="0.35">
      <c r="A67" s="59" t="s">
        <v>84</v>
      </c>
      <c r="B67" s="59" t="s">
        <v>85</v>
      </c>
      <c r="C67" s="64">
        <f>((pout/VOUT)^2+(dilout/(3^0.5))^2)^0.5</f>
        <v>60.099916805266879</v>
      </c>
      <c r="D67" s="59" t="s">
        <v>35</v>
      </c>
    </row>
    <row r="68" spans="1:7" ht="18.75" x14ac:dyDescent="0.35">
      <c r="A68" s="59" t="s">
        <v>174</v>
      </c>
      <c r="B68" s="59" t="s">
        <v>80</v>
      </c>
      <c r="C68" s="105">
        <v>3.4</v>
      </c>
      <c r="D68" s="59" t="s">
        <v>75</v>
      </c>
      <c r="E68" s="59" t="str">
        <f>IF(lout&lt;(C66*0.9),"Lout needs to be &gt; or = Lout Calculated","")</f>
        <v>Lout needs to be &gt; or = Lout Calculated</v>
      </c>
    </row>
    <row r="69" spans="1:7" ht="18.75" x14ac:dyDescent="0.35">
      <c r="A69" s="59" t="s">
        <v>265</v>
      </c>
      <c r="B69" s="59" t="s">
        <v>81</v>
      </c>
      <c r="C69" s="105">
        <v>1.3</v>
      </c>
      <c r="D69" s="59" t="s">
        <v>206</v>
      </c>
    </row>
    <row r="70" spans="1:7" ht="18.75" x14ac:dyDescent="0.35">
      <c r="A70" s="59" t="s">
        <v>82</v>
      </c>
      <c r="B70" s="59" t="s">
        <v>83</v>
      </c>
      <c r="C70" s="59">
        <f>2*iloutrms^2*dcrlout*0.001</f>
        <v>9.3912000000000013</v>
      </c>
      <c r="D70" s="59" t="s">
        <v>19</v>
      </c>
    </row>
    <row r="71" spans="1:7" ht="18.75" x14ac:dyDescent="0.35">
      <c r="A71" s="59" t="s">
        <v>58</v>
      </c>
      <c r="B71" s="59" t="s">
        <v>25</v>
      </c>
      <c r="C71" s="64">
        <f>C64-C70</f>
        <v>56.238962262575342</v>
      </c>
      <c r="D71" s="59" t="s">
        <v>19</v>
      </c>
      <c r="E71" s="95" t="str">
        <f>IF(C71&lt;0,"PBudget Cannot be Made with Selected Components","")</f>
        <v/>
      </c>
    </row>
    <row r="72" spans="1:7" ht="18.75" x14ac:dyDescent="0.35">
      <c r="A72" s="91" t="s">
        <v>285</v>
      </c>
      <c r="B72" s="63"/>
      <c r="C72" s="68"/>
      <c r="D72" s="63"/>
      <c r="E72" s="91"/>
      <c r="F72" s="91"/>
    </row>
    <row r="73" spans="1:7" ht="18.75" x14ac:dyDescent="0.35">
      <c r="A73" s="59" t="s">
        <v>89</v>
      </c>
      <c r="B73" s="59" t="s">
        <v>88</v>
      </c>
      <c r="C73" s="59">
        <f>((lout*pout*0.9)/VOUT)/VOUT</f>
        <v>5.7374999999999998</v>
      </c>
      <c r="D73" s="59" t="s">
        <v>90</v>
      </c>
    </row>
    <row r="74" spans="1:7" ht="18.75" x14ac:dyDescent="0.35">
      <c r="A74" s="59" t="s">
        <v>207</v>
      </c>
      <c r="B74" s="59" t="s">
        <v>91</v>
      </c>
      <c r="C74" s="59">
        <f>((VTRAN*0.9)/((pout*0.9)/VOUT))*10^3</f>
        <v>26.666666666666668</v>
      </c>
      <c r="D74" s="59" t="s">
        <v>206</v>
      </c>
    </row>
    <row r="75" spans="1:7" ht="18.75" x14ac:dyDescent="0.35">
      <c r="A75" s="59" t="s">
        <v>208</v>
      </c>
      <c r="B75" s="59" t="s">
        <v>92</v>
      </c>
      <c r="C75" s="59">
        <f>(pout*0.9*thu)/(VOUT*VTRAN*0.1)</f>
        <v>1936.4062499999995</v>
      </c>
      <c r="D75" s="59" t="s">
        <v>93</v>
      </c>
    </row>
    <row r="76" spans="1:7" ht="18.75" x14ac:dyDescent="0.35">
      <c r="A76" s="59" t="s">
        <v>99</v>
      </c>
      <c r="B76" s="59" t="s">
        <v>98</v>
      </c>
      <c r="C76" s="64">
        <f>dilout/(3^0.5)</f>
        <v>3.4641016151377548</v>
      </c>
      <c r="D76" s="59" t="s">
        <v>35</v>
      </c>
    </row>
    <row r="77" spans="1:7" x14ac:dyDescent="0.25">
      <c r="A77" s="59" t="s">
        <v>176</v>
      </c>
      <c r="B77" s="59" t="s">
        <v>94</v>
      </c>
      <c r="C77" s="4">
        <v>4</v>
      </c>
      <c r="G77" s="59" t="s">
        <v>339</v>
      </c>
    </row>
    <row r="78" spans="1:7" x14ac:dyDescent="0.25">
      <c r="A78" s="59" t="s">
        <v>95</v>
      </c>
      <c r="C78" s="4">
        <v>470</v>
      </c>
      <c r="D78" s="59" t="s">
        <v>93</v>
      </c>
    </row>
    <row r="79" spans="1:7" x14ac:dyDescent="0.25">
      <c r="A79" s="59" t="s">
        <v>96</v>
      </c>
      <c r="C79" s="4">
        <v>27</v>
      </c>
      <c r="D79" s="59" t="s">
        <v>206</v>
      </c>
    </row>
    <row r="80" spans="1:7" ht="18.75" x14ac:dyDescent="0.35">
      <c r="A80" s="59" t="s">
        <v>97</v>
      </c>
      <c r="B80" s="59" t="s">
        <v>92</v>
      </c>
      <c r="C80" s="59">
        <f>C77*C78</f>
        <v>1880</v>
      </c>
      <c r="D80" s="59" t="s">
        <v>93</v>
      </c>
    </row>
    <row r="81" spans="1:7" ht="18.75" x14ac:dyDescent="0.35">
      <c r="A81" s="59" t="s">
        <v>266</v>
      </c>
      <c r="B81" s="59" t="s">
        <v>91</v>
      </c>
      <c r="C81" s="65">
        <f>C79/C77</f>
        <v>6.75</v>
      </c>
      <c r="D81" s="59" t="s">
        <v>206</v>
      </c>
    </row>
    <row r="82" spans="1:7" ht="18.75" x14ac:dyDescent="0.35">
      <c r="A82" s="59" t="s">
        <v>100</v>
      </c>
      <c r="B82" s="59" t="s">
        <v>101</v>
      </c>
      <c r="C82" s="64">
        <f>(C76^2)*C81*0.001</f>
        <v>8.1000000000000016E-2</v>
      </c>
      <c r="D82" s="59" t="s">
        <v>19</v>
      </c>
    </row>
    <row r="83" spans="1:7" ht="18.75" x14ac:dyDescent="0.35">
      <c r="A83" s="59" t="s">
        <v>58</v>
      </c>
      <c r="B83" s="59" t="s">
        <v>25</v>
      </c>
      <c r="C83" s="64">
        <f>C71-C82</f>
        <v>56.157962262575339</v>
      </c>
      <c r="D83" s="59" t="s">
        <v>19</v>
      </c>
      <c r="E83" s="95" t="str">
        <f>IF(C83&lt;0,"PBudget Cannot be Made with Selected Components","")</f>
        <v/>
      </c>
    </row>
    <row r="84" spans="1:7" x14ac:dyDescent="0.25">
      <c r="A84" s="91" t="s">
        <v>110</v>
      </c>
      <c r="B84" s="63"/>
      <c r="C84" s="63"/>
      <c r="D84" s="63"/>
      <c r="E84" s="91"/>
      <c r="F84" s="91"/>
    </row>
    <row r="85" spans="1:7" ht="18.75" x14ac:dyDescent="0.35">
      <c r="A85" s="59" t="s">
        <v>136</v>
      </c>
      <c r="B85" s="59" t="s">
        <v>118</v>
      </c>
      <c r="C85" s="5">
        <f>2*VINMAX/_taa1</f>
        <v>89.583333333333343</v>
      </c>
      <c r="D85" s="59" t="s">
        <v>18</v>
      </c>
      <c r="G85" s="59" t="s">
        <v>340</v>
      </c>
    </row>
    <row r="86" spans="1:7" ht="18.75" x14ac:dyDescent="0.35">
      <c r="A86" s="59" t="s">
        <v>113</v>
      </c>
      <c r="B86" s="59" t="s">
        <v>111</v>
      </c>
      <c r="C86" s="4">
        <v>82</v>
      </c>
      <c r="D86" s="59" t="s">
        <v>72</v>
      </c>
    </row>
    <row r="87" spans="1:7" ht="18.75" x14ac:dyDescent="0.35">
      <c r="A87" s="59" t="s">
        <v>267</v>
      </c>
      <c r="B87" s="59" t="s">
        <v>112</v>
      </c>
      <c r="C87" s="4">
        <v>5.4</v>
      </c>
      <c r="D87" s="59" t="s">
        <v>206</v>
      </c>
      <c r="G87" s="59" t="s">
        <v>341</v>
      </c>
    </row>
    <row r="88" spans="1:7" ht="18.75" x14ac:dyDescent="0.35">
      <c r="A88" s="59" t="s">
        <v>120</v>
      </c>
      <c r="B88" s="59" t="s">
        <v>119</v>
      </c>
      <c r="C88" s="4">
        <v>75</v>
      </c>
      <c r="D88" s="59" t="s">
        <v>18</v>
      </c>
    </row>
    <row r="89" spans="1:7" ht="18.75" x14ac:dyDescent="0.35">
      <c r="A89" s="59" t="s">
        <v>122</v>
      </c>
      <c r="B89" s="59" t="s">
        <v>121</v>
      </c>
      <c r="C89" s="4">
        <v>740</v>
      </c>
      <c r="D89" s="59" t="s">
        <v>63</v>
      </c>
    </row>
    <row r="90" spans="1:7" ht="18.75" x14ac:dyDescent="0.35">
      <c r="A90" s="59" t="s">
        <v>124</v>
      </c>
      <c r="B90" s="59" t="s">
        <v>123</v>
      </c>
      <c r="C90" s="67">
        <f>C89*((C85/C88)^0.5)</f>
        <v>808.75075133058021</v>
      </c>
      <c r="D90" s="59" t="s">
        <v>63</v>
      </c>
    </row>
    <row r="91" spans="1:7" ht="18.75" x14ac:dyDescent="0.35">
      <c r="A91" s="59" t="s">
        <v>125</v>
      </c>
      <c r="B91" s="59" t="s">
        <v>126</v>
      </c>
      <c r="C91" s="64">
        <f>isrms</f>
        <v>42.551733219693887</v>
      </c>
      <c r="D91" s="59" t="s">
        <v>35</v>
      </c>
    </row>
    <row r="92" spans="1:7" ht="18.75" x14ac:dyDescent="0.35">
      <c r="A92" s="59" t="s">
        <v>129</v>
      </c>
      <c r="B92" s="59" t="s">
        <v>127</v>
      </c>
      <c r="C92" s="4">
        <v>30</v>
      </c>
      <c r="D92" s="59" t="s">
        <v>72</v>
      </c>
    </row>
    <row r="93" spans="1:7" ht="18.75" x14ac:dyDescent="0.35">
      <c r="A93" s="59" t="s">
        <v>268</v>
      </c>
      <c r="B93" s="59" t="s">
        <v>128</v>
      </c>
      <c r="C93" s="4">
        <v>17.5</v>
      </c>
      <c r="D93" s="59" t="s">
        <v>72</v>
      </c>
    </row>
    <row r="94" spans="1:7" ht="18.75" x14ac:dyDescent="0.35">
      <c r="A94" s="59" t="s">
        <v>130</v>
      </c>
      <c r="B94" s="59" t="s">
        <v>131</v>
      </c>
      <c r="C94" s="3">
        <v>4</v>
      </c>
      <c r="D94" s="59" t="s">
        <v>35</v>
      </c>
    </row>
    <row r="95" spans="1:7" ht="18.75" x14ac:dyDescent="0.35">
      <c r="A95" s="59" t="s">
        <v>269</v>
      </c>
      <c r="B95" s="59" t="s">
        <v>132</v>
      </c>
      <c r="C95" s="59">
        <f>(C92-C93)/(C94/2)</f>
        <v>6.25</v>
      </c>
      <c r="D95" s="59" t="s">
        <v>133</v>
      </c>
    </row>
    <row r="96" spans="1:7" ht="18.75" x14ac:dyDescent="0.35">
      <c r="A96" s="59" t="s">
        <v>134</v>
      </c>
      <c r="B96" s="59" t="s">
        <v>135</v>
      </c>
      <c r="C96" s="64">
        <f>((isrms^2)*(rdsonqe*0.001))+(pout/VOUT)*vdsqe*(2*tr*0.000000001)*((fs*1000)/2)+(2*(cossqeavg*0.000000000001)*(vdsqe^2)*((fs*1000)/2))+(2*(qeg*0.000000001)*vg*((fs*1000)/2))</f>
        <v>17.991133037508899</v>
      </c>
      <c r="D96" s="59" t="s">
        <v>19</v>
      </c>
      <c r="E96" s="64">
        <f>(isrms^2)*(rdsonqe*0.001)</f>
        <v>9.777510000000003</v>
      </c>
      <c r="G96" s="59" t="s">
        <v>343</v>
      </c>
    </row>
    <row r="97" spans="1:6" ht="18.75" x14ac:dyDescent="0.35">
      <c r="A97" s="61" t="s">
        <v>58</v>
      </c>
      <c r="B97" s="59" t="s">
        <v>25</v>
      </c>
      <c r="C97" s="64">
        <f>C83-2*C96</f>
        <v>20.175696187557541</v>
      </c>
      <c r="D97" s="59" t="s">
        <v>19</v>
      </c>
      <c r="E97" s="95" t="str">
        <f>IF(C97&lt;0,"PBudget Cannot be Made with Selected Components","")</f>
        <v/>
      </c>
    </row>
    <row r="98" spans="1:6" ht="18.75" x14ac:dyDescent="0.35">
      <c r="A98" s="91" t="s">
        <v>286</v>
      </c>
      <c r="B98" s="63"/>
      <c r="C98" s="68"/>
      <c r="D98" s="63"/>
      <c r="E98" s="91"/>
      <c r="F98" s="91"/>
    </row>
    <row r="99" spans="1:6" hidden="1" x14ac:dyDescent="0.25">
      <c r="A99" s="61" t="s">
        <v>167</v>
      </c>
      <c r="B99" s="59" t="s">
        <v>166</v>
      </c>
      <c r="C99" s="64">
        <f>1/(2*PI()*(ls*0.000001*2*cossqaavg*0.000000000001)^0.5)</f>
        <v>3416496.5668625822</v>
      </c>
      <c r="D99" s="59" t="s">
        <v>20</v>
      </c>
    </row>
    <row r="100" spans="1:6" ht="18.75" x14ac:dyDescent="0.35">
      <c r="A100" s="61" t="s">
        <v>168</v>
      </c>
      <c r="B100" s="59" t="s">
        <v>165</v>
      </c>
      <c r="C100" s="67">
        <f>2.2*1000000000/(C99*4)</f>
        <v>160.98362437550256</v>
      </c>
      <c r="D100" s="59" t="s">
        <v>133</v>
      </c>
    </row>
    <row r="101" spans="1:6" hidden="1" x14ac:dyDescent="0.25">
      <c r="A101" s="61" t="s">
        <v>171</v>
      </c>
      <c r="B101" s="59" t="s">
        <v>172</v>
      </c>
      <c r="C101" s="69">
        <f>1/(fs*1000)</f>
        <v>5.0000000000000004E-6</v>
      </c>
      <c r="E101" s="59" t="s">
        <v>20</v>
      </c>
    </row>
    <row r="102" spans="1:6" ht="18.75" x14ac:dyDescent="0.35">
      <c r="A102" s="61" t="s">
        <v>170</v>
      </c>
      <c r="B102" s="59" t="s">
        <v>169</v>
      </c>
      <c r="C102" s="70">
        <f>(C101-C100*0.000000001)/C101</f>
        <v>0.96780327512489939</v>
      </c>
    </row>
    <row r="103" spans="1:6" ht="18.75" x14ac:dyDescent="0.35">
      <c r="A103" s="59" t="s">
        <v>103</v>
      </c>
      <c r="B103" s="59" t="s">
        <v>102</v>
      </c>
      <c r="C103" s="64">
        <f>((2*dclamp*vrdson)+(_taa1*(VOUT+vrdson)))/dclamp</f>
        <v>323.37956619823899</v>
      </c>
      <c r="D103" s="59" t="s">
        <v>18</v>
      </c>
    </row>
    <row r="104" spans="1:6" ht="18.75" x14ac:dyDescent="0.35">
      <c r="A104" s="59" t="s">
        <v>105</v>
      </c>
      <c r="B104" s="59" t="s">
        <v>104</v>
      </c>
      <c r="C104" s="67">
        <f>((2*pout*(1/60))/(vin^2-C103^2))*1000000</f>
        <v>1346.6410600879105</v>
      </c>
      <c r="D104" s="59" t="s">
        <v>93</v>
      </c>
      <c r="E104" s="95" t="str">
        <f>IF(VINMIN&lt;200,"Non-PFC Cin Capacitance Cannot Be Calculated, Use Other Method","")</f>
        <v/>
      </c>
    </row>
    <row r="105" spans="1:6" ht="18.75" x14ac:dyDescent="0.35">
      <c r="A105" s="59" t="s">
        <v>106</v>
      </c>
      <c r="B105" s="59" t="s">
        <v>107</v>
      </c>
      <c r="C105" s="64">
        <f>(    (iprms1^2)    -(        ( pout/(VINMIN*Eff)       )   ^2)           )^0.5</f>
        <v>4.1142061542795654</v>
      </c>
      <c r="D105" s="59" t="s">
        <v>35</v>
      </c>
    </row>
    <row r="106" spans="1:6" ht="18.75" x14ac:dyDescent="0.35">
      <c r="A106" s="59" t="s">
        <v>177</v>
      </c>
      <c r="B106" s="59" t="s">
        <v>104</v>
      </c>
      <c r="C106" s="4">
        <v>1200</v>
      </c>
      <c r="D106" s="59" t="s">
        <v>93</v>
      </c>
    </row>
    <row r="107" spans="1:6" ht="18.75" x14ac:dyDescent="0.35">
      <c r="A107" s="59" t="s">
        <v>270</v>
      </c>
      <c r="B107" s="59" t="s">
        <v>108</v>
      </c>
      <c r="C107" s="4">
        <v>50</v>
      </c>
      <c r="D107" s="59" t="s">
        <v>206</v>
      </c>
    </row>
    <row r="108" spans="1:6" ht="18.75" x14ac:dyDescent="0.35">
      <c r="A108" s="59" t="s">
        <v>271</v>
      </c>
      <c r="B108" s="59" t="s">
        <v>109</v>
      </c>
      <c r="C108" s="64">
        <f>(C105^2)*(C107*0.001)</f>
        <v>0.84633461399559262</v>
      </c>
      <c r="D108" s="59" t="s">
        <v>19</v>
      </c>
    </row>
    <row r="109" spans="1:6" ht="54.75" customHeight="1" x14ac:dyDescent="0.35">
      <c r="A109" s="61" t="s">
        <v>287</v>
      </c>
      <c r="B109" s="59" t="s">
        <v>25</v>
      </c>
      <c r="C109" s="64">
        <f>C97-C108</f>
        <v>19.32936157356195</v>
      </c>
      <c r="D109" s="59" t="s">
        <v>19</v>
      </c>
      <c r="E109" s="95" t="str">
        <f>IF(C109&lt;0,"PBudget Cannot be Made with Selected Components","")</f>
        <v/>
      </c>
    </row>
    <row r="110" spans="1:6" ht="18.75" x14ac:dyDescent="0.35">
      <c r="A110" s="91" t="s">
        <v>295</v>
      </c>
      <c r="B110" s="91"/>
      <c r="C110" s="94" t="s">
        <v>20</v>
      </c>
      <c r="D110" s="91" t="s">
        <v>20</v>
      </c>
      <c r="E110" s="91" t="s">
        <v>20</v>
      </c>
      <c r="F110" s="91"/>
    </row>
    <row r="111" spans="1:6" ht="18.75" x14ac:dyDescent="0.35">
      <c r="A111" s="59" t="s">
        <v>138</v>
      </c>
      <c r="B111" s="59" t="s">
        <v>137</v>
      </c>
      <c r="C111" s="4">
        <v>100</v>
      </c>
    </row>
    <row r="112" spans="1:6" ht="18.75" x14ac:dyDescent="0.35">
      <c r="A112" s="59" t="s">
        <v>159</v>
      </c>
      <c r="B112" s="59" t="s">
        <v>158</v>
      </c>
      <c r="C112" s="5">
        <f>((pout/(VOUT)+(dilout/2))/(Eff*_taa1))+((VINMIN*dmax)/(lmag2*fs))</f>
        <v>7.4000822368421062</v>
      </c>
      <c r="D112" s="59" t="s">
        <v>35</v>
      </c>
      <c r="E112" s="59" t="s">
        <v>20</v>
      </c>
    </row>
    <row r="113" spans="1:6" ht="18.75" x14ac:dyDescent="0.35">
      <c r="A113" s="59" t="s">
        <v>156</v>
      </c>
      <c r="B113" s="59" t="s">
        <v>155</v>
      </c>
      <c r="C113" s="64">
        <f>(2-0.2)/((_ipp1/_ta2)*1.1)</f>
        <v>22.112776371819539</v>
      </c>
      <c r="D113" s="59" t="s">
        <v>157</v>
      </c>
    </row>
    <row r="114" spans="1:6" ht="18.75" x14ac:dyDescent="0.35">
      <c r="A114" s="59" t="s">
        <v>297</v>
      </c>
      <c r="B114" s="59" t="s">
        <v>155</v>
      </c>
      <c r="C114" s="59">
        <f>(IF((10^(LOG(C113)-INT(LOG(C113)))*100)-VLOOKUP((10^(LOG(C113)-INT(LOG(C113)))*100),E48_s:E48_f,1)&lt;VLOOKUP((10^(LOG(C113)-INT(LOG(C113)))*100),E48_s:E48_f,2)-(10^(LOG(C113)-INT(LOG(C113)))*100),VLOOKUP((10^(LOG(C113)-INT(LOG(C113)))*100),E48_s:E48_f,1),VLOOKUP((10^(LOG(C113)-INT(LOG(C113)))*100),E48_s:E48_f,2)))*10^INT(LOG(C113))/100</f>
        <v>22.6</v>
      </c>
      <c r="D114" s="59" t="s">
        <v>157</v>
      </c>
    </row>
    <row r="115" spans="1:6" ht="18.75" x14ac:dyDescent="0.35">
      <c r="A115" s="59" t="s">
        <v>160</v>
      </c>
      <c r="B115" s="59" t="s">
        <v>155</v>
      </c>
      <c r="C115" s="4">
        <v>19.600000000000001</v>
      </c>
      <c r="D115" s="59" t="s">
        <v>157</v>
      </c>
      <c r="E115" s="59" t="s">
        <v>20</v>
      </c>
    </row>
    <row r="116" spans="1:6" ht="18.75" x14ac:dyDescent="0.35">
      <c r="A116" s="59" t="s">
        <v>161</v>
      </c>
      <c r="B116" s="59" t="s">
        <v>162</v>
      </c>
      <c r="C116" s="65">
        <f>((iprms1/_ta2)^2)*C115</f>
        <v>9.8530776702422218E-2</v>
      </c>
      <c r="D116" s="59" t="s">
        <v>19</v>
      </c>
    </row>
    <row r="117" spans="1:6" ht="18.75" x14ac:dyDescent="0.35">
      <c r="A117" s="59" t="s">
        <v>164</v>
      </c>
      <c r="B117" s="59" t="s">
        <v>163</v>
      </c>
      <c r="C117" s="64">
        <f>(2*(dclamp))/(1-dclamp)</f>
        <v>60.118119397501303</v>
      </c>
      <c r="D117" s="59" t="s">
        <v>18</v>
      </c>
    </row>
    <row r="118" spans="1:6" ht="18.75" x14ac:dyDescent="0.35">
      <c r="A118" s="59" t="s">
        <v>178</v>
      </c>
      <c r="B118" s="59" t="s">
        <v>179</v>
      </c>
      <c r="C118" s="65">
        <f>(pout*0.6)/(VINMIN*Eff*_ta2)</f>
        <v>3.4646616541353384E-2</v>
      </c>
      <c r="D118" s="59" t="s">
        <v>19</v>
      </c>
    </row>
    <row r="119" spans="1:6" ht="18.75" x14ac:dyDescent="0.35">
      <c r="A119" s="91" t="s">
        <v>288</v>
      </c>
      <c r="B119" s="63"/>
      <c r="C119" s="63"/>
      <c r="D119" s="63"/>
      <c r="E119" s="91" t="s">
        <v>20</v>
      </c>
      <c r="F119" s="91"/>
    </row>
    <row r="120" spans="1:6" x14ac:dyDescent="0.25">
      <c r="A120" s="59" t="s">
        <v>272</v>
      </c>
      <c r="B120" s="59" t="s">
        <v>180</v>
      </c>
      <c r="C120" s="4">
        <v>2.5</v>
      </c>
      <c r="D120" s="59" t="s">
        <v>18</v>
      </c>
      <c r="E120" s="95" t="str">
        <f>IF(_va1&gt;VOUT,"V1 Needs to be &lt; VOUT",IF(_va1=VOUT,"V1 Needs to be &lt; VOUT",""))</f>
        <v/>
      </c>
      <c r="F120" s="95"/>
    </row>
    <row r="121" spans="1:6" ht="18.75" x14ac:dyDescent="0.35">
      <c r="A121" s="59" t="s">
        <v>182</v>
      </c>
      <c r="B121" s="59" t="s">
        <v>181</v>
      </c>
      <c r="C121" s="4">
        <v>2.37</v>
      </c>
      <c r="D121" s="59" t="s">
        <v>209</v>
      </c>
      <c r="E121" s="95" t="str">
        <f>IF(_va1&lt;0.5,"V1 Needs to be Greater than 0.5","")</f>
        <v/>
      </c>
    </row>
    <row r="122" spans="1:6" ht="18.75" x14ac:dyDescent="0.35">
      <c r="A122" s="59" t="s">
        <v>184</v>
      </c>
      <c r="B122" s="59" t="s">
        <v>183</v>
      </c>
      <c r="C122" s="59">
        <f>C121*(5-C120)/C120</f>
        <v>2.37</v>
      </c>
      <c r="D122" s="59" t="s">
        <v>209</v>
      </c>
    </row>
    <row r="123" spans="1:6" ht="18.75" x14ac:dyDescent="0.35">
      <c r="A123" s="59" t="s">
        <v>297</v>
      </c>
      <c r="B123" s="59" t="s">
        <v>183</v>
      </c>
      <c r="C123" s="59">
        <f>(IF((10^(LOG(C122)-INT(LOG(C122)))*100)-VLOOKUP((10^(LOG(C122)-INT(LOG(C122)))*100),E48_s:E48_f,1)&lt;VLOOKUP((10^(LOG(C122)-INT(LOG(C122)))*100),E48_s:E48_f,2)-(10^(LOG(C122)-INT(LOG(C122)))*100),VLOOKUP((10^(LOG(C122)-INT(LOG(C122)))*100),E48_s:E48_f,1),VLOOKUP((10^(LOG(C122)-INT(LOG(C122)))*100),E48_s:E48_f,2)))*10^INT(LOG(C122))/100</f>
        <v>2.37</v>
      </c>
      <c r="D123" s="59" t="s">
        <v>209</v>
      </c>
    </row>
    <row r="124" spans="1:6" ht="18.75" x14ac:dyDescent="0.35">
      <c r="A124" s="59" t="s">
        <v>325</v>
      </c>
      <c r="B124" s="59" t="s">
        <v>183</v>
      </c>
      <c r="C124" s="4">
        <v>2.37</v>
      </c>
      <c r="D124" s="59" t="s">
        <v>209</v>
      </c>
    </row>
    <row r="125" spans="1:6" ht="18.75" x14ac:dyDescent="0.35">
      <c r="A125" s="59" t="s">
        <v>182</v>
      </c>
      <c r="B125" s="59" t="s">
        <v>185</v>
      </c>
      <c r="C125" s="4">
        <v>2.37</v>
      </c>
      <c r="D125" s="59" t="s">
        <v>209</v>
      </c>
    </row>
    <row r="126" spans="1:6" ht="18.75" x14ac:dyDescent="0.35">
      <c r="A126" s="59" t="s">
        <v>184</v>
      </c>
      <c r="B126" s="59" t="s">
        <v>186</v>
      </c>
      <c r="C126" s="65">
        <f>C125*(VOUT-_va1)/_va1</f>
        <v>27.966000000000001</v>
      </c>
      <c r="D126" s="59" t="s">
        <v>209</v>
      </c>
    </row>
    <row r="127" spans="1:6" ht="18.75" x14ac:dyDescent="0.35">
      <c r="A127" s="59" t="s">
        <v>297</v>
      </c>
      <c r="B127" s="59" t="s">
        <v>186</v>
      </c>
      <c r="C127" s="59">
        <f>(IF((10^(LOG(C126)-INT(LOG(C126)))*100)-VLOOKUP((10^(LOG(C126)-INT(LOG(C126)))*100),E48_s:E48_f,1)&lt;VLOOKUP((10^(LOG(C126)-INT(LOG(C126)))*100),E48_s:E48_f,2)-(10^(LOG(C126)-INT(LOG(C126)))*100),VLOOKUP((10^(LOG(C126)-INT(LOG(C126)))*100),E48_s:E48_f,1),VLOOKUP((10^(LOG(C126)-INT(LOG(C126)))*100),E48_s:E48_f,2)))*10^INT(LOG(C126))/100</f>
        <v>27.4</v>
      </c>
      <c r="D127" s="59" t="s">
        <v>209</v>
      </c>
    </row>
    <row r="128" spans="1:6" ht="18.75" x14ac:dyDescent="0.35">
      <c r="A128" s="59" t="s">
        <v>325</v>
      </c>
      <c r="B128" s="59" t="s">
        <v>186</v>
      </c>
      <c r="C128" s="4">
        <v>27.4</v>
      </c>
      <c r="D128" s="59" t="s">
        <v>209</v>
      </c>
    </row>
    <row r="129" spans="1:5" ht="18.75" x14ac:dyDescent="0.35">
      <c r="A129" s="59" t="s">
        <v>281</v>
      </c>
      <c r="B129" s="59" t="s">
        <v>282</v>
      </c>
      <c r="C129" s="59">
        <f>fs/4</f>
        <v>50</v>
      </c>
      <c r="D129" s="59" t="s">
        <v>21</v>
      </c>
    </row>
    <row r="130" spans="1:5" ht="18.75" x14ac:dyDescent="0.35">
      <c r="A130" s="59" t="s">
        <v>188</v>
      </c>
      <c r="B130" s="59" t="s">
        <v>187</v>
      </c>
      <c r="C130" s="59">
        <f>fs/40</f>
        <v>5</v>
      </c>
      <c r="D130" s="59" t="s">
        <v>21</v>
      </c>
    </row>
    <row r="131" spans="1:5" ht="18.75" x14ac:dyDescent="0.35">
      <c r="A131" s="59" t="s">
        <v>273</v>
      </c>
      <c r="B131" s="59" t="s">
        <v>189</v>
      </c>
      <c r="C131" s="59">
        <f>(VOUT^2)/(pout*0.1)</f>
        <v>5.333333333333333</v>
      </c>
      <c r="D131" s="59" t="s">
        <v>157</v>
      </c>
    </row>
    <row r="132" spans="1:5" hidden="1" x14ac:dyDescent="0.25">
      <c r="A132" s="58" t="s">
        <v>190</v>
      </c>
      <c r="B132" s="58" t="s">
        <v>191</v>
      </c>
      <c r="C132" s="58">
        <f>_ta1*_ta2*(rload/RS)</f>
        <v>262.98273155416013</v>
      </c>
      <c r="D132" s="59" t="s">
        <v>20</v>
      </c>
    </row>
    <row r="133" spans="1:5" hidden="1" x14ac:dyDescent="0.25">
      <c r="A133" s="86" t="s">
        <v>198</v>
      </c>
      <c r="B133" s="58"/>
      <c r="C133" s="58" t="str">
        <f>(COMPLEX(1,2*PI()*fc*1000*esrcout*0.001*cout*0.000001))</f>
        <v>1+0.398668107740545i</v>
      </c>
    </row>
    <row r="134" spans="1:5" hidden="1" x14ac:dyDescent="0.25">
      <c r="A134" s="58" t="s">
        <v>192</v>
      </c>
      <c r="B134" s="58" t="s">
        <v>193</v>
      </c>
      <c r="C134" s="58" t="str">
        <f>IMDIV((COMPLEX(1,2*PI()*fc*1000*esrcout*0.001*cout*0.000001)),(COMPLEX(1,2*PI()*fc*1000*rload*cout*0.000001)))</f>
        <v>0.00127569043899992-0.00317058332418896i</v>
      </c>
    </row>
    <row r="135" spans="1:5" hidden="1" x14ac:dyDescent="0.25">
      <c r="A135" s="58" t="s">
        <v>194</v>
      </c>
      <c r="B135" s="58" t="s">
        <v>194</v>
      </c>
      <c r="C135" s="58" t="str">
        <f>IMDIV(1,(COMPLEX((1-(fc/fpp)^2),(fc/fpp))))</f>
        <v>0.999899000101-0.100999899000101i</v>
      </c>
    </row>
    <row r="136" spans="1:5" hidden="1" x14ac:dyDescent="0.25">
      <c r="A136" s="58" t="s">
        <v>195</v>
      </c>
      <c r="C136" s="58" t="str">
        <f>IMPRODUCT(n1divd1,d2a)</f>
        <v>0.000955332998879936-0.00329910770108783i</v>
      </c>
      <c r="E136" s="58"/>
    </row>
    <row r="137" spans="1:5" hidden="1" x14ac:dyDescent="0.25">
      <c r="A137" s="58" t="s">
        <v>196</v>
      </c>
      <c r="C137" s="58" t="str">
        <f>IMPRODUCT(constant,C136)</f>
        <v>0.251236081589273-0.867608354923443i</v>
      </c>
    </row>
    <row r="138" spans="1:5" hidden="1" x14ac:dyDescent="0.25">
      <c r="A138" s="58" t="s">
        <v>197</v>
      </c>
      <c r="B138" s="58" t="s">
        <v>199</v>
      </c>
      <c r="C138" s="58">
        <f>IMABS(C137)</f>
        <v>0.90325180665487459</v>
      </c>
    </row>
    <row r="139" spans="1:5" ht="18.75" x14ac:dyDescent="0.35">
      <c r="A139" s="59" t="s">
        <v>201</v>
      </c>
      <c r="B139" s="59" t="s">
        <v>200</v>
      </c>
      <c r="C139" s="64">
        <f>RII/C138</f>
        <v>30.334841068819831</v>
      </c>
      <c r="D139" s="59" t="s">
        <v>209</v>
      </c>
    </row>
    <row r="140" spans="1:5" ht="18.75" x14ac:dyDescent="0.35">
      <c r="A140" s="59" t="s">
        <v>297</v>
      </c>
      <c r="B140" s="59" t="s">
        <v>200</v>
      </c>
      <c r="C140" s="59">
        <f>(IF((10^(LOG(C139)-INT(LOG(C139)))*100)-VLOOKUP((10^(LOG(C139)-INT(LOG(C139)))*100),E48_s:E48_f,1)&lt;VLOOKUP((10^(LOG(C139)-INT(LOG(C139)))*100),E48_s:E48_f,2)-(10^(LOG(C139)-INT(LOG(C139)))*100),VLOOKUP((10^(LOG(C139)-INT(LOG(C139)))*100),E48_s:E48_f,1),VLOOKUP((10^(LOG(C139)-INT(LOG(C139)))*100),E48_s:E48_f,2)))*10^INT(LOG(C139))/100</f>
        <v>30.1</v>
      </c>
      <c r="D140" s="59" t="s">
        <v>209</v>
      </c>
    </row>
    <row r="141" spans="1:5" ht="18.75" x14ac:dyDescent="0.35">
      <c r="A141" s="59" t="s">
        <v>325</v>
      </c>
      <c r="B141" s="59" t="s">
        <v>200</v>
      </c>
      <c r="C141" s="4">
        <v>27.4</v>
      </c>
      <c r="D141" s="59" t="s">
        <v>209</v>
      </c>
    </row>
    <row r="142" spans="1:5" ht="18.75" x14ac:dyDescent="0.35">
      <c r="A142" s="59" t="s">
        <v>205</v>
      </c>
      <c r="B142" s="59" t="s">
        <v>202</v>
      </c>
      <c r="C142" s="64">
        <f>(1/(2*PI()*C141*(fc/5)))*10^3</f>
        <v>5.8085745653976408</v>
      </c>
      <c r="D142" s="59" t="s">
        <v>203</v>
      </c>
      <c r="E142" s="64"/>
    </row>
    <row r="143" spans="1:5" ht="18" customHeight="1" x14ac:dyDescent="0.25">
      <c r="A143" s="59" t="s">
        <v>296</v>
      </c>
      <c r="B143" s="59" t="s">
        <v>211</v>
      </c>
      <c r="C143" s="71">
        <f>IF(C142&lt;10000,C144*10^INT(LOG(C142)),C145*10^INT(LOG(C142)))</f>
        <v>5.6</v>
      </c>
      <c r="D143" s="59" t="s">
        <v>203</v>
      </c>
    </row>
    <row r="144" spans="1:5" ht="18" hidden="1" customHeight="1" x14ac:dyDescent="0.25">
      <c r="A144" s="58" t="s">
        <v>212</v>
      </c>
      <c r="C144" s="72">
        <f>IF((10^(LOG(C142)-INT(LOG(C142))))-VLOOKUP((10^(LOG(C142)-INT(LOG(C142)))),c_s1:C_f1,1)&lt;VLOOKUP((10^(LOG(C142)-INT(LOG(C142)))),c_s1:C_f1,2)-(10^(LOG(C142)-INT(LOG(C142)))),VLOOKUP((10^(LOG(C142)-INT(LOG(C142)))),c_s1:C_f1,1),VLOOKUP((10^(LOG(C142)-INT(LOG(C142)))),c_s1:C_f1,2))</f>
        <v>5.6</v>
      </c>
    </row>
    <row r="145" spans="1:5" ht="18" hidden="1" customHeight="1" x14ac:dyDescent="0.25">
      <c r="A145" s="58" t="s">
        <v>213</v>
      </c>
      <c r="C145" s="72">
        <f>IF((10^(LOG(C142)-INT(LOG(C142))))-VLOOKUP((10^(LOG(C142)-INT(LOG(C142)))),C_s2:C_f2,1)&lt;VLOOKUP((10^(LOG(C142)-INT(LOG(C142)))),C_s2:C_f2,2)-(10^(LOG(C142)-INT(LOG(C142)))),VLOOKUP((10^(LOG(C142)-INT(LOG(C142)))),C_s2:C_f2,1),VLOOKUP((10^(LOG(C142)-INT(LOG(C142)))),C_s2:C_f2,2))</f>
        <v>6.8</v>
      </c>
    </row>
    <row r="146" spans="1:5" ht="18.75" x14ac:dyDescent="0.35">
      <c r="A146" s="59" t="s">
        <v>327</v>
      </c>
      <c r="B146" s="59" t="s">
        <v>202</v>
      </c>
      <c r="C146" s="4">
        <v>5.6</v>
      </c>
      <c r="D146" s="59" t="s">
        <v>203</v>
      </c>
    </row>
    <row r="147" spans="1:5" ht="18.75" x14ac:dyDescent="0.35">
      <c r="A147" s="73" t="s">
        <v>204</v>
      </c>
      <c r="B147" s="73" t="s">
        <v>210</v>
      </c>
      <c r="C147" s="74">
        <f>1000000/(2*PI()*rf*fc*2)</f>
        <v>580.85745653976403</v>
      </c>
      <c r="D147" s="59" t="s">
        <v>63</v>
      </c>
      <c r="E147" s="74" t="s">
        <v>20</v>
      </c>
    </row>
    <row r="148" spans="1:5" ht="18.75" x14ac:dyDescent="0.35">
      <c r="A148" s="59" t="s">
        <v>296</v>
      </c>
      <c r="B148" s="73" t="s">
        <v>210</v>
      </c>
      <c r="C148" s="71">
        <f>IF(C147&lt;10000,C149*10^INT(LOG(C147)),C150*10^INT(LOG(C147)))</f>
        <v>560</v>
      </c>
      <c r="D148" s="59" t="s">
        <v>63</v>
      </c>
      <c r="E148" s="71"/>
    </row>
    <row r="149" spans="1:5" hidden="1" x14ac:dyDescent="0.25">
      <c r="A149" s="58" t="s">
        <v>212</v>
      </c>
      <c r="B149" s="75"/>
      <c r="C149" s="72">
        <f>IF((10^(LOG(C147)-INT(LOG(C147))))-VLOOKUP((10^(LOG(C147)-INT(LOG(C147)))),c_s1:C_f1,1)&lt;VLOOKUP((10^(LOG(C147)-INT(LOG(C147)))),c_s1:C_f1,2)-(10^(LOG(C147)-INT(LOG(C147)))),VLOOKUP((10^(LOG(C147)-INT(LOG(C147)))),c_s1:C_f1,1),VLOOKUP((10^(LOG(C147)-INT(LOG(C147)))),c_s1:C_f1,2))</f>
        <v>5.6</v>
      </c>
    </row>
    <row r="150" spans="1:5" hidden="1" x14ac:dyDescent="0.25">
      <c r="A150" s="58" t="s">
        <v>213</v>
      </c>
      <c r="B150" s="75"/>
      <c r="C150" s="72">
        <f>IF((10^(LOG(C147)-INT(LOG(C147))))-VLOOKUP((10^(LOG(C147)-INT(LOG(C147)))),C_s2:C_f2,1)&lt;VLOOKUP((10^(LOG(C147)-INT(LOG(C147)))),C_s2:C_f2,2)-(10^(LOG(C147)-INT(LOG(C147)))),VLOOKUP((10^(LOG(C147)-INT(LOG(C147)))),C_s2:C_f2,1),VLOOKUP((10^(LOG(C147)-INT(LOG(C147)))),C_s2:C_f2,2))</f>
        <v>6.8</v>
      </c>
    </row>
    <row r="151" spans="1:5" ht="18.75" x14ac:dyDescent="0.35">
      <c r="A151" s="59" t="s">
        <v>327</v>
      </c>
      <c r="B151" s="59" t="s">
        <v>210</v>
      </c>
      <c r="C151" s="4">
        <v>560</v>
      </c>
      <c r="D151" s="59" t="s">
        <v>63</v>
      </c>
    </row>
    <row r="152" spans="1:5" x14ac:dyDescent="0.25">
      <c r="C152" s="4"/>
    </row>
    <row r="153" spans="1:5" x14ac:dyDescent="0.25">
      <c r="C153" s="4"/>
    </row>
    <row r="154" spans="1:5" x14ac:dyDescent="0.25">
      <c r="C154" s="4"/>
    </row>
    <row r="155" spans="1:5" x14ac:dyDescent="0.25">
      <c r="C155" s="4"/>
    </row>
    <row r="156" spans="1:5" x14ac:dyDescent="0.25">
      <c r="C156" s="4"/>
    </row>
    <row r="157" spans="1:5" x14ac:dyDescent="0.25">
      <c r="C157" s="4"/>
    </row>
    <row r="158" spans="1:5" x14ac:dyDescent="0.25">
      <c r="C158" s="4"/>
    </row>
    <row r="159" spans="1:5" x14ac:dyDescent="0.25">
      <c r="C159" s="4"/>
    </row>
    <row r="160" spans="1:5" x14ac:dyDescent="0.25">
      <c r="C160" s="4"/>
    </row>
    <row r="161" spans="1:6" x14ac:dyDescent="0.25">
      <c r="C161" s="4"/>
    </row>
    <row r="162" spans="1:6" x14ac:dyDescent="0.25">
      <c r="C162" s="4"/>
    </row>
    <row r="163" spans="1:6" x14ac:dyDescent="0.25">
      <c r="C163" s="4"/>
    </row>
    <row r="164" spans="1:6" x14ac:dyDescent="0.25">
      <c r="C164" s="4"/>
    </row>
    <row r="165" spans="1:6" x14ac:dyDescent="0.25">
      <c r="C165" s="4"/>
    </row>
    <row r="166" spans="1:6" x14ac:dyDescent="0.25">
      <c r="C166" s="4"/>
    </row>
    <row r="167" spans="1:6" x14ac:dyDescent="0.25">
      <c r="C167" s="4"/>
    </row>
    <row r="168" spans="1:6" x14ac:dyDescent="0.25">
      <c r="C168" s="4"/>
    </row>
    <row r="169" spans="1:6" x14ac:dyDescent="0.25">
      <c r="C169" s="4"/>
    </row>
    <row r="170" spans="1:6" x14ac:dyDescent="0.25">
      <c r="C170" s="4"/>
    </row>
    <row r="171" spans="1:6" x14ac:dyDescent="0.25">
      <c r="C171" s="4"/>
    </row>
    <row r="172" spans="1:6" x14ac:dyDescent="0.25">
      <c r="C172" s="4"/>
    </row>
    <row r="173" spans="1:6" ht="18.75" x14ac:dyDescent="0.35">
      <c r="A173" s="91" t="s">
        <v>289</v>
      </c>
      <c r="B173" s="63"/>
      <c r="C173" s="63"/>
      <c r="D173" s="63"/>
      <c r="E173" s="91" t="s">
        <v>20</v>
      </c>
      <c r="F173" s="91"/>
    </row>
    <row r="174" spans="1:6" ht="18.75" x14ac:dyDescent="0.35">
      <c r="A174" s="73" t="s">
        <v>215</v>
      </c>
      <c r="B174" s="73" t="s">
        <v>214</v>
      </c>
      <c r="C174" s="4">
        <v>60</v>
      </c>
      <c r="D174" s="59" t="s">
        <v>216</v>
      </c>
    </row>
    <row r="175" spans="1:6" ht="18.75" x14ac:dyDescent="0.35">
      <c r="A175" s="73" t="s">
        <v>274</v>
      </c>
      <c r="B175" s="73" t="s">
        <v>217</v>
      </c>
      <c r="C175" s="74">
        <f>(C174)*(25)/(_va1+0.55)</f>
        <v>491.80327868852464</v>
      </c>
      <c r="D175" s="59" t="s">
        <v>203</v>
      </c>
    </row>
    <row r="176" spans="1:6" ht="18.75" x14ac:dyDescent="0.35">
      <c r="A176" s="59" t="s">
        <v>296</v>
      </c>
      <c r="B176" s="73" t="s">
        <v>217</v>
      </c>
      <c r="C176" s="71">
        <f>IF(C175&lt;10000,C177*10^INT(LOG(C175)),C178*10^INT(LOG(C175)))</f>
        <v>470</v>
      </c>
      <c r="D176" s="59" t="s">
        <v>203</v>
      </c>
    </row>
    <row r="177" spans="1:6" hidden="1" x14ac:dyDescent="0.25">
      <c r="A177" s="58" t="s">
        <v>212</v>
      </c>
      <c r="B177" s="75"/>
      <c r="C177" s="72">
        <f>IF((10^(LOG(C175)-INT(LOG(C175))))-VLOOKUP((10^(LOG(C175)-INT(LOG(C175)))),c_s1:C_f1,1)&lt;VLOOKUP((10^(LOG(C175)-INT(LOG(C175)))),c_s1:C_f1,2)-(10^(LOG(C175)-INT(LOG(C175)))),VLOOKUP((10^(LOG(C175)-INT(LOG(C175)))),c_s1:C_f1,1),VLOOKUP((10^(LOG(C175)-INT(LOG(C175)))),c_s1:C_f1,2))</f>
        <v>4.7</v>
      </c>
    </row>
    <row r="178" spans="1:6" hidden="1" x14ac:dyDescent="0.25">
      <c r="A178" s="58" t="s">
        <v>218</v>
      </c>
      <c r="B178" s="75"/>
      <c r="C178" s="72">
        <f>IF((10^(LOG(C175)-INT(LOG(C175))))-VLOOKUP((10^(LOG(C175)-INT(LOG(C175)))),C_s2:C_f2,1)&lt;VLOOKUP((10^(LOG(C175)-INT(LOG(C175)))),C_s2:C_f2,2)-(10^(LOG(C175)-INT(LOG(C175)))),VLOOKUP((10^(LOG(C175)-INT(LOG(C175)))),C_s2:C_f2,1),VLOOKUP((10^(LOG(C175)-INT(LOG(C175)))),C_s2:C_f2,2))</f>
        <v>4.7</v>
      </c>
    </row>
    <row r="179" spans="1:6" ht="18.75" x14ac:dyDescent="0.35">
      <c r="A179" s="59" t="s">
        <v>327</v>
      </c>
      <c r="B179" s="59" t="s">
        <v>217</v>
      </c>
      <c r="C179" s="4">
        <v>470</v>
      </c>
      <c r="D179" s="59" t="s">
        <v>203</v>
      </c>
    </row>
    <row r="180" spans="1:6" ht="18.75" x14ac:dyDescent="0.35">
      <c r="A180" s="91" t="s">
        <v>315</v>
      </c>
      <c r="B180" s="63"/>
      <c r="C180" s="63"/>
      <c r="D180" s="63"/>
      <c r="E180" s="91" t="s">
        <v>20</v>
      </c>
      <c r="F180" s="91"/>
    </row>
    <row r="181" spans="1:6" ht="18.75" x14ac:dyDescent="0.35">
      <c r="A181" s="73" t="s">
        <v>275</v>
      </c>
      <c r="B181" s="73" t="s">
        <v>219</v>
      </c>
      <c r="C181" s="74">
        <f>tdelay</f>
        <v>160.98362437550256</v>
      </c>
      <c r="D181" s="59" t="s">
        <v>133</v>
      </c>
    </row>
    <row r="182" spans="1:6" ht="18.75" x14ac:dyDescent="0.35">
      <c r="A182" s="73" t="s">
        <v>314</v>
      </c>
      <c r="B182" s="73" t="s">
        <v>219</v>
      </c>
      <c r="C182" s="3">
        <v>200</v>
      </c>
      <c r="D182" s="59" t="s">
        <v>133</v>
      </c>
    </row>
    <row r="183" spans="1:6" ht="18.75" x14ac:dyDescent="0.35">
      <c r="A183" s="73" t="s">
        <v>309</v>
      </c>
      <c r="B183" s="73" t="s">
        <v>306</v>
      </c>
      <c r="C183" s="105">
        <v>8.25</v>
      </c>
      <c r="D183" s="59" t="s">
        <v>209</v>
      </c>
    </row>
    <row r="184" spans="1:6" ht="18.75" x14ac:dyDescent="0.35">
      <c r="A184" s="73" t="s">
        <v>308</v>
      </c>
      <c r="B184" s="73" t="s">
        <v>307</v>
      </c>
      <c r="C184" s="5">
        <f>IF(tabset&gt;155, 0.2, 1.8)</f>
        <v>0.2</v>
      </c>
      <c r="D184" s="59" t="s">
        <v>18</v>
      </c>
    </row>
    <row r="185" spans="1:6" ht="18.75" x14ac:dyDescent="0.35">
      <c r="A185" s="73" t="s">
        <v>310</v>
      </c>
      <c r="B185" s="73" t="s">
        <v>311</v>
      </c>
      <c r="C185" s="107">
        <f>C183*C184/(5-C184)</f>
        <v>0.34375000000000006</v>
      </c>
      <c r="D185" s="59" t="s">
        <v>209</v>
      </c>
    </row>
    <row r="186" spans="1:6" ht="18.75" x14ac:dyDescent="0.35">
      <c r="A186" s="59" t="s">
        <v>297</v>
      </c>
      <c r="B186" s="73" t="s">
        <v>311</v>
      </c>
      <c r="C186" s="59">
        <f>(IF((10^(LOG(C185)-INT(LOG(C185)))*100)-VLOOKUP((10^(LOG(C185)-INT(LOG(C185)))*100),E48_s:E48_f,1)&lt;VLOOKUP((10^(LOG(C185)-INT(LOG(C185)))*100),E48_s:E48_f,2)-(10^(LOG(C185)-INT(LOG(C185)))*100),VLOOKUP((10^(LOG(C185)-INT(LOG(C185)))*100),E48_s:E48_f,1),VLOOKUP((10^(LOG(C185)-INT(LOG(C185)))*100),E48_s:E48_f,2)))*10^INT(LOG(C185))/100</f>
        <v>0.34800000000000003</v>
      </c>
      <c r="D186" s="59" t="s">
        <v>209</v>
      </c>
    </row>
    <row r="187" spans="1:6" ht="18.75" x14ac:dyDescent="0.35">
      <c r="A187" s="73" t="s">
        <v>312</v>
      </c>
      <c r="B187" s="73" t="s">
        <v>311</v>
      </c>
      <c r="C187" s="108">
        <v>0.34799999999999998</v>
      </c>
      <c r="D187" s="59" t="s">
        <v>209</v>
      </c>
    </row>
    <row r="188" spans="1:6" ht="18.75" x14ac:dyDescent="0.35">
      <c r="A188" s="73" t="s">
        <v>313</v>
      </c>
      <c r="B188" s="73" t="s">
        <v>307</v>
      </c>
      <c r="C188" s="107">
        <f>5*C187/(C183+C187)</f>
        <v>0.2023726448011165</v>
      </c>
      <c r="D188" s="59" t="s">
        <v>18</v>
      </c>
    </row>
    <row r="189" spans="1:6" ht="18.75" x14ac:dyDescent="0.35">
      <c r="A189" s="59" t="s">
        <v>276</v>
      </c>
      <c r="B189" s="73" t="s">
        <v>220</v>
      </c>
      <c r="C189" s="5">
        <f>(tabset-5)*(0.15+(C188*1.46))/5</f>
        <v>17.373098394975571</v>
      </c>
      <c r="D189" s="59" t="s">
        <v>209</v>
      </c>
    </row>
    <row r="190" spans="1:6" ht="18.75" x14ac:dyDescent="0.35">
      <c r="A190" s="59" t="s">
        <v>297</v>
      </c>
      <c r="B190" s="73" t="s">
        <v>220</v>
      </c>
      <c r="C190" s="59">
        <f>(IF((10^(LOG(C189)-INT(LOG(C189)))*100)-VLOOKUP((10^(LOG(C189)-INT(LOG(C189)))*100),E48_s:E48_f,1)&lt;VLOOKUP((10^(LOG(C189)-INT(LOG(C189)))*100),E48_s:E48_f,2)-(10^(LOG(C189)-INT(LOG(C189)))*100),VLOOKUP((10^(LOG(C189)-INT(LOG(C189)))*100),E48_s:E48_f,1),VLOOKUP((10^(LOG(C189)-INT(LOG(C189)))*100),E48_s:E48_f,2)))*10^INT(LOG(C189))/100</f>
        <v>17.8</v>
      </c>
      <c r="D190" s="59" t="s">
        <v>209</v>
      </c>
    </row>
    <row r="191" spans="1:6" ht="18.75" x14ac:dyDescent="0.35">
      <c r="A191" s="59" t="s">
        <v>328</v>
      </c>
      <c r="B191" s="73" t="s">
        <v>220</v>
      </c>
      <c r="C191" s="4">
        <v>17.8</v>
      </c>
      <c r="D191" s="59" t="s">
        <v>209</v>
      </c>
    </row>
    <row r="192" spans="1:6" ht="18.75" x14ac:dyDescent="0.35">
      <c r="A192" s="91" t="s">
        <v>316</v>
      </c>
      <c r="B192" s="63"/>
      <c r="C192" s="63"/>
      <c r="D192" s="63"/>
      <c r="E192" s="91" t="s">
        <v>20</v>
      </c>
      <c r="F192" s="91"/>
    </row>
    <row r="193" spans="1:6" ht="18.75" x14ac:dyDescent="0.35">
      <c r="A193" s="59" t="s">
        <v>277</v>
      </c>
      <c r="B193" s="73" t="s">
        <v>222</v>
      </c>
      <c r="C193" s="74">
        <f>tdelay</f>
        <v>160.98362437550256</v>
      </c>
      <c r="D193" s="59" t="s">
        <v>133</v>
      </c>
    </row>
    <row r="194" spans="1:6" ht="18.75" x14ac:dyDescent="0.35">
      <c r="A194" s="73" t="s">
        <v>314</v>
      </c>
      <c r="B194" s="73" t="s">
        <v>222</v>
      </c>
      <c r="C194" s="3">
        <v>300</v>
      </c>
      <c r="D194" s="59" t="s">
        <v>133</v>
      </c>
    </row>
    <row r="195" spans="1:6" ht="18.75" x14ac:dyDescent="0.35">
      <c r="A195" s="59" t="s">
        <v>276</v>
      </c>
      <c r="B195" s="73" t="s">
        <v>221</v>
      </c>
      <c r="C195" s="5">
        <f>(tcdset-5)*(0.15+(vadel*1.46))/5</f>
        <v>26.282379623168168</v>
      </c>
      <c r="D195" s="59" t="s">
        <v>209</v>
      </c>
    </row>
    <row r="196" spans="1:6" ht="18.75" x14ac:dyDescent="0.35">
      <c r="A196" s="59" t="s">
        <v>297</v>
      </c>
      <c r="B196" s="73" t="s">
        <v>221</v>
      </c>
      <c r="C196" s="59">
        <f>(IF((10^(LOG(C195)-INT(LOG(C195)))*100)-VLOOKUP((10^(LOG(C195)-INT(LOG(C195)))*100),E48_s:E48_f,1)&lt;VLOOKUP((10^(LOG(C195)-INT(LOG(C195)))*100),E48_s:E48_f,2)-(10^(LOG(C195)-INT(LOG(C195)))*100),VLOOKUP((10^(LOG(C195)-INT(LOG(C195)))*100),E48_s:E48_f,1),VLOOKUP((10^(LOG(C195)-INT(LOG(C195)))*100),E48_s:E48_f,2)))*10^INT(LOG(C195))/100</f>
        <v>26.1</v>
      </c>
      <c r="D196" s="59" t="s">
        <v>209</v>
      </c>
    </row>
    <row r="197" spans="1:6" ht="18.75" x14ac:dyDescent="0.35">
      <c r="A197" s="59" t="s">
        <v>328</v>
      </c>
      <c r="B197" s="73" t="s">
        <v>221</v>
      </c>
      <c r="C197" s="4">
        <v>26.1</v>
      </c>
      <c r="D197" s="59" t="s">
        <v>209</v>
      </c>
    </row>
    <row r="198" spans="1:6" ht="18.75" x14ac:dyDescent="0.35">
      <c r="A198" s="91" t="s">
        <v>326</v>
      </c>
      <c r="B198" s="63"/>
      <c r="C198" s="63"/>
      <c r="D198" s="63"/>
      <c r="E198" s="91" t="s">
        <v>20</v>
      </c>
      <c r="F198" s="91"/>
    </row>
    <row r="199" spans="1:6" ht="18.75" x14ac:dyDescent="0.35">
      <c r="A199" s="59" t="s">
        <v>223</v>
      </c>
      <c r="B199" s="59" t="s">
        <v>323</v>
      </c>
      <c r="C199" s="59">
        <f>C182/2</f>
        <v>100</v>
      </c>
      <c r="D199" s="59" t="s">
        <v>133</v>
      </c>
    </row>
    <row r="200" spans="1:6" ht="18.75" x14ac:dyDescent="0.35">
      <c r="A200" s="59" t="s">
        <v>324</v>
      </c>
      <c r="B200" s="59" t="s">
        <v>323</v>
      </c>
      <c r="C200" s="4">
        <v>100</v>
      </c>
      <c r="D200" s="59" t="s">
        <v>133</v>
      </c>
    </row>
    <row r="201" spans="1:6" ht="18.75" x14ac:dyDescent="0.35">
      <c r="A201" s="73" t="s">
        <v>318</v>
      </c>
      <c r="B201" s="59" t="s">
        <v>317</v>
      </c>
      <c r="C201" s="4">
        <v>8.25</v>
      </c>
      <c r="D201" s="59" t="s">
        <v>209</v>
      </c>
    </row>
    <row r="202" spans="1:6" ht="18.75" x14ac:dyDescent="0.35">
      <c r="A202" s="73" t="s">
        <v>321</v>
      </c>
      <c r="B202" s="59" t="s">
        <v>322</v>
      </c>
      <c r="C202" s="55">
        <f>IF(tafset&lt;170, 0.2,1.7)</f>
        <v>0.2</v>
      </c>
      <c r="D202" s="59" t="s">
        <v>18</v>
      </c>
    </row>
    <row r="203" spans="1:6" ht="18.75" x14ac:dyDescent="0.35">
      <c r="A203" s="73" t="s">
        <v>319</v>
      </c>
      <c r="B203" s="59" t="s">
        <v>320</v>
      </c>
      <c r="C203" s="106">
        <f>C202*C201/(5-C202)</f>
        <v>0.34375000000000006</v>
      </c>
      <c r="D203" s="59" t="s">
        <v>209</v>
      </c>
    </row>
    <row r="204" spans="1:6" ht="18.75" x14ac:dyDescent="0.35">
      <c r="A204" s="59" t="s">
        <v>297</v>
      </c>
      <c r="B204" s="59" t="s">
        <v>320</v>
      </c>
      <c r="C204" s="59">
        <f>(IF((10^(LOG(C203)-INT(LOG(C203)))*100)-VLOOKUP((10^(LOG(C203)-INT(LOG(C203)))*100),E48_s:E48_f,1)&lt;VLOOKUP((10^(LOG(C203)-INT(LOG(C203)))*100),E48_s:E48_f,2)-(10^(LOG(C203)-INT(LOG(C203)))*100),VLOOKUP((10^(LOG(C203)-INT(LOG(C203)))*100),E48_s:E48_f,1),VLOOKUP((10^(LOG(C203)-INT(LOG(C203)))*100),E48_s:E48_f,2)))*10^INT(LOG(C203))/100</f>
        <v>0.34800000000000003</v>
      </c>
      <c r="D204" s="59" t="s">
        <v>209</v>
      </c>
    </row>
    <row r="205" spans="1:6" ht="18.75" x14ac:dyDescent="0.35">
      <c r="A205" s="59" t="s">
        <v>325</v>
      </c>
      <c r="B205" s="59" t="s">
        <v>320</v>
      </c>
      <c r="C205" s="4">
        <v>0.34799999999999998</v>
      </c>
      <c r="D205" s="59" t="s">
        <v>209</v>
      </c>
    </row>
    <row r="206" spans="1:6" ht="18.75" x14ac:dyDescent="0.35">
      <c r="A206" s="73" t="s">
        <v>321</v>
      </c>
      <c r="B206" s="59" t="s">
        <v>322</v>
      </c>
      <c r="C206" s="79">
        <f>5*C205/(C205+C201)</f>
        <v>0.2023726448011165</v>
      </c>
      <c r="D206" s="59" t="s">
        <v>18</v>
      </c>
    </row>
    <row r="207" spans="1:6" ht="18.75" x14ac:dyDescent="0.35">
      <c r="A207" s="59" t="s">
        <v>276</v>
      </c>
      <c r="B207" s="73" t="s">
        <v>224</v>
      </c>
      <c r="C207" s="5">
        <f>(tafset-4)*(2.65-(C206*1.32))/5</f>
        <v>45.751067690160504</v>
      </c>
      <c r="D207" s="59" t="s">
        <v>209</v>
      </c>
    </row>
    <row r="208" spans="1:6" ht="18.75" x14ac:dyDescent="0.35">
      <c r="A208" s="59" t="s">
        <v>297</v>
      </c>
      <c r="B208" s="73" t="s">
        <v>224</v>
      </c>
      <c r="C208" s="64">
        <f>(IF((10^(LOG(C207)-INT(LOG(C207)))*100)-VLOOKUP((10^(LOG(C207)-INT(LOG(C207)))*100),E48_s:E48_f,1)&lt;VLOOKUP((10^(LOG(C207)-INT(LOG(C207)))*100),E48_s:E48_f,2)-(10^(LOG(C207)-INT(LOG(C207)))*100),VLOOKUP((10^(LOG(C207)-INT(LOG(C207)))*100),E48_s:E48_f,1),VLOOKUP((10^(LOG(C207)-INT(LOG(C207)))*100),E48_s:E48_f,2)))*10^INT(LOG(C207))/100</f>
        <v>46.4</v>
      </c>
      <c r="D208" s="59" t="s">
        <v>209</v>
      </c>
    </row>
    <row r="209" spans="1:6" ht="18.75" x14ac:dyDescent="0.35">
      <c r="A209" s="59" t="s">
        <v>329</v>
      </c>
      <c r="B209" s="73" t="s">
        <v>224</v>
      </c>
      <c r="C209" s="2">
        <v>46.4</v>
      </c>
      <c r="D209" s="59" t="s">
        <v>209</v>
      </c>
    </row>
    <row r="210" spans="1:6" x14ac:dyDescent="0.25">
      <c r="A210" s="91" t="s">
        <v>225</v>
      </c>
      <c r="B210" s="77"/>
      <c r="C210" s="63"/>
      <c r="D210" s="63"/>
      <c r="E210" s="91" t="s">
        <v>20</v>
      </c>
      <c r="F210" s="91"/>
    </row>
    <row r="211" spans="1:6" ht="18.75" x14ac:dyDescent="0.35">
      <c r="A211" s="59" t="s">
        <v>226</v>
      </c>
      <c r="B211" s="59" t="s">
        <v>227</v>
      </c>
      <c r="C211" s="4">
        <v>100</v>
      </c>
      <c r="D211" s="59" t="s">
        <v>133</v>
      </c>
    </row>
    <row r="212" spans="1:6" ht="18.75" x14ac:dyDescent="0.35">
      <c r="A212" s="59" t="s">
        <v>229</v>
      </c>
      <c r="B212" s="59" t="s">
        <v>228</v>
      </c>
      <c r="C212" s="78">
        <f>(C211-15)/6.6</f>
        <v>12.878787878787879</v>
      </c>
      <c r="D212" s="59" t="s">
        <v>209</v>
      </c>
    </row>
    <row r="213" spans="1:6" ht="18.75" x14ac:dyDescent="0.35">
      <c r="A213" s="59" t="s">
        <v>297</v>
      </c>
      <c r="B213" s="59" t="s">
        <v>228</v>
      </c>
      <c r="C213" s="59">
        <f>(IF((10^(LOG(C212)-INT(LOG(C212)))*100)-VLOOKUP((10^(LOG(C212)-INT(LOG(C212)))*100),E48_s:E48_f,1)&lt;VLOOKUP((10^(LOG(C212)-INT(LOG(C212)))*100),E48_s:E48_f,2)-(10^(LOG(C212)-INT(LOG(C212)))*100),VLOOKUP((10^(LOG(C212)-INT(LOG(C212)))*100),E48_s:E48_f,1),VLOOKUP((10^(LOG(C212)-INT(LOG(C212)))*100),E48_s:E48_f,2)))*10^INT(LOG(C212))/100</f>
        <v>12.7</v>
      </c>
      <c r="D213" s="59" t="s">
        <v>209</v>
      </c>
    </row>
    <row r="214" spans="1:6" ht="18.75" x14ac:dyDescent="0.35">
      <c r="A214" s="59" t="s">
        <v>325</v>
      </c>
      <c r="B214" s="59" t="s">
        <v>228</v>
      </c>
      <c r="C214" s="4">
        <v>12.7</v>
      </c>
      <c r="D214" s="59" t="s">
        <v>209</v>
      </c>
    </row>
    <row r="215" spans="1:6" x14ac:dyDescent="0.25">
      <c r="A215" s="91" t="s">
        <v>230</v>
      </c>
      <c r="B215" s="77"/>
      <c r="C215" s="63"/>
      <c r="D215" s="63"/>
      <c r="E215" s="91" t="s">
        <v>20</v>
      </c>
      <c r="F215" s="91"/>
    </row>
    <row r="216" spans="1:6" ht="18.75" x14ac:dyDescent="0.35">
      <c r="A216" s="59" t="s">
        <v>231</v>
      </c>
      <c r="B216" s="59" t="s">
        <v>232</v>
      </c>
      <c r="C216" s="59">
        <f>(((2.5*10^3)/(fs/2))-1)*2.5</f>
        <v>60</v>
      </c>
      <c r="D216" s="59" t="s">
        <v>209</v>
      </c>
      <c r="E216" s="59" t="s">
        <v>20</v>
      </c>
    </row>
    <row r="217" spans="1:6" ht="18.75" x14ac:dyDescent="0.35">
      <c r="A217" s="59" t="s">
        <v>297</v>
      </c>
      <c r="B217" s="59" t="s">
        <v>232</v>
      </c>
      <c r="C217" s="59">
        <f>(IF((10^(LOG(C216)-INT(LOG(C216)))*100)-VLOOKUP((10^(LOG(C216)-INT(LOG(C216)))*100),E48_s:E48_f,1)&lt;VLOOKUP((10^(LOG(C216)-INT(LOG(C216)))*100),E48_s:E48_f,2)-(10^(LOG(C216)-INT(LOG(C216)))*100),VLOOKUP((10^(LOG(C216)-INT(LOG(C216)))*100),E48_s:E48_f,1),VLOOKUP((10^(LOG(C216)-INT(LOG(C216)))*100),E48_s:E48_f,2)))*10^INT(LOG(C216))/100</f>
        <v>59</v>
      </c>
      <c r="D217" s="59" t="s">
        <v>209</v>
      </c>
    </row>
    <row r="218" spans="1:6" ht="18.75" x14ac:dyDescent="0.35">
      <c r="A218" s="59" t="s">
        <v>325</v>
      </c>
      <c r="B218" s="59" t="s">
        <v>232</v>
      </c>
      <c r="C218" s="4">
        <v>59</v>
      </c>
      <c r="D218" s="59" t="s">
        <v>209</v>
      </c>
    </row>
    <row r="219" spans="1:6" x14ac:dyDescent="0.25">
      <c r="A219" s="91" t="s">
        <v>233</v>
      </c>
      <c r="B219" s="77"/>
      <c r="C219" s="63"/>
      <c r="D219" s="63"/>
      <c r="E219" s="91" t="s">
        <v>20</v>
      </c>
      <c r="F219" s="91"/>
    </row>
    <row r="220" spans="1:6" ht="18.75" x14ac:dyDescent="0.35">
      <c r="A220" s="59" t="s">
        <v>278</v>
      </c>
      <c r="B220" s="59" t="s">
        <v>45</v>
      </c>
      <c r="C220" s="79">
        <f>(vin*(1-dtyp))/(lmag2*fs)</f>
        <v>0.12062178663239072</v>
      </c>
      <c r="D220" s="59" t="s">
        <v>35</v>
      </c>
    </row>
    <row r="221" spans="1:6" ht="18.75" x14ac:dyDescent="0.35">
      <c r="A221" s="59" t="s">
        <v>337</v>
      </c>
      <c r="B221" s="59" t="s">
        <v>335</v>
      </c>
      <c r="C221" s="109">
        <f>fs*0.2*0.001</f>
        <v>0.04</v>
      </c>
      <c r="D221" s="59" t="s">
        <v>234</v>
      </c>
    </row>
    <row r="222" spans="1:6" ht="18.75" x14ac:dyDescent="0.35">
      <c r="A222" s="59" t="s">
        <v>338</v>
      </c>
      <c r="B222" s="59" t="s">
        <v>336</v>
      </c>
      <c r="C222" s="109">
        <f>((((dilout/(_taa1*2))-C220)*RS*(1-dtyp)*fs)/_ta2)*0.001</f>
        <v>1.4888565532873827E-3</v>
      </c>
      <c r="D222" s="59" t="s">
        <v>234</v>
      </c>
      <c r="E222" s="59" t="s">
        <v>20</v>
      </c>
    </row>
    <row r="223" spans="1:6" ht="18.75" x14ac:dyDescent="0.35">
      <c r="A223" s="59" t="s">
        <v>235</v>
      </c>
      <c r="B223" s="59" t="s">
        <v>236</v>
      </c>
      <c r="C223" s="110">
        <f>IF(Vslope1&gt;Vslope2, Vslope1, Vslope2)</f>
        <v>0.04</v>
      </c>
      <c r="D223" s="59" t="s">
        <v>234</v>
      </c>
      <c r="E223" s="59" t="s">
        <v>20</v>
      </c>
    </row>
    <row r="224" spans="1:6" ht="18.75" x14ac:dyDescent="0.35">
      <c r="A224" s="59" t="s">
        <v>237</v>
      </c>
      <c r="B224" s="59" t="s">
        <v>238</v>
      </c>
      <c r="C224" s="64">
        <f>2.5/(C223*0.5)</f>
        <v>125</v>
      </c>
      <c r="D224" s="59" t="s">
        <v>209</v>
      </c>
      <c r="E224" s="64"/>
    </row>
    <row r="225" spans="1:6" ht="18.75" x14ac:dyDescent="0.35">
      <c r="A225" s="59" t="s">
        <v>297</v>
      </c>
      <c r="B225" s="59" t="s">
        <v>238</v>
      </c>
      <c r="C225" s="97">
        <f>(IF((10^(LOG(C224)-INT(LOG(C224)))*100)-VLOOKUP((10^(LOG(C224)-INT(LOG(C224)))*100),E48_s:E48_f,1)&lt;VLOOKUP((10^(LOG(C224)-INT(LOG(C224)))*100),E48_s:E48_f,2)-(10^(LOG(C224)-INT(LOG(C224)))*100),VLOOKUP((10^(LOG(C224)-INT(LOG(C224)))*100),E48_s:E48_f,1),VLOOKUP((10^(LOG(C224)-INT(LOG(C224)))*100),E48_s:E48_f,2)))*10^INT(LOG(C224))/100</f>
        <v>127</v>
      </c>
      <c r="D225" s="59" t="s">
        <v>209</v>
      </c>
    </row>
    <row r="226" spans="1:6" ht="18.75" x14ac:dyDescent="0.35">
      <c r="A226" s="59" t="s">
        <v>325</v>
      </c>
      <c r="B226" s="59" t="s">
        <v>238</v>
      </c>
      <c r="C226" s="4">
        <v>127</v>
      </c>
      <c r="D226" s="59" t="s">
        <v>209</v>
      </c>
    </row>
    <row r="227" spans="1:6" x14ac:dyDescent="0.25">
      <c r="A227" s="91" t="s">
        <v>279</v>
      </c>
      <c r="B227" s="77"/>
      <c r="C227" s="63"/>
      <c r="D227" s="63"/>
      <c r="E227" s="91" t="s">
        <v>20</v>
      </c>
      <c r="F227" s="91"/>
    </row>
    <row r="228" spans="1:6" ht="18.75" x14ac:dyDescent="0.35">
      <c r="A228" s="59" t="s">
        <v>239</v>
      </c>
      <c r="B228" s="59" t="s">
        <v>240</v>
      </c>
      <c r="C228" s="65">
        <f>(((pout*0.15/VOUT)+(dilout/2))*RS)/(_ta1*_ta2)</f>
        <v>0.24336198662846226</v>
      </c>
      <c r="D228" s="59" t="s">
        <v>18</v>
      </c>
    </row>
    <row r="229" spans="1:6" ht="18.75" x14ac:dyDescent="0.35">
      <c r="A229" s="59" t="s">
        <v>182</v>
      </c>
      <c r="B229" s="59" t="s">
        <v>241</v>
      </c>
      <c r="C229" s="4">
        <v>1</v>
      </c>
      <c r="D229" s="59" t="s">
        <v>209</v>
      </c>
    </row>
    <row r="230" spans="1:6" ht="18.75" x14ac:dyDescent="0.35">
      <c r="A230" s="59" t="s">
        <v>243</v>
      </c>
      <c r="B230" s="59" t="s">
        <v>242</v>
      </c>
      <c r="C230" s="64">
        <f>(C229*(5-C228)/C228)</f>
        <v>19.545525902668761</v>
      </c>
      <c r="D230" s="59" t="s">
        <v>209</v>
      </c>
    </row>
    <row r="231" spans="1:6" ht="18.75" x14ac:dyDescent="0.35">
      <c r="A231" s="59" t="s">
        <v>297</v>
      </c>
      <c r="B231" s="59" t="s">
        <v>242</v>
      </c>
      <c r="C231" s="97">
        <f>(IF((10^(LOG(C230)-INT(LOG(C230)))*100)-VLOOKUP((10^(LOG(C230)-INT(LOG(C230)))*100),E48_s:E48_f,1)&lt;VLOOKUP((10^(LOG(C230)-INT(LOG(C230)))*100),E48_s:E48_f,2)-(10^(LOG(C230)-INT(LOG(C230)))*100),VLOOKUP((10^(LOG(C230)-INT(LOG(C230)))*100),E48_s:E48_f,1),VLOOKUP((10^(LOG(C230)-INT(LOG(C230)))*100),E48_s:E48_f,2)))*10^INT(LOG(C230))/100</f>
        <v>19.600000000000001</v>
      </c>
      <c r="D231" s="59" t="s">
        <v>209</v>
      </c>
    </row>
    <row r="232" spans="1:6" ht="18.75" x14ac:dyDescent="0.35">
      <c r="A232" s="59" t="s">
        <v>325</v>
      </c>
      <c r="B232" s="59" t="s">
        <v>242</v>
      </c>
      <c r="C232" s="2">
        <v>16.899999999999999</v>
      </c>
      <c r="D232" s="59" t="s">
        <v>209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30"/>
  <sheetViews>
    <sheetView workbookViewId="0">
      <selection activeCell="K10" sqref="K10"/>
    </sheetView>
  </sheetViews>
  <sheetFormatPr defaultRowHeight="12.75" x14ac:dyDescent="0.2"/>
  <sheetData>
    <row r="30" spans="12:12" x14ac:dyDescent="0.2">
      <c r="L30" t="s">
        <v>20</v>
      </c>
    </row>
  </sheetData>
  <phoneticPr fontId="2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5125" r:id="rId4">
          <objectPr defaultSize="0" autoPict="0" r:id="rId5">
            <anchor moveWithCells="1">
              <from>
                <xdr:col>0</xdr:col>
                <xdr:colOff>47625</xdr:colOff>
                <xdr:row>5</xdr:row>
                <xdr:rowOff>57150</xdr:rowOff>
              </from>
              <to>
                <xdr:col>8</xdr:col>
                <xdr:colOff>533400</xdr:colOff>
                <xdr:row>46</xdr:row>
                <xdr:rowOff>57150</xdr:rowOff>
              </to>
            </anchor>
          </objectPr>
        </oleObject>
      </mc:Choice>
      <mc:Fallback>
        <oleObject progId="Visio.Drawing.6" shapeId="51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2.75" x14ac:dyDescent="0.2"/>
  <sheetData/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"/>
  <sheetViews>
    <sheetView workbookViewId="0">
      <selection activeCell="I3" sqref="I3"/>
    </sheetView>
  </sheetViews>
  <sheetFormatPr defaultRowHeight="12.75" x14ac:dyDescent="0.2"/>
  <sheetData>
    <row r="31" spans="7:7" x14ac:dyDescent="0.2">
      <c r="G31" t="s">
        <v>20</v>
      </c>
    </row>
  </sheetData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sqref="A1:IV65536"/>
    </sheetView>
  </sheetViews>
  <sheetFormatPr defaultRowHeight="12.75" x14ac:dyDescent="0.2"/>
  <cols>
    <col min="1" max="1" width="9.140625" style="84"/>
    <col min="2" max="2" width="10.140625" style="84" customWidth="1"/>
    <col min="3" max="3" width="9.140625" style="84"/>
    <col min="4" max="4" width="12.42578125" style="84" customWidth="1"/>
    <col min="5" max="5" width="21.5703125" style="84" customWidth="1"/>
    <col min="6" max="6" width="15.42578125" style="84" customWidth="1"/>
    <col min="7" max="7" width="21.140625" style="84" customWidth="1"/>
    <col min="8" max="8" width="9.140625" style="84"/>
    <col min="9" max="9" width="14.28515625" style="84" customWidth="1"/>
    <col min="10" max="10" width="17.140625" style="84" customWidth="1"/>
    <col min="11" max="11" width="11.85546875" style="84" customWidth="1"/>
    <col min="12" max="12" width="13.5703125" style="84" customWidth="1"/>
    <col min="13" max="16384" width="9.140625" style="84"/>
  </cols>
  <sheetData>
    <row r="1" spans="1:18" ht="42.75" x14ac:dyDescent="0.3">
      <c r="A1" s="84" t="s">
        <v>246</v>
      </c>
      <c r="B1" s="84" t="s">
        <v>261</v>
      </c>
      <c r="C1" s="84" t="s">
        <v>191</v>
      </c>
      <c r="D1" s="84" t="s">
        <v>247</v>
      </c>
      <c r="E1" s="58" t="s">
        <v>248</v>
      </c>
      <c r="F1" s="84" t="s">
        <v>249</v>
      </c>
      <c r="G1" s="84" t="s">
        <v>250</v>
      </c>
      <c r="H1" s="84" t="s">
        <v>251</v>
      </c>
      <c r="I1" s="88" t="s">
        <v>252</v>
      </c>
      <c r="J1" s="88" t="s">
        <v>253</v>
      </c>
      <c r="K1" s="88" t="s">
        <v>254</v>
      </c>
      <c r="L1" s="84" t="s">
        <v>255</v>
      </c>
      <c r="M1" s="84" t="s">
        <v>256</v>
      </c>
      <c r="N1" s="84" t="s">
        <v>257</v>
      </c>
      <c r="O1" s="84" t="s">
        <v>262</v>
      </c>
      <c r="P1" s="90" t="s">
        <v>259</v>
      </c>
      <c r="Q1" s="90" t="s">
        <v>260</v>
      </c>
      <c r="R1" s="84" t="s">
        <v>258</v>
      </c>
    </row>
    <row r="2" spans="1:18" ht="15" x14ac:dyDescent="0.2">
      <c r="A2" s="85">
        <f>1</f>
        <v>1</v>
      </c>
      <c r="B2" s="84">
        <v>100</v>
      </c>
      <c r="C2" s="84">
        <f t="shared" ref="C2:C33" si="0">_ta1*_ta2*(rload/RS)</f>
        <v>262.98273155416013</v>
      </c>
      <c r="D2" s="58" t="str">
        <f t="shared" ref="D2:D33" si="1">IMDIV((COMPLEX(1,2*PI()*(B2)*(esrcout*0.001)*(cout*0.000001))),(COMPLEX(1,2*PI()*(B2)*rload*(cout*0.000001))))</f>
        <v>0.0258110363173993-0.154634630062158i</v>
      </c>
      <c r="E2" s="58" t="str">
        <f t="shared" ref="E2:E33" si="2">IMDIV(1,(COMPLEX((1-(B2/(fpp*1000))^2),(B2/(fpp*1000)))))</f>
        <v>0.999999999984-0.002000008i</v>
      </c>
      <c r="F2" s="84" t="str">
        <f t="shared" ref="F2:F33" si="3">IMPRODUCT(D2,E2)</f>
        <v>0.025501765819785-0.154686252338807i</v>
      </c>
      <c r="G2" s="84" t="str">
        <f t="shared" ref="G2:G33" si="4">IMPRODUCT(C2,F2)</f>
        <v>6.70652403474157-40.6798131739356i</v>
      </c>
      <c r="H2" s="87">
        <f t="shared" ref="H2:H33" si="5">IMABS(G2)</f>
        <v>41.228929946032686</v>
      </c>
      <c r="I2" s="58" t="str">
        <f t="shared" ref="I2:I33" si="6">IMDIV((COMPLEX(1,(2*PI()*B2*(rf*1000)*(Cz*0.000000001)))),(COMPLEX(0,2*PI()*B2*((Cz*0.000000001)+(Cp*0.000000000001))*(RII*1000))))</f>
        <v>0.909090909090909-9.42950416460655i</v>
      </c>
      <c r="J2" s="89" t="str">
        <f t="shared" ref="J2:J33" si="7">IMDIV(1,(COMPLEX(1,2*PI()*B2*(((Cz*0.000000001)*(Cp*0.000000000001))/((Cz*0.000000001)+(Cp*0.000000000001)))*(rf*1000))))</f>
        <v>0.999923189925458-0.00876379910508019i</v>
      </c>
      <c r="K2" s="89" t="str">
        <f t="shared" ref="K2:K33" si="8">IMPRODUCT(I2,J2)</f>
        <v>0.826382801591288-9.4367469737843i</v>
      </c>
      <c r="L2" s="89" t="str">
        <f t="shared" ref="L2:L33" si="9">IMPRODUCT(G2,K2)</f>
        <v>-378.342947742478-96.9048683683463i</v>
      </c>
      <c r="M2" s="84">
        <f t="shared" ref="M2:M33" si="10">20*LOG(IMABS(L2))</f>
        <v>51.833664872874017</v>
      </c>
      <c r="N2" s="84">
        <f t="shared" ref="N2:N33" si="11">(180/PI())*IMARGUMENT(L2)+180</f>
        <v>14.366310907110346</v>
      </c>
      <c r="O2" s="84">
        <f t="shared" ref="O2:O55" si="12">IF(N2&gt;180,-(360-N2),N2)</f>
        <v>14.366310907110346</v>
      </c>
      <c r="P2" s="84">
        <v>48.311999999999998</v>
      </c>
      <c r="Q2" s="84">
        <v>11.617000000000001</v>
      </c>
      <c r="R2" s="84">
        <f>B2</f>
        <v>100</v>
      </c>
    </row>
    <row r="3" spans="1:18" ht="15" x14ac:dyDescent="0.2">
      <c r="A3" s="85">
        <f>1+A2</f>
        <v>2</v>
      </c>
      <c r="B3" s="84">
        <v>1000</v>
      </c>
      <c r="C3" s="84">
        <f t="shared" si="0"/>
        <v>262.98273155416013</v>
      </c>
      <c r="D3" s="58" t="str">
        <f t="shared" si="1"/>
        <v>0.00151720012484682-0.0158490830976429i</v>
      </c>
      <c r="E3" s="58" t="str">
        <f t="shared" si="2"/>
        <v>0.999999839936-0.0200079999987195i</v>
      </c>
      <c r="F3" s="84" t="str">
        <f t="shared" si="3"/>
        <v>0.00120009142740035-0.0158794367008713i</v>
      </c>
      <c r="G3" s="84" t="str">
        <f t="shared" si="4"/>
        <v>0.315603321692475-4.17601763913652i</v>
      </c>
      <c r="H3" s="87">
        <f t="shared" si="5"/>
        <v>4.1879265489073081</v>
      </c>
      <c r="I3" s="58" t="str">
        <f t="shared" si="6"/>
        <v>0.909090909090909-0.942950416460655i</v>
      </c>
      <c r="J3" s="89" t="str">
        <f t="shared" si="7"/>
        <v>0.992376959649284-0.0869766037881862i</v>
      </c>
      <c r="K3" s="89" t="str">
        <f t="shared" si="8"/>
        <v>0.820146247644036-1.01483190719469i</v>
      </c>
      <c r="L3" s="89" t="str">
        <f t="shared" si="9"/>
        <v>-3.9791150651735-3.74522951770328i</v>
      </c>
      <c r="M3" s="84">
        <f t="shared" si="10"/>
        <v>14.750912700709414</v>
      </c>
      <c r="N3" s="84">
        <f t="shared" si="11"/>
        <v>43.265670110541123</v>
      </c>
      <c r="O3" s="84">
        <f t="shared" si="12"/>
        <v>43.265670110541123</v>
      </c>
    </row>
    <row r="4" spans="1:18" ht="15" x14ac:dyDescent="0.2">
      <c r="A4" s="85">
        <f t="shared" ref="A4:A67" si="13">1+A3</f>
        <v>3</v>
      </c>
      <c r="B4" s="84">
        <f t="shared" ref="B4:B35" si="14">(fs*1000/2)*(A4/100)</f>
        <v>3000</v>
      </c>
      <c r="C4" s="84">
        <f t="shared" si="0"/>
        <v>262.98273155416013</v>
      </c>
      <c r="D4" s="58" t="str">
        <f t="shared" si="1"/>
        <v>0.00129358405184111-0.00528421086422008i</v>
      </c>
      <c r="E4" s="58" t="str">
        <f t="shared" si="2"/>
        <v>0.999986993344607-0.0602159971905624i</v>
      </c>
      <c r="F4" s="84" t="str">
        <f t="shared" si="3"/>
        <v>0.00097537320008491-0.00536203658794177i</v>
      </c>
      <c r="G4" s="84" t="str">
        <f t="shared" si="4"/>
        <v>0.256506308443052-1.41012302859028i</v>
      </c>
      <c r="H4" s="87">
        <f t="shared" si="5"/>
        <v>1.4332628656431818</v>
      </c>
      <c r="I4" s="58" t="str">
        <f t="shared" si="6"/>
        <v>0.909090909090909-0.314316805486885i</v>
      </c>
      <c r="J4" s="89" t="str">
        <f t="shared" si="7"/>
        <v>0.935336119788262-0.245931825528337i</v>
      </c>
      <c r="K4" s="89" t="str">
        <f t="shared" si="8"/>
        <v>0.77300505767625-0.517566248072288i</v>
      </c>
      <c r="L4" s="89" t="str">
        <f t="shared" si="9"/>
        <v>-0.53155141147546-1.22279124071378i</v>
      </c>
      <c r="M4" s="84">
        <f t="shared" si="10"/>
        <v>2.4987443023129399</v>
      </c>
      <c r="N4" s="84">
        <f t="shared" si="11"/>
        <v>66.505255120452006</v>
      </c>
      <c r="O4" s="84">
        <f t="shared" si="12"/>
        <v>66.505255120452006</v>
      </c>
    </row>
    <row r="5" spans="1:18" ht="15" x14ac:dyDescent="0.2">
      <c r="A5" s="85">
        <f t="shared" si="13"/>
        <v>4</v>
      </c>
      <c r="B5" s="84">
        <f t="shared" si="14"/>
        <v>4000</v>
      </c>
      <c r="C5" s="84">
        <f t="shared" si="0"/>
        <v>262.98273155416013</v>
      </c>
      <c r="D5" s="58" t="str">
        <f t="shared" si="1"/>
        <v>0.00128135215928036-0.00396320668787993i</v>
      </c>
      <c r="E5" s="58" t="str">
        <f t="shared" si="2"/>
        <v>0.999958777866806-0.0805119788942678i</v>
      </c>
      <c r="F5" s="84" t="str">
        <f t="shared" si="3"/>
        <v>0.000962213726002772-0.00406620751405007i</v>
      </c>
      <c r="G5" s="84" t="str">
        <f t="shared" si="4"/>
        <v>0.253045594003115-1.06934235911094i</v>
      </c>
      <c r="H5" s="87">
        <f t="shared" si="5"/>
        <v>1.0988744940316615</v>
      </c>
      <c r="I5" s="58" t="str">
        <f t="shared" si="6"/>
        <v>0.909090909090908-0.235737604115164i</v>
      </c>
      <c r="J5" s="89" t="str">
        <f t="shared" si="7"/>
        <v>0.890546841989013-0.312206925311417i</v>
      </c>
      <c r="K5" s="89" t="str">
        <f t="shared" si="8"/>
        <v>0.735989125610754-0.493759856438649i</v>
      </c>
      <c r="L5" s="89" t="str">
        <f t="shared" si="9"/>
        <v>-0.341759524248378-0.911968104028012i</v>
      </c>
      <c r="M5" s="84">
        <f t="shared" si="10"/>
        <v>-0.22969352009936744</v>
      </c>
      <c r="N5" s="84">
        <f t="shared" si="11"/>
        <v>69.456542588986153</v>
      </c>
      <c r="O5" s="84">
        <f t="shared" si="12"/>
        <v>69.456542588986153</v>
      </c>
    </row>
    <row r="6" spans="1:18" ht="15" x14ac:dyDescent="0.2">
      <c r="A6" s="85">
        <f t="shared" si="13"/>
        <v>5</v>
      </c>
      <c r="B6" s="84">
        <f t="shared" si="14"/>
        <v>5000</v>
      </c>
      <c r="C6" s="84">
        <f t="shared" si="0"/>
        <v>262.98273155416013</v>
      </c>
      <c r="D6" s="58" t="str">
        <f t="shared" si="1"/>
        <v>0.00127569043899992-0.00317058332418896i</v>
      </c>
      <c r="E6" s="58" t="str">
        <f t="shared" si="2"/>
        <v>0.999899000101-0.100999899000101i</v>
      </c>
      <c r="F6" s="84" t="str">
        <f t="shared" si="3"/>
        <v>0.000955332998879936-0.00329910770108783i</v>
      </c>
      <c r="G6" s="84" t="str">
        <f t="shared" si="4"/>
        <v>0.251236081589273-0.867608354923443i</v>
      </c>
      <c r="H6" s="87">
        <f t="shared" si="5"/>
        <v>0.90325180665487459</v>
      </c>
      <c r="I6" s="58" t="str">
        <f t="shared" si="6"/>
        <v>0.909090909090909-0.188590083292131i</v>
      </c>
      <c r="J6" s="89" t="str">
        <f t="shared" si="7"/>
        <v>0.838898067923283-0.367624944145342i</v>
      </c>
      <c r="K6" s="89" t="str">
        <f t="shared" si="8"/>
        <v>0.693304188366349-0.492412351180843i</v>
      </c>
      <c r="L6" s="89" t="str">
        <f t="shared" si="9"/>
        <v>-0.253038042317403-0.725228255966897i</v>
      </c>
      <c r="M6" s="84">
        <f t="shared" si="10"/>
        <v>-2.2915956421740979</v>
      </c>
      <c r="N6" s="84">
        <f t="shared" si="11"/>
        <v>70.765704533164183</v>
      </c>
      <c r="O6" s="84">
        <f t="shared" si="12"/>
        <v>70.765704533164183</v>
      </c>
    </row>
    <row r="7" spans="1:18" ht="15" x14ac:dyDescent="0.2">
      <c r="A7" s="85">
        <f t="shared" si="13"/>
        <v>6</v>
      </c>
      <c r="B7" s="84">
        <f t="shared" si="14"/>
        <v>6000</v>
      </c>
      <c r="C7" s="84">
        <f t="shared" si="0"/>
        <v>262.98273155416013</v>
      </c>
      <c r="D7" s="58" t="str">
        <f t="shared" si="1"/>
        <v>0.00127261490971946-0.0026421609065552i</v>
      </c>
      <c r="E7" s="58" t="str">
        <f t="shared" si="2"/>
        <v>0.999789654644088-0.121727636523225i</v>
      </c>
      <c r="F7" s="84" t="str">
        <f t="shared" si="3"/>
        <v>0.00095072321861431-0.0027965175454433i</v>
      </c>
      <c r="G7" s="84" t="str">
        <f t="shared" si="4"/>
        <v>0.250023788983154-0.735435822939814i</v>
      </c>
      <c r="H7" s="87">
        <f t="shared" si="5"/>
        <v>0.77677393411510298</v>
      </c>
      <c r="I7" s="58" t="str">
        <f t="shared" si="6"/>
        <v>0.909090909090909-0.157158402743443i</v>
      </c>
      <c r="J7" s="89" t="str">
        <f t="shared" si="7"/>
        <v>0.78336906889118-0.411948990526431i</v>
      </c>
      <c r="K7" s="89" t="str">
        <f t="shared" si="8"/>
        <v>0.647412453629074-0.497612113922311i</v>
      </c>
      <c r="L7" s="89" t="str">
        <f t="shared" si="9"/>
        <v>-0.204093259816054-0.600545176782955i</v>
      </c>
      <c r="M7" s="84">
        <f t="shared" si="10"/>
        <v>-3.9544071805914731</v>
      </c>
      <c r="N7" s="84">
        <f t="shared" si="11"/>
        <v>71.229843576102994</v>
      </c>
      <c r="O7" s="84">
        <f t="shared" si="12"/>
        <v>71.229843576102994</v>
      </c>
    </row>
    <row r="8" spans="1:18" ht="15" x14ac:dyDescent="0.2">
      <c r="A8" s="85">
        <f t="shared" si="13"/>
        <v>7</v>
      </c>
      <c r="B8" s="84">
        <f t="shared" si="14"/>
        <v>7000.0000000000009</v>
      </c>
      <c r="C8" s="84">
        <f t="shared" si="0"/>
        <v>262.98273155416013</v>
      </c>
      <c r="D8" s="58" t="str">
        <f t="shared" si="1"/>
        <v>0.00127076045341111-0.00226471355363197i</v>
      </c>
      <c r="E8" s="58" t="str">
        <f t="shared" si="2"/>
        <v>0.999608313413218-0.142742925212006i</v>
      </c>
      <c r="F8" s="84" t="str">
        <f t="shared" si="3"/>
        <v>0.000946990876173791-0.00244521856007375i</v>
      </c>
      <c r="G8" s="84" t="str">
        <f t="shared" si="4"/>
        <v>0.249042247373051-0.643050256175125i</v>
      </c>
      <c r="H8" s="87">
        <f t="shared" si="5"/>
        <v>0.68959094610030514</v>
      </c>
      <c r="I8" s="58" t="str">
        <f t="shared" si="6"/>
        <v>0.909090909090909-0.134707202351522i</v>
      </c>
      <c r="J8" s="89" t="str">
        <f t="shared" si="7"/>
        <v>0.726533894383117-0.445738033709957i</v>
      </c>
      <c r="K8" s="89" t="str">
        <f t="shared" si="8"/>
        <v>0.60044123502737-0.503085742607685i</v>
      </c>
      <c r="L8" s="89" t="str">
        <f t="shared" si="9"/>
        <v>-0.173974181075258-0.511403493962817i</v>
      </c>
      <c r="M8" s="84">
        <f t="shared" si="10"/>
        <v>-5.3491389487700385</v>
      </c>
      <c r="N8" s="84">
        <f t="shared" si="11"/>
        <v>71.212226612999387</v>
      </c>
      <c r="O8" s="84">
        <f t="shared" si="12"/>
        <v>71.212226612999387</v>
      </c>
    </row>
    <row r="9" spans="1:18" ht="15" x14ac:dyDescent="0.2">
      <c r="A9" s="85">
        <f t="shared" si="13"/>
        <v>8</v>
      </c>
      <c r="B9" s="84">
        <f t="shared" si="14"/>
        <v>8000</v>
      </c>
      <c r="C9" s="84">
        <f t="shared" si="0"/>
        <v>262.98273155416013</v>
      </c>
      <c r="D9" s="58" t="str">
        <f t="shared" si="1"/>
        <v>0.00126955683625632-0.00198162674757982i</v>
      </c>
      <c r="E9" s="58" t="str">
        <f t="shared" si="2"/>
        <v>0.999327874060402-0.164093246972151i</v>
      </c>
      <c r="F9" s="84" t="str">
        <f t="shared" si="3"/>
        <v>0.000943531966877643-0.00218862054831716i</v>
      </c>
      <c r="G9" s="84" t="str">
        <f t="shared" si="4"/>
        <v>0.248132613958152-0.57556941013201i</v>
      </c>
      <c r="H9" s="87">
        <f t="shared" si="5"/>
        <v>0.62677742460096253</v>
      </c>
      <c r="I9" s="58" t="str">
        <f t="shared" si="6"/>
        <v>0.90909090909091-0.117868802057582i</v>
      </c>
      <c r="J9" s="89" t="str">
        <f t="shared" si="7"/>
        <v>0.670411029090846-0.470063911786683i</v>
      </c>
      <c r="K9" s="89" t="str">
        <f t="shared" si="8"/>
        <v>0.554058701727973-0.506351373782114i</v>
      </c>
      <c r="L9" s="89" t="str">
        <f t="shared" si="9"/>
        <v>-0.153960327581282-0.444541530089934i</v>
      </c>
      <c r="M9" s="84">
        <f t="shared" si="10"/>
        <v>-6.5497746556474237</v>
      </c>
      <c r="N9" s="84">
        <f t="shared" si="11"/>
        <v>70.897235541828451</v>
      </c>
      <c r="O9" s="84">
        <f t="shared" si="12"/>
        <v>70.897235541828451</v>
      </c>
    </row>
    <row r="10" spans="1:18" ht="15" x14ac:dyDescent="0.2">
      <c r="A10" s="85">
        <f t="shared" si="13"/>
        <v>9</v>
      </c>
      <c r="B10" s="84">
        <f t="shared" si="14"/>
        <v>9000</v>
      </c>
      <c r="C10" s="84">
        <f t="shared" si="0"/>
        <v>262.98273155416013</v>
      </c>
      <c r="D10" s="58" t="str">
        <f t="shared" si="1"/>
        <v>0.00126873163862123-0.0017614474532375i</v>
      </c>
      <c r="E10" s="58" t="str">
        <f t="shared" si="2"/>
        <v>0.99891626463625-0.185825679655359i</v>
      </c>
      <c r="F10" s="84" t="str">
        <f t="shared" si="3"/>
        <v>0.000940034499102288-0.00199530142938809i</v>
      </c>
      <c r="G10" s="84" t="str">
        <f t="shared" si="4"/>
        <v>0.247212840329066-0.5247298201744i</v>
      </c>
      <c r="H10" s="87">
        <f t="shared" si="5"/>
        <v>0.58004790543869944</v>
      </c>
      <c r="I10" s="58" t="str">
        <f t="shared" si="6"/>
        <v>0.909090909090909-0.104772268495628i</v>
      </c>
      <c r="J10" s="89" t="str">
        <f t="shared" si="7"/>
        <v>0.616443230218679-0.486251965688818i</v>
      </c>
      <c r="K10" s="89" t="str">
        <f t="shared" si="8"/>
        <v>0.50945721505676-0.506633397164073i</v>
      </c>
      <c r="L10" s="89" t="str">
        <f t="shared" si="9"/>
        <v>-0.139901286227932-0.392573673961779i</v>
      </c>
      <c r="M10" s="84">
        <f t="shared" si="10"/>
        <v>-7.6023403789988722</v>
      </c>
      <c r="N10" s="84">
        <f t="shared" si="11"/>
        <v>70.385482908741366</v>
      </c>
      <c r="O10" s="84">
        <f t="shared" si="12"/>
        <v>70.385482908741366</v>
      </c>
    </row>
    <row r="11" spans="1:18" ht="15" x14ac:dyDescent="0.2">
      <c r="A11" s="85">
        <f t="shared" si="13"/>
        <v>10</v>
      </c>
      <c r="B11" s="84">
        <f t="shared" si="14"/>
        <v>10000</v>
      </c>
      <c r="C11" s="84">
        <f t="shared" si="0"/>
        <v>262.98273155416013</v>
      </c>
      <c r="D11" s="58" t="str">
        <f t="shared" si="1"/>
        <v>0.0012681413787704-0.001585303644843i</v>
      </c>
      <c r="E11" s="58" t="str">
        <f t="shared" si="2"/>
        <v>0.998336106489185-0.207986688851913i</v>
      </c>
      <c r="F11" s="84" t="str">
        <f t="shared" si="3"/>
        <v>0.000936309270643703-0.00184642239476223i</v>
      </c>
      <c r="G11" s="84" t="str">
        <f t="shared" si="4"/>
        <v>0.246233169573364-0.485577204977345i</v>
      </c>
      <c r="H11" s="87">
        <f t="shared" si="5"/>
        <v>0.54444099385677747</v>
      </c>
      <c r="I11" s="58" t="str">
        <f t="shared" si="6"/>
        <v>0.909090909090909-0.0942950416460655i</v>
      </c>
      <c r="J11" s="89" t="str">
        <f t="shared" si="7"/>
        <v>0.565559758517333-0.495683284026352i</v>
      </c>
      <c r="K11" s="89" t="str">
        <f t="shared" si="8"/>
        <v>0.467404759105234-0.503950648279414i</v>
      </c>
      <c r="L11" s="89" t="str">
        <f t="shared" si="9"/>
        <v>-0.129616391929883-0.35105046195382i</v>
      </c>
      <c r="M11" s="84">
        <f t="shared" si="10"/>
        <v>-8.5375771059555365</v>
      </c>
      <c r="N11" s="84">
        <f t="shared" si="11"/>
        <v>69.734624288390108</v>
      </c>
      <c r="O11" s="84">
        <f t="shared" si="12"/>
        <v>69.734624288390108</v>
      </c>
    </row>
    <row r="12" spans="1:18" ht="15" x14ac:dyDescent="0.2">
      <c r="A12" s="85">
        <f t="shared" si="13"/>
        <v>11</v>
      </c>
      <c r="B12" s="84">
        <f t="shared" si="14"/>
        <v>11000</v>
      </c>
      <c r="C12" s="84">
        <f t="shared" si="0"/>
        <v>262.98273155416013</v>
      </c>
      <c r="D12" s="58" t="str">
        <f t="shared" si="1"/>
        <v>0.00126770465278575-0.00144118576187764i</v>
      </c>
      <c r="E12" s="58" t="str">
        <f t="shared" si="2"/>
        <v>0.997544338518663-0.230621852116547i</v>
      </c>
      <c r="F12" s="84" t="str">
        <f t="shared" si="3"/>
        <v>0.000932222669651974-0.00173000709247696i</v>
      </c>
      <c r="G12" s="84" t="str">
        <f t="shared" si="4"/>
        <v>0.245158464081788-0.454961990787661i</v>
      </c>
      <c r="H12" s="87">
        <f t="shared" si="5"/>
        <v>0.51681049290084369</v>
      </c>
      <c r="I12" s="58" t="str">
        <f t="shared" si="6"/>
        <v>0.909090909090909-0.0857227651327868i</v>
      </c>
      <c r="J12" s="89" t="str">
        <f t="shared" si="7"/>
        <v>0.518276154772205-0.499665870524236i</v>
      </c>
      <c r="K12" s="89" t="str">
        <f t="shared" si="8"/>
        <v>0.428327400638186-0.49866976556604i</v>
      </c>
      <c r="L12" s="89" t="str">
        <f t="shared" si="9"/>
        <v>-0.121867701622939-0.317125800713449i</v>
      </c>
      <c r="M12" s="84">
        <f t="shared" si="10"/>
        <v>-9.3771701037246196</v>
      </c>
      <c r="N12" s="84">
        <f t="shared" si="11"/>
        <v>68.978821539336778</v>
      </c>
      <c r="O12" s="84">
        <f t="shared" si="12"/>
        <v>68.978821539336778</v>
      </c>
    </row>
    <row r="13" spans="1:18" ht="15" x14ac:dyDescent="0.2">
      <c r="A13" s="85">
        <f t="shared" si="13"/>
        <v>12</v>
      </c>
      <c r="B13" s="84">
        <f t="shared" si="14"/>
        <v>12000</v>
      </c>
      <c r="C13" s="84">
        <f t="shared" si="0"/>
        <v>262.98273155416013</v>
      </c>
      <c r="D13" s="58" t="str">
        <f t="shared" si="1"/>
        <v>0.00126737248660255-0.00132108738776524i</v>
      </c>
      <c r="E13" s="58" t="str">
        <f t="shared" si="2"/>
        <v>0.996491807450037-0.253775502746189i</v>
      </c>
      <c r="F13" s="84" t="str">
        <f t="shared" si="3"/>
        <v>0.00092766668388525-0.00163808084878788i</v>
      </c>
      <c r="G13" s="84" t="str">
        <f t="shared" si="4"/>
        <v>0.243960318499933-0.430786976120794i</v>
      </c>
      <c r="H13" s="87">
        <f t="shared" si="5"/>
        <v>0.49506974841721674</v>
      </c>
      <c r="I13" s="58" t="str">
        <f t="shared" si="6"/>
        <v>0.909090909090906-0.0785792013717213i</v>
      </c>
      <c r="J13" s="89" t="str">
        <f t="shared" si="7"/>
        <v>0.474799982192647-0.499364555312558i</v>
      </c>
      <c r="K13" s="89" t="str">
        <f t="shared" si="8"/>
        <v>0.392396679498054-0.491277180968875i</v>
      </c>
      <c r="L13" s="89" t="str">
        <f t="shared" si="9"/>
        <v>-0.115906592318068-0.288891516541723i</v>
      </c>
      <c r="M13" s="84">
        <f t="shared" si="10"/>
        <v>-10.137091818509049</v>
      </c>
      <c r="N13" s="84">
        <f t="shared" si="11"/>
        <v>68.138777097209129</v>
      </c>
      <c r="O13" s="84">
        <f t="shared" si="12"/>
        <v>68.138777097209129</v>
      </c>
    </row>
    <row r="14" spans="1:18" ht="15" x14ac:dyDescent="0.2">
      <c r="A14" s="85">
        <f t="shared" si="13"/>
        <v>13</v>
      </c>
      <c r="B14" s="84">
        <f t="shared" si="14"/>
        <v>13000</v>
      </c>
      <c r="C14" s="84">
        <f t="shared" si="0"/>
        <v>262.98273155416013</v>
      </c>
      <c r="D14" s="58" t="str">
        <f t="shared" si="1"/>
        <v>0.00126711398305266-0.0012194655966502i</v>
      </c>
      <c r="E14" s="58" t="str">
        <f t="shared" si="2"/>
        <v>0.99512283085849-0.277490278875169i</v>
      </c>
      <c r="F14" s="84" t="str">
        <f t="shared" si="3"/>
        <v>0.000922544205342601-0.00156512986919699i</v>
      </c>
      <c r="G14" s="84" t="str">
        <f t="shared" si="4"/>
        <v>0.242613195100459-0.41160212823843i</v>
      </c>
      <c r="H14" s="87">
        <f t="shared" si="5"/>
        <v>0.47778392020583776</v>
      </c>
      <c r="I14" s="58" t="str">
        <f t="shared" si="6"/>
        <v>0.909090909090911-0.0725346474200504i</v>
      </c>
      <c r="J14" s="89" t="str">
        <f t="shared" si="7"/>
        <v>0.435125038134224-0.495773374963717i</v>
      </c>
      <c r="K14" s="89" t="str">
        <f t="shared" si="8"/>
        <v>0.359607469532417-0.482264709373536i</v>
      </c>
      <c r="L14" s="89" t="str">
        <f t="shared" si="9"/>
        <v>-0.111255663587185-0.265018981815287i</v>
      </c>
      <c r="M14" s="84">
        <f t="shared" si="10"/>
        <v>-10.829522195758889</v>
      </c>
      <c r="N14" s="84">
        <f t="shared" si="11"/>
        <v>67.2272080851194</v>
      </c>
      <c r="O14" s="84">
        <f t="shared" si="12"/>
        <v>67.2272080851194</v>
      </c>
    </row>
    <row r="15" spans="1:18" ht="15" x14ac:dyDescent="0.2">
      <c r="A15" s="85">
        <f t="shared" si="13"/>
        <v>14</v>
      </c>
      <c r="B15" s="84">
        <f t="shared" si="14"/>
        <v>14000.000000000002</v>
      </c>
      <c r="C15" s="84">
        <f t="shared" si="0"/>
        <v>262.98273155416013</v>
      </c>
      <c r="D15" s="58" t="str">
        <f t="shared" si="1"/>
        <v>0.00126690886830398-0.00113236114373379i</v>
      </c>
      <c r="E15" s="58" t="str">
        <f t="shared" si="2"/>
        <v>0.993374742343426-0.301806562343923i</v>
      </c>
      <c r="F15" s="84" t="str">
        <f t="shared" si="3"/>
        <v>0.000916761246501939-0.00150722036974211i</v>
      </c>
      <c r="G15" s="84" t="str">
        <f t="shared" si="4"/>
        <v>0.241092376788077-0.396372929888851i</v>
      </c>
      <c r="H15" s="87">
        <f t="shared" si="5"/>
        <v>0.46393645437063474</v>
      </c>
      <c r="I15" s="58" t="str">
        <f t="shared" si="6"/>
        <v>0.909090909090909-0.0673536011757611i</v>
      </c>
      <c r="J15" s="89" t="str">
        <f t="shared" si="7"/>
        <v>0.399107100714115-0.489714838322965i</v>
      </c>
      <c r="K15" s="89" t="str">
        <f t="shared" si="8"/>
        <v>0.329840579102574-0.472076608054245i</v>
      </c>
      <c r="L15" s="89" t="str">
        <f t="shared" si="9"/>
        <v>-0.107596339089457-0.244553948196974i</v>
      </c>
      <c r="M15" s="84">
        <f t="shared" si="10"/>
        <v>-11.46401518527513</v>
      </c>
      <c r="N15" s="84">
        <f t="shared" si="11"/>
        <v>66.251957669555892</v>
      </c>
      <c r="O15" s="84">
        <f t="shared" si="12"/>
        <v>66.251957669555892</v>
      </c>
    </row>
    <row r="16" spans="1:18" ht="15" x14ac:dyDescent="0.2">
      <c r="A16" s="85">
        <f t="shared" si="13"/>
        <v>15</v>
      </c>
      <c r="B16" s="84">
        <f t="shared" si="14"/>
        <v>15000</v>
      </c>
      <c r="C16" s="84">
        <f t="shared" si="0"/>
        <v>262.98273155416013</v>
      </c>
      <c r="D16" s="58" t="str">
        <f t="shared" si="1"/>
        <v>0.0012667433921301-0.00105687057592692i</v>
      </c>
      <c r="E16" s="58" t="str">
        <f t="shared" si="2"/>
        <v>0.991177431652325-0.326761790654613i</v>
      </c>
      <c r="F16" s="84" t="str">
        <f t="shared" si="3"/>
        <v>0.000910222540094014-0.00146146960214849i</v>
      </c>
      <c r="G16" s="84" t="str">
        <f t="shared" si="4"/>
        <v>0.23937280991609-0.384341268056382i</v>
      </c>
      <c r="H16" s="87">
        <f t="shared" si="5"/>
        <v>0.45278863993955532</v>
      </c>
      <c r="I16" s="58" t="str">
        <f t="shared" si="6"/>
        <v>0.909090909090906-0.062863361097377i</v>
      </c>
      <c r="J16" s="89" t="str">
        <f t="shared" si="7"/>
        <v>0.366520623364025-0.481853977894623i</v>
      </c>
      <c r="K16" s="89" t="str">
        <f t="shared" si="8"/>
        <v>0.30290960608597-0.461089789109461i</v>
      </c>
      <c r="L16" s="89" t="str">
        <f t="shared" si="9"/>
        <v>-0.104707510674805-0.22679302055229i</v>
      </c>
      <c r="M16" s="84">
        <f t="shared" si="10"/>
        <v>-12.048242009517832</v>
      </c>
      <c r="N16" s="84">
        <f t="shared" si="11"/>
        <v>65.217818469852588</v>
      </c>
      <c r="O16" s="84">
        <f t="shared" si="12"/>
        <v>65.217818469852588</v>
      </c>
    </row>
    <row r="17" spans="1:18" ht="15" x14ac:dyDescent="0.2">
      <c r="A17" s="85">
        <f t="shared" si="13"/>
        <v>16</v>
      </c>
      <c r="B17" s="84">
        <f t="shared" si="14"/>
        <v>16000</v>
      </c>
      <c r="C17" s="84">
        <f t="shared" si="0"/>
        <v>262.98273155416013</v>
      </c>
      <c r="D17" s="58" t="str">
        <f t="shared" si="1"/>
        <v>0.00126660796196638-0.000990816299288076i</v>
      </c>
      <c r="E17" s="58" t="str">
        <f t="shared" si="2"/>
        <v>0.98845289678367-0.352389624521807i</v>
      </c>
      <c r="F17" s="84" t="str">
        <f t="shared" si="3"/>
        <v>0.000902828925418717-0.00142571474534544i</v>
      </c>
      <c r="G17" s="84" t="str">
        <f t="shared" si="4"/>
        <v>0.237428416932721-0.374938358147988i</v>
      </c>
      <c r="H17" s="87">
        <f t="shared" si="5"/>
        <v>0.44379164658416781</v>
      </c>
      <c r="I17" s="58" t="str">
        <f t="shared" si="6"/>
        <v>0.90909090909091-0.058934401028791i</v>
      </c>
      <c r="J17" s="89" t="str">
        <f t="shared" si="7"/>
        <v>0.337098844917639-0.472718958444478i</v>
      </c>
      <c r="K17" s="89" t="str">
        <f t="shared" si="8"/>
        <v>0.278594086708793-0.449611226189517i</v>
      </c>
      <c r="L17" s="89" t="str">
        <f t="shared" si="9"/>
        <v>-0.102430341978315-0.21120609112969i</v>
      </c>
      <c r="M17" s="84">
        <f t="shared" si="10"/>
        <v>-12.588484966135816</v>
      </c>
      <c r="N17" s="84">
        <f t="shared" si="11"/>
        <v>64.127627713943781</v>
      </c>
      <c r="O17" s="84">
        <f t="shared" si="12"/>
        <v>64.127627713943781</v>
      </c>
    </row>
    <row r="18" spans="1:18" ht="15" x14ac:dyDescent="0.2">
      <c r="A18" s="85">
        <f t="shared" si="13"/>
        <v>17</v>
      </c>
      <c r="B18" s="84">
        <f t="shared" si="14"/>
        <v>17000</v>
      </c>
      <c r="C18" s="84">
        <f t="shared" si="0"/>
        <v>262.98273155416013</v>
      </c>
      <c r="D18" s="58" t="str">
        <f t="shared" si="1"/>
        <v>0.00126649572073244-0.00093253309236665i</v>
      </c>
      <c r="E18" s="58" t="str">
        <f t="shared" si="2"/>
        <v>0.985114830259947-0.378718953288537i</v>
      </c>
      <c r="F18" s="84" t="str">
        <f t="shared" si="3"/>
        <v>0.000894475760306267-0.00139829811269876i</v>
      </c>
      <c r="G18" s="84" t="str">
        <f t="shared" si="4"/>
        <v>0.235231678754326-0.367728257204547i</v>
      </c>
      <c r="H18" s="87">
        <f t="shared" si="5"/>
        <v>0.43652951084236202</v>
      </c>
      <c r="I18" s="58" t="str">
        <f t="shared" si="6"/>
        <v>0.909090909090908-0.0554676715565091i</v>
      </c>
      <c r="J18" s="89" t="str">
        <f t="shared" si="7"/>
        <v>0.31056077397573-0.462723221422186i</v>
      </c>
      <c r="K18" s="89" t="str">
        <f t="shared" si="8"/>
        <v>0.256661796674157-0.43788355702939i</v>
      </c>
      <c r="L18" s="89" t="str">
        <f t="shared" si="9"/>
        <v>-0.100647171981182-0.197385879400915i</v>
      </c>
      <c r="M18" s="84">
        <f t="shared" si="10"/>
        <v>-13.089977794736956</v>
      </c>
      <c r="N18" s="84">
        <f t="shared" si="11"/>
        <v>62.982939696797089</v>
      </c>
      <c r="O18" s="84">
        <f t="shared" si="12"/>
        <v>62.982939696797089</v>
      </c>
    </row>
    <row r="19" spans="1:18" ht="15" x14ac:dyDescent="0.2">
      <c r="A19" s="85">
        <f t="shared" si="13"/>
        <v>18</v>
      </c>
      <c r="B19" s="84">
        <f t="shared" si="14"/>
        <v>18000</v>
      </c>
      <c r="C19" s="84">
        <f t="shared" si="0"/>
        <v>262.98273155416013</v>
      </c>
      <c r="D19" s="58" t="str">
        <f t="shared" si="1"/>
        <v>0.00126640166146721-0.00088072578129174i</v>
      </c>
      <c r="E19" s="58" t="str">
        <f t="shared" si="2"/>
        <v>0.981068267923973-0.405772721108261i</v>
      </c>
      <c r="F19" s="84" t="str">
        <f t="shared" si="3"/>
        <v>0.000885051987686729-0.00137792336495745i</v>
      </c>
      <c r="G19" s="84" t="str">
        <f t="shared" si="4"/>
        <v>0.232753389289295-0.36237005038881i</v>
      </c>
      <c r="H19" s="87">
        <f t="shared" si="5"/>
        <v>0.4306810811313202</v>
      </c>
      <c r="I19" s="58" t="str">
        <f t="shared" si="6"/>
        <v>0.909090909090906-0.0523861342478142i</v>
      </c>
      <c r="J19" s="89" t="str">
        <f t="shared" si="7"/>
        <v>0.286628418842458-0.452186430971044i</v>
      </c>
      <c r="K19" s="89" t="str">
        <f t="shared" si="8"/>
        <v>0.23688299077889-0.426093928438758i</v>
      </c>
      <c r="L19" s="89" t="str">
        <f t="shared" si="9"/>
        <v>-0.0992683593499473-0.18501410730451i</v>
      </c>
      <c r="M19" s="84">
        <f t="shared" si="10"/>
        <v>-13.557147990154771</v>
      </c>
      <c r="N19" s="84">
        <f t="shared" si="11"/>
        <v>61.784448309333911</v>
      </c>
      <c r="O19" s="84">
        <f t="shared" si="12"/>
        <v>61.784448309333911</v>
      </c>
    </row>
    <row r="20" spans="1:18" ht="15" x14ac:dyDescent="0.2">
      <c r="A20" s="85">
        <f t="shared" si="13"/>
        <v>19</v>
      </c>
      <c r="B20" s="84">
        <f t="shared" si="14"/>
        <v>19000</v>
      </c>
      <c r="C20" s="84">
        <f t="shared" si="0"/>
        <v>262.98273155416013</v>
      </c>
      <c r="D20" s="58" t="str">
        <f t="shared" si="1"/>
        <v>0.00126632205910091-0.000834371859304887i</v>
      </c>
      <c r="E20" s="58" t="str">
        <f t="shared" si="2"/>
        <v>0.976209335792462-0.433566558673604i</v>
      </c>
      <c r="F20" s="84" t="str">
        <f t="shared" si="3"/>
        <v>0.000874439680521326-0.0013635564959128i</v>
      </c>
      <c r="G20" s="84" t="str">
        <f t="shared" si="4"/>
        <v>0.229962535762845-0.358591811923567i</v>
      </c>
      <c r="H20" s="87">
        <f t="shared" si="5"/>
        <v>0.42599396173315013</v>
      </c>
      <c r="I20" s="58" t="str">
        <f t="shared" si="6"/>
        <v>0.90909090909091-0.0496289692874029i</v>
      </c>
      <c r="J20" s="89" t="str">
        <f t="shared" si="7"/>
        <v>0.26503709916248-0.441352959919856i</v>
      </c>
      <c r="K20" s="89" t="str">
        <f t="shared" si="8"/>
        <v>0.21903892492767-0.414383481617863i</v>
      </c>
      <c r="L20" s="89" t="str">
        <f t="shared" si="9"/>
        <v>-0.0982237768974112-0.173838241182683i</v>
      </c>
      <c r="M20" s="84">
        <f t="shared" si="10"/>
        <v>-13.993794235939532</v>
      </c>
      <c r="N20" s="84">
        <f t="shared" si="11"/>
        <v>60.532259921840975</v>
      </c>
      <c r="O20" s="84">
        <f t="shared" si="12"/>
        <v>60.532259921840975</v>
      </c>
    </row>
    <row r="21" spans="1:18" ht="15" x14ac:dyDescent="0.2">
      <c r="A21" s="85">
        <f t="shared" si="13"/>
        <v>20</v>
      </c>
      <c r="B21" s="84">
        <f t="shared" si="14"/>
        <v>20000</v>
      </c>
      <c r="C21" s="84">
        <f t="shared" si="0"/>
        <v>262.98273155416013</v>
      </c>
      <c r="D21" s="58" t="str">
        <f t="shared" si="1"/>
        <v>0.00126625409588138-0.000792653320279214i</v>
      </c>
      <c r="E21" s="58" t="str">
        <f t="shared" si="2"/>
        <v>0.970425138632163-0.462107208872458i</v>
      </c>
      <c r="F21" s="84" t="str">
        <f t="shared" si="3"/>
        <v>0.000862513993101518-0.00135435585419026i</v>
      </c>
      <c r="G21" s="84" t="str">
        <f t="shared" si="4"/>
        <v>0.226826285909523-0.356172202031322i</v>
      </c>
      <c r="H21" s="87">
        <f t="shared" si="5"/>
        <v>0.42226626846025661</v>
      </c>
      <c r="I21" s="58" t="str">
        <f t="shared" si="6"/>
        <v>0.909090909090908-0.0471475208230328i</v>
      </c>
      <c r="J21" s="89" t="str">
        <f t="shared" si="7"/>
        <v>0.245541036692956-0.430407523159975i</v>
      </c>
      <c r="K21" s="89" t="str">
        <f t="shared" si="8"/>
        <v>0.202926476605748-0.402856217649458i</v>
      </c>
      <c r="L21" s="89" t="str">
        <f t="shared" si="9"/>
        <v>-0.0974571271410294-0.163655149628112i</v>
      </c>
      <c r="M21" s="84">
        <f t="shared" si="10"/>
        <v>-14.403219526023827</v>
      </c>
      <c r="N21" s="84">
        <f t="shared" si="11"/>
        <v>59.226076032630289</v>
      </c>
      <c r="O21" s="84">
        <f t="shared" si="12"/>
        <v>59.226076032630289</v>
      </c>
    </row>
    <row r="22" spans="1:18" ht="15" x14ac:dyDescent="0.2">
      <c r="A22" s="85">
        <f t="shared" si="13"/>
        <v>21</v>
      </c>
      <c r="B22" s="84">
        <f t="shared" si="14"/>
        <v>21000</v>
      </c>
      <c r="C22" s="84">
        <f t="shared" si="0"/>
        <v>262.98273155416013</v>
      </c>
      <c r="D22" s="58" t="str">
        <f t="shared" si="1"/>
        <v>0.00126619560854261-0.000754907968283981i</v>
      </c>
      <c r="E22" s="58" t="str">
        <f t="shared" si="2"/>
        <v>0.963593842808501-0.491390740625996i</v>
      </c>
      <c r="F22" s="84" t="str">
        <f t="shared" si="3"/>
        <v>0.000849143506543291-0.00134962146798466i</v>
      </c>
      <c r="G22" s="84" t="str">
        <f t="shared" si="4"/>
        <v>0.223310078832233-0.354927140214741i</v>
      </c>
      <c r="H22" s="87">
        <f t="shared" si="5"/>
        <v>0.41933359771078743</v>
      </c>
      <c r="I22" s="58" t="str">
        <f t="shared" si="6"/>
        <v>0.909090909090906-0.0449024007838407i</v>
      </c>
      <c r="J22" s="89" t="str">
        <f t="shared" si="7"/>
        <v>0.22791583905811-0.419488032444965i</v>
      </c>
      <c r="K22" s="89" t="str">
        <f t="shared" si="8"/>
        <v>0.188360197568685-0.391586725118521i</v>
      </c>
      <c r="L22" s="89" t="str">
        <f t="shared" si="9"/>
        <v>-0.0969220259244545-0.15429940870921i</v>
      </c>
      <c r="M22" s="84">
        <f t="shared" si="10"/>
        <v>-14.788333134873167</v>
      </c>
      <c r="N22" s="84">
        <f t="shared" si="11"/>
        <v>57.865321479967292</v>
      </c>
      <c r="O22" s="84">
        <f t="shared" si="12"/>
        <v>57.865321479967292</v>
      </c>
    </row>
    <row r="23" spans="1:18" ht="15" x14ac:dyDescent="0.2">
      <c r="A23" s="85">
        <f t="shared" si="13"/>
        <v>22</v>
      </c>
      <c r="B23" s="84">
        <f t="shared" si="14"/>
        <v>22000</v>
      </c>
      <c r="C23" s="84">
        <f t="shared" si="0"/>
        <v>262.98273155416013</v>
      </c>
      <c r="D23" s="58" t="str">
        <f t="shared" si="1"/>
        <v>0.0012661449140084-0.000720594006302105i</v>
      </c>
      <c r="E23" s="58" t="str">
        <f t="shared" si="2"/>
        <v>0.95558501521352-0.521400553935948i</v>
      </c>
      <c r="F23" s="84" t="str">
        <f t="shared" si="3"/>
        <v>0.000834190992866397-0.00134875749400213i</v>
      </c>
      <c r="G23" s="84" t="str">
        <f t="shared" si="4"/>
        <v>0.219377825941882-0.354699929976824i</v>
      </c>
      <c r="H23" s="87">
        <f t="shared" si="5"/>
        <v>0.41705955311028481</v>
      </c>
      <c r="I23" s="58" t="str">
        <f t="shared" si="6"/>
        <v>0.909090909090909-0.0428613825663934i</v>
      </c>
      <c r="J23" s="89" t="str">
        <f t="shared" si="7"/>
        <v>0.211959016866011-0.408695965278843i</v>
      </c>
      <c r="K23" s="89" t="str">
        <f t="shared" si="8"/>
        <v>0.175172741211579-0.380626643127421i</v>
      </c>
      <c r="L23" s="89" t="str">
        <f t="shared" si="9"/>
        <v>-0.0965792285333337-0.145634804506446i</v>
      </c>
      <c r="M23" s="84">
        <f t="shared" si="10"/>
        <v>-15.151730098775285</v>
      </c>
      <c r="N23" s="84">
        <f t="shared" si="11"/>
        <v>56.449240116534142</v>
      </c>
      <c r="O23" s="84">
        <f t="shared" si="12"/>
        <v>56.449240116534142</v>
      </c>
    </row>
    <row r="24" spans="1:18" ht="15" x14ac:dyDescent="0.2">
      <c r="A24" s="85">
        <f t="shared" si="13"/>
        <v>23</v>
      </c>
      <c r="B24" s="84">
        <f t="shared" si="14"/>
        <v>23000</v>
      </c>
      <c r="C24" s="84">
        <f t="shared" si="0"/>
        <v>262.98273155416013</v>
      </c>
      <c r="D24" s="58" t="str">
        <f t="shared" si="1"/>
        <v>0.0012661006869399-0.000689263862637821i</v>
      </c>
      <c r="E24" s="58" t="str">
        <f t="shared" si="2"/>
        <v>0.946260289080358-0.552105191497926i</v>
      </c>
      <c r="F24" s="84" t="str">
        <f t="shared" si="3"/>
        <v>0.000817514645154335-0.00135124378413092i</v>
      </c>
      <c r="G24" s="84" t="str">
        <f t="shared" si="4"/>
        <v>0.214992234468217-0.355353781346329i</v>
      </c>
      <c r="H24" s="87">
        <f t="shared" si="5"/>
        <v>0.41532875026750965</v>
      </c>
      <c r="I24" s="58" t="str">
        <f t="shared" si="6"/>
        <v>0.909090909090908-0.0409978441939415i</v>
      </c>
      <c r="J24" s="89" t="str">
        <f t="shared" si="7"/>
        <v>0.197489315722579-0.398104616775548i</v>
      </c>
      <c r="K24" s="89" t="str">
        <f t="shared" si="8"/>
        <v>0.163214310514528-0.370009924173733i</v>
      </c>
      <c r="L24" s="89" t="str">
        <f t="shared" si="9"/>
        <v>-0.0963946163760967-0.137548082784698i</v>
      </c>
      <c r="M24" s="84">
        <f t="shared" si="10"/>
        <v>-15.495754052688714</v>
      </c>
      <c r="N24" s="84">
        <f t="shared" si="11"/>
        <v>54.976971533177391</v>
      </c>
      <c r="O24" s="84">
        <f t="shared" si="12"/>
        <v>54.976971533177391</v>
      </c>
    </row>
    <row r="25" spans="1:18" ht="15" x14ac:dyDescent="0.2">
      <c r="A25" s="85">
        <f t="shared" si="13"/>
        <v>24</v>
      </c>
      <c r="B25" s="84">
        <f t="shared" si="14"/>
        <v>24000</v>
      </c>
      <c r="C25" s="84">
        <f t="shared" si="0"/>
        <v>262.98273155416013</v>
      </c>
      <c r="D25" s="58" t="str">
        <f t="shared" si="1"/>
        <v>0.00126606187222393-0.000660544560699261i</v>
      </c>
      <c r="E25" s="58" t="str">
        <f t="shared" si="2"/>
        <v>0.935474435292397-0.583455988747857i</v>
      </c>
      <c r="F25" s="84" t="str">
        <f t="shared" si="3"/>
        <v>0.00079896983518911-0.00135661393137998i</v>
      </c>
      <c r="G25" s="84" t="str">
        <f t="shared" si="4"/>
        <v>0.210115269687409-0.356766037338735i</v>
      </c>
      <c r="H25" s="87">
        <f t="shared" si="5"/>
        <v>0.41404158239746436</v>
      </c>
      <c r="I25" s="58" t="str">
        <f t="shared" si="6"/>
        <v>0.90909090909091-0.0392896006858606i</v>
      </c>
      <c r="J25" s="89" t="str">
        <f t="shared" si="7"/>
        <v>0.184345384510225-0.387765604096086i</v>
      </c>
      <c r="K25" s="89" t="str">
        <f t="shared" si="8"/>
        <v>0.152351557446467-0.359757042087585i</v>
      </c>
      <c r="L25" s="89" t="str">
        <f t="shared" si="9"/>
        <v>-0.096337705730131-0.129944309352738i</v>
      </c>
      <c r="M25" s="84">
        <f t="shared" si="10"/>
        <v>-15.822547446262782</v>
      </c>
      <c r="N25" s="84">
        <f t="shared" si="11"/>
        <v>53.447617365805016</v>
      </c>
      <c r="O25" s="84">
        <f t="shared" si="12"/>
        <v>53.447617365805016</v>
      </c>
      <c r="P25" s="84">
        <v>-9.1029999999999998</v>
      </c>
      <c r="Q25" s="84">
        <v>72.905000000000001</v>
      </c>
      <c r="R25" s="84">
        <f>B25</f>
        <v>24000</v>
      </c>
    </row>
    <row r="26" spans="1:18" ht="15" x14ac:dyDescent="0.2">
      <c r="A26" s="85">
        <f t="shared" si="13"/>
        <v>25</v>
      </c>
      <c r="B26" s="84">
        <f t="shared" si="14"/>
        <v>25000</v>
      </c>
      <c r="C26" s="84">
        <f t="shared" si="0"/>
        <v>262.98273155416013</v>
      </c>
      <c r="D26" s="58" t="str">
        <f t="shared" si="1"/>
        <v>0.00126602762145539-0.000634122800018019i</v>
      </c>
      <c r="E26" s="58" t="str">
        <f t="shared" si="2"/>
        <v>0.923076923076923-0.615384615384615i</v>
      </c>
      <c r="F26" s="84" t="str">
        <f t="shared" si="3"/>
        <v>0.000778411465947733-0.00136443804398918i</v>
      </c>
      <c r="G26" s="84" t="str">
        <f t="shared" si="4"/>
        <v>0.204708773588013-0.35882364384469i</v>
      </c>
      <c r="H26" s="87">
        <f t="shared" si="5"/>
        <v>0.41311026296364184</v>
      </c>
      <c r="I26" s="58" t="str">
        <f t="shared" si="6"/>
        <v>0.909090909090909-0.0377180166584262i</v>
      </c>
      <c r="J26" s="89" t="str">
        <f t="shared" si="7"/>
        <v>0.172384118547403-0.377713958201226i</v>
      </c>
      <c r="K26" s="89" t="str">
        <f t="shared" si="8"/>
        <v>0.14246621367554-0.349878312692497i</v>
      </c>
      <c r="L26" s="89" t="str">
        <f t="shared" si="9"/>
        <v>-0.096380527183306-0.122743406212138i</v>
      </c>
      <c r="M26" s="84">
        <f t="shared" si="10"/>
        <v>-16.134091950923576</v>
      </c>
      <c r="N26" s="84">
        <f t="shared" si="11"/>
        <v>51.860302583416171</v>
      </c>
      <c r="O26" s="84">
        <f t="shared" si="12"/>
        <v>51.860302583416171</v>
      </c>
    </row>
    <row r="27" spans="1:18" ht="15" x14ac:dyDescent="0.2">
      <c r="A27" s="85">
        <f t="shared" si="13"/>
        <v>26</v>
      </c>
      <c r="B27" s="84">
        <f t="shared" si="14"/>
        <v>26000</v>
      </c>
      <c r="C27" s="84">
        <f t="shared" si="0"/>
        <v>262.98273155416013</v>
      </c>
      <c r="D27" s="58" t="str">
        <f t="shared" si="1"/>
        <v>0.00126599724617939-0.000609733480100086i</v>
      </c>
      <c r="E27" s="58" t="str">
        <f t="shared" si="2"/>
        <v>0.908914055000462-0.647800587445505i</v>
      </c>
      <c r="F27" s="84" t="str">
        <f t="shared" si="3"/>
        <v>0.0007556969840503-0.00137430908964671i</v>
      </c>
      <c r="G27" s="84" t="str">
        <f t="shared" si="4"/>
        <v>0.198735257092788-0.361419558395003i</v>
      </c>
      <c r="H27" s="87">
        <f t="shared" si="5"/>
        <v>0.41245581533320091</v>
      </c>
      <c r="I27" s="58" t="str">
        <f t="shared" si="6"/>
        <v>0.909090909090907-0.0362673237100252i</v>
      </c>
      <c r="J27" s="89" t="str">
        <f t="shared" si="7"/>
        <v>0.161478890980319-0.367972089631924i</v>
      </c>
      <c r="K27" s="89" t="str">
        <f t="shared" si="8"/>
        <v>0.133453628909354-0.340376488695086i</v>
      </c>
      <c r="L27" s="89" t="str">
        <f t="shared" si="9"/>
        <v>-0.0964967789809537-0.115877560615788i</v>
      </c>
      <c r="M27" s="84">
        <f t="shared" si="10"/>
        <v>-16.432241040751215</v>
      </c>
      <c r="N27" s="84">
        <f t="shared" si="11"/>
        <v>50.214235146956327</v>
      </c>
      <c r="O27" s="84">
        <f t="shared" si="12"/>
        <v>50.214235146956327</v>
      </c>
    </row>
    <row r="28" spans="1:18" ht="15" x14ac:dyDescent="0.2">
      <c r="A28" s="85">
        <f t="shared" si="13"/>
        <v>27</v>
      </c>
      <c r="B28" s="84">
        <f t="shared" si="14"/>
        <v>27000</v>
      </c>
      <c r="C28" s="84">
        <f t="shared" si="0"/>
        <v>262.98273155416013</v>
      </c>
      <c r="D28" s="58" t="str">
        <f t="shared" si="1"/>
        <v>0.00126597018302344-0.000587150774525192i</v>
      </c>
      <c r="E28" s="58" t="str">
        <f t="shared" si="2"/>
        <v>0.89283175581238-0.680588859597241i</v>
      </c>
      <c r="F28" s="84" t="str">
        <f t="shared" si="3"/>
        <v>0.000730690105269201-0.00138583206009396i</v>
      </c>
      <c r="G28" s="84" t="str">
        <f t="shared" si="4"/>
        <v>0.192158879803291-0.364449900638839i</v>
      </c>
      <c r="H28" s="87">
        <f t="shared" si="5"/>
        <v>0.41200578292411771</v>
      </c>
      <c r="I28" s="58" t="str">
        <f t="shared" si="6"/>
        <v>0.90909090909091-0.0349240894985428i</v>
      </c>
      <c r="J28" s="89" t="str">
        <f t="shared" si="7"/>
        <v>0.151517801661492-0.358552865615603i</v>
      </c>
      <c r="K28" s="89" t="str">
        <f t="shared" si="8"/>
        <v>0.125221323687184-0.331248771825488i</v>
      </c>
      <c r="L28" s="89" t="str">
        <f t="shared" si="9"/>
        <v>-0.096661192691322-0.10928929190586i</v>
      </c>
      <c r="M28" s="84">
        <f t="shared" si="10"/>
        <v>-16.718746148258038</v>
      </c>
      <c r="N28" s="84">
        <f t="shared" si="11"/>
        <v>48.508766076514121</v>
      </c>
      <c r="O28" s="84">
        <f t="shared" si="12"/>
        <v>48.508766076514121</v>
      </c>
    </row>
    <row r="29" spans="1:18" ht="15" x14ac:dyDescent="0.2">
      <c r="A29" s="85">
        <f t="shared" si="13"/>
        <v>28</v>
      </c>
      <c r="B29" s="84">
        <f t="shared" si="14"/>
        <v>28000.000000000004</v>
      </c>
      <c r="C29" s="84">
        <f t="shared" si="0"/>
        <v>262.98273155416013</v>
      </c>
      <c r="D29" s="58" t="str">
        <f t="shared" si="1"/>
        <v>0.00126594596738544-0.00056618111773425i</v>
      </c>
      <c r="E29" s="58" t="str">
        <f t="shared" si="2"/>
        <v>0.874679080449271-0.713607641392179i</v>
      </c>
      <c r="F29" s="84" t="str">
        <f t="shared" si="3"/>
        <v>0.000703265282624034-0.0013986154953434i</v>
      </c>
      <c r="G29" s="84" t="str">
        <f t="shared" si="4"/>
        <v>0.184946625031677-0.367811723359382i</v>
      </c>
      <c r="H29" s="87">
        <f t="shared" si="5"/>
        <v>0.41169250412316993</v>
      </c>
      <c r="I29" s="58" t="str">
        <f t="shared" si="6"/>
        <v>0.909090909090909-0.0336768005878805i</v>
      </c>
      <c r="J29" s="89" t="str">
        <f t="shared" si="7"/>
        <v>0.142402017405415-0.349461990557318i</v>
      </c>
      <c r="K29" s="89" t="str">
        <f t="shared" si="8"/>
        <v>0.117687617690426-0.322488363031945i</v>
      </c>
      <c r="L29" s="89" t="str">
        <f t="shared" si="9"/>
        <v>-0.0968490728702631-0.102930019835524i</v>
      </c>
      <c r="M29" s="84">
        <f t="shared" si="10"/>
        <v>-16.99527738039297</v>
      </c>
      <c r="N29" s="84">
        <f t="shared" si="11"/>
        <v>46.74345098351381</v>
      </c>
      <c r="O29" s="84">
        <f t="shared" si="12"/>
        <v>46.74345098351381</v>
      </c>
    </row>
    <row r="30" spans="1:18" ht="15" x14ac:dyDescent="0.2">
      <c r="A30" s="85">
        <f t="shared" si="13"/>
        <v>29</v>
      </c>
      <c r="B30" s="84">
        <f t="shared" si="14"/>
        <v>28999.999999999996</v>
      </c>
      <c r="C30" s="84">
        <f t="shared" si="0"/>
        <v>262.98273155416013</v>
      </c>
      <c r="D30" s="58" t="str">
        <f t="shared" si="1"/>
        <v>0.0012659242133599-0.000546657642822908i</v>
      </c>
      <c r="E30" s="58" t="str">
        <f t="shared" si="2"/>
        <v>0.854312480830752-0.74668661675985i</v>
      </c>
      <c r="F30" s="84" t="str">
        <f t="shared" si="3"/>
        <v>0.000673312909413863-0.00141226511495321i</v>
      </c>
      <c r="G30" s="84" t="str">
        <f t="shared" si="4"/>
        <v>0.177069668108336-0.371401337609045i</v>
      </c>
      <c r="H30" s="87">
        <f t="shared" si="5"/>
        <v>0.41145184522831352</v>
      </c>
      <c r="I30" s="58" t="str">
        <f t="shared" si="6"/>
        <v>0.909090909090907-0.0325155316020916i</v>
      </c>
      <c r="J30" s="89" t="str">
        <f t="shared" si="7"/>
        <v>0.134044241809507-0.340699843039619i</v>
      </c>
      <c r="K30" s="89" t="str">
        <f t="shared" si="8"/>
        <v>0.110780365131824-0.314085649816652i</v>
      </c>
      <c r="L30" s="89" t="str">
        <f t="shared" si="9"/>
        <v>-0.0970359879788983-0.0967590175614035i</v>
      </c>
      <c r="M30" s="84">
        <f t="shared" si="10"/>
        <v>-17.263439480224413</v>
      </c>
      <c r="N30" s="84">
        <f t="shared" si="11"/>
        <v>44.918113342893406</v>
      </c>
      <c r="O30" s="84">
        <f t="shared" si="12"/>
        <v>44.918113342893406</v>
      </c>
    </row>
    <row r="31" spans="1:18" ht="15" x14ac:dyDescent="0.2">
      <c r="A31" s="85">
        <f t="shared" si="13"/>
        <v>30</v>
      </c>
      <c r="B31" s="84">
        <f t="shared" si="14"/>
        <v>30000</v>
      </c>
      <c r="C31" s="84">
        <f t="shared" si="0"/>
        <v>262.98273155416013</v>
      </c>
      <c r="D31" s="58" t="str">
        <f t="shared" si="1"/>
        <v>0.00126590459826735-0.00052843573177393i</v>
      </c>
      <c r="E31" s="58" t="str">
        <f t="shared" si="2"/>
        <v>0.831600831600832-0.77962577962578i</v>
      </c>
      <c r="F31" s="84" t="str">
        <f t="shared" si="3"/>
        <v>0.000640745197280075-0.00142637945334684i</v>
      </c>
      <c r="G31" s="84" t="str">
        <f t="shared" si="4"/>
        <v>0.168504922210923-0.375113164873882i</v>
      </c>
      <c r="H31" s="87">
        <f t="shared" si="5"/>
        <v>0.4112223185468043</v>
      </c>
      <c r="I31" s="58" t="str">
        <f t="shared" si="6"/>
        <v>0.909090909090909-0.0314316805486885i</v>
      </c>
      <c r="J31" s="89" t="str">
        <f t="shared" si="7"/>
        <v>0.126367330364555-0.332262890165439i</v>
      </c>
      <c r="K31" s="89" t="str">
        <f t="shared" si="8"/>
        <v>0.10443581021864-0.306029110437481i</v>
      </c>
      <c r="L31" s="89" t="str">
        <f t="shared" si="9"/>
        <v>-0.0971976000828156-0.0907426587458279i</v>
      </c>
      <c r="M31" s="84">
        <f t="shared" si="10"/>
        <v>-17.524783505475995</v>
      </c>
      <c r="N31" s="84">
        <f t="shared" si="11"/>
        <v>43.032909096188092</v>
      </c>
      <c r="O31" s="84">
        <f t="shared" si="12"/>
        <v>43.032909096188092</v>
      </c>
    </row>
    <row r="32" spans="1:18" ht="15" x14ac:dyDescent="0.2">
      <c r="A32" s="85">
        <f t="shared" si="13"/>
        <v>31</v>
      </c>
      <c r="B32" s="84">
        <f t="shared" si="14"/>
        <v>31000</v>
      </c>
      <c r="C32" s="84">
        <f t="shared" si="0"/>
        <v>262.98273155416013</v>
      </c>
      <c r="D32" s="58" t="str">
        <f t="shared" si="1"/>
        <v>0.00126588685061923-0.000511389426933202i</v>
      </c>
      <c r="E32" s="58" t="str">
        <f t="shared" si="2"/>
        <v>0.80643116012275-0.812195125529735i</v>
      </c>
      <c r="F32" s="84" t="str">
        <f t="shared" si="3"/>
        <v>0.000605502601726408-0.00144054749838138i</v>
      </c>
      <c r="G32" s="84" t="str">
        <f t="shared" si="4"/>
        <v>0.159236728165161-0.378839116057847i</v>
      </c>
      <c r="H32" s="87">
        <f t="shared" si="5"/>
        <v>0.4109445357371676</v>
      </c>
      <c r="I32" s="58" t="str">
        <f t="shared" si="6"/>
        <v>0.909090909090908-0.0304177553696986i</v>
      </c>
      <c r="J32" s="89" t="str">
        <f t="shared" si="7"/>
        <v>0.119303052897333-0.324144773930893i</v>
      </c>
      <c r="K32" s="89" t="str">
        <f t="shared" si="8"/>
        <v>0.098597564377961-0.298305998287792i</v>
      </c>
      <c r="L32" s="89" t="str">
        <f t="shared" si="9"/>
        <v>-0.0973096271495004-0.0848538852937935i</v>
      </c>
      <c r="M32" s="84">
        <f t="shared" si="10"/>
        <v>-17.780814548258014</v>
      </c>
      <c r="N32" s="84">
        <f t="shared" si="11"/>
        <v>41.088391535848245</v>
      </c>
      <c r="O32" s="84">
        <f t="shared" si="12"/>
        <v>41.088391535848245</v>
      </c>
    </row>
    <row r="33" spans="1:18" ht="15" x14ac:dyDescent="0.2">
      <c r="A33" s="85">
        <f t="shared" si="13"/>
        <v>32</v>
      </c>
      <c r="B33" s="84">
        <f t="shared" si="14"/>
        <v>32000</v>
      </c>
      <c r="C33" s="84">
        <f t="shared" si="0"/>
        <v>262.98273155416013</v>
      </c>
      <c r="D33" s="58" t="str">
        <f t="shared" si="1"/>
        <v>0.001265870740673-0.000495408515332661i</v>
      </c>
      <c r="E33" s="58" t="str">
        <f t="shared" si="2"/>
        <v>0.778714955716654-0.844135453351387i</v>
      </c>
      <c r="F33" s="84" t="str">
        <f t="shared" si="3"/>
        <v>0.00056756058608171-0.00145434839164119i</v>
      </c>
      <c r="G33" s="84" t="str">
        <f t="shared" si="4"/>
        <v>0.149258633250248-0.3824685126652i</v>
      </c>
      <c r="H33" s="87">
        <f t="shared" si="5"/>
        <v>0.41056096110086049</v>
      </c>
      <c r="I33" s="58" t="str">
        <f t="shared" si="6"/>
        <v>0.909090909090907-0.0294672005143955i</v>
      </c>
      <c r="J33" s="89" t="str">
        <f t="shared" si="7"/>
        <v>0.112790997446704-0.316337143474619i</v>
      </c>
      <c r="K33" s="89" t="str">
        <f t="shared" si="8"/>
        <v>0.0932157003691766-0.290902856278543i</v>
      </c>
      <c r="L33" s="89" t="str">
        <f t="shared" si="9"/>
        <v>-0.0973479347363448-0.0790718330139726i</v>
      </c>
      <c r="M33" s="84">
        <f t="shared" si="10"/>
        <v>-18.032995730499774</v>
      </c>
      <c r="N33" s="84">
        <f t="shared" si="11"/>
        <v>39.085574804417604</v>
      </c>
      <c r="O33" s="84">
        <f t="shared" si="12"/>
        <v>39.085574804417604</v>
      </c>
    </row>
    <row r="34" spans="1:18" ht="15" x14ac:dyDescent="0.2">
      <c r="A34" s="85">
        <f t="shared" si="13"/>
        <v>33</v>
      </c>
      <c r="B34" s="84">
        <f t="shared" si="14"/>
        <v>33000</v>
      </c>
      <c r="C34" s="84">
        <f t="shared" ref="C34:C65" si="15">_ta1*_ta2*(rload/RS)</f>
        <v>262.98273155416013</v>
      </c>
      <c r="D34" s="58" t="str">
        <f t="shared" ref="D34:D65" si="16">IMDIV((COMPLEX(1,2*PI()*(B34)*(esrcout*0.001)*(cout*0.000001))),(COMPLEX(1,2*PI()*(B34)*rload*(cout*0.000001))))</f>
        <v>0.00126585607295945-0.0004803961431354i</v>
      </c>
      <c r="E34" s="58" t="str">
        <f t="shared" ref="E34:E65" si="17">IMDIV(1,(COMPLEX((1-(B34/(fpp*1000))^2),(B34/(fpp*1000)))))</f>
        <v>0.748394849515882-0.875160525656418i</v>
      </c>
      <c r="F34" s="84" t="str">
        <f t="shared" ref="F34:F65" si="18">IMPRODUCT(D34,E34)</f>
        <v>0.00052693642408156-0.00146735326546639i</v>
      </c>
      <c r="G34" s="84" t="str">
        <f t="shared" ref="G34:G65" si="19">IMPRODUCT(C34,F34)</f>
        <v>0.13857518016035-0.385888569907268i</v>
      </c>
      <c r="H34" s="87">
        <f t="shared" ref="H34:H65" si="20">IMABS(G34)</f>
        <v>0.41001593742383952</v>
      </c>
      <c r="I34" s="58" t="str">
        <f t="shared" ref="I34:I65" si="21">IMDIV((COMPLEX(1,(2*PI()*B34*(rf*1000)*(Cz*0.000000001)))),(COMPLEX(0,2*PI()*B34*((Cz*0.000000001)+(Cp*0.000000000001))*(RII*1000))))</f>
        <v>0.909090909090909-0.0285742550442623i</v>
      </c>
      <c r="J34" s="89" t="str">
        <f t="shared" ref="J34:J65" si="22">IMDIV(1,(COMPLEX(1,2*PI()*B34*(((Cz*0.000000001)*(Cp*0.000000000001))/((Cz*0.000000001)+(Cp*0.000000000001)))*(rf*1000))))</f>
        <v>0.10677760542311-0.308830290618029i</v>
      </c>
      <c r="K34" s="89" t="str">
        <f t="shared" ref="K34:K65" si="23">IMPRODUCT(I34,J34)</f>
        <v>0.0882459548951322-0.283805900183129i</v>
      </c>
      <c r="L34" s="89" t="str">
        <f t="shared" ref="L34:L65" si="24">IMPRODUCT(G34,K34)</f>
        <v>-0.0972887538548974-0.0733815590830313i</v>
      </c>
      <c r="M34" s="84">
        <f t="shared" ref="M34:M65" si="25">20*LOG(IMABS(L34))</f>
        <v>-18.282748670691436</v>
      </c>
      <c r="N34" s="84">
        <f t="shared" ref="N34:N65" si="26">(180/PI())*IMARGUMENT(L34)+180</f>
        <v>37.025993757668232</v>
      </c>
      <c r="O34" s="84">
        <f t="shared" si="12"/>
        <v>37.025993757668232</v>
      </c>
    </row>
    <row r="35" spans="1:18" ht="15" x14ac:dyDescent="0.2">
      <c r="A35" s="85">
        <f t="shared" si="13"/>
        <v>34</v>
      </c>
      <c r="B35" s="84">
        <f t="shared" si="14"/>
        <v>34000</v>
      </c>
      <c r="C35" s="84">
        <f t="shared" si="15"/>
        <v>262.98273155416013</v>
      </c>
      <c r="D35" s="58" t="str">
        <f t="shared" si="16"/>
        <v>0.00126584268032544-0.000466266851060343i</v>
      </c>
      <c r="E35" s="58" t="str">
        <f t="shared" si="17"/>
        <v>0.715451364638305-0.904960803485952i</v>
      </c>
      <c r="F35" s="84" t="str">
        <f t="shared" si="18"/>
        <v>0.000483695648881813-0.00147912926395085i</v>
      </c>
      <c r="G35" s="84" t="str">
        <f t="shared" si="19"/>
        <v>0.127203602983801-0.388985454155489i</v>
      </c>
      <c r="H35" s="87">
        <f t="shared" si="20"/>
        <v>0.40925595921942609</v>
      </c>
      <c r="I35" s="58" t="str">
        <f t="shared" si="21"/>
        <v>0.909090909090908-0.0277338357782546i</v>
      </c>
      <c r="J35" s="89" t="str">
        <f t="shared" si="22"/>
        <v>0.101215325973284-0.301613633248575i</v>
      </c>
      <c r="K35" s="89" t="str">
        <f t="shared" si="23"/>
        <v>0.0836490297299867-0.277001301272944i</v>
      </c>
      <c r="L35" s="89" t="str">
        <f t="shared" si="24"/>
        <v>-0.0971090190095642-0.0677738193723047i</v>
      </c>
      <c r="M35" s="84">
        <f t="shared" si="25"/>
        <v>-18.531450625610255</v>
      </c>
      <c r="N35" s="84">
        <f t="shared" si="26"/>
        <v>34.91175741999939</v>
      </c>
      <c r="O35" s="84">
        <f t="shared" si="12"/>
        <v>34.91175741999939</v>
      </c>
    </row>
    <row r="36" spans="1:18" ht="15" x14ac:dyDescent="0.2">
      <c r="A36" s="85">
        <f t="shared" si="13"/>
        <v>35</v>
      </c>
      <c r="B36" s="84">
        <f t="shared" ref="B36:B67" si="27">(fs*1000/2)*(A36/100)</f>
        <v>35000</v>
      </c>
      <c r="C36" s="84">
        <f t="shared" si="15"/>
        <v>262.98273155416013</v>
      </c>
      <c r="D36" s="58" t="str">
        <f t="shared" si="16"/>
        <v>0.00126583041915045-0.000452944946590723i</v>
      </c>
      <c r="E36" s="58" t="str">
        <f t="shared" si="17"/>
        <v>0.679909345420611-0.933208905479269i</v>
      </c>
      <c r="F36" s="84" t="str">
        <f t="shared" si="18"/>
        <v>0.000437957673847785-0.00148924572212583i</v>
      </c>
      <c r="G36" s="84" t="str">
        <f t="shared" si="19"/>
        <v>0.115175305373596-0.391645907959998i</v>
      </c>
      <c r="H36" s="87">
        <f t="shared" si="20"/>
        <v>0.40823016570277149</v>
      </c>
      <c r="I36" s="58" t="str">
        <f t="shared" si="21"/>
        <v>0.90909090909091-0.0269414404703044i</v>
      </c>
      <c r="J36" s="89" t="str">
        <f t="shared" si="22"/>
        <v>0.0960618769667604-0.294676081079519i</v>
      </c>
      <c r="K36" s="89" t="str">
        <f t="shared" si="23"/>
        <v>0.0793899809642649-0.270475391775692i</v>
      </c>
      <c r="L36" s="89" t="str">
        <f t="shared" si="24"/>
        <v>-0.0967868150916639-0.0622448470214848i</v>
      </c>
      <c r="M36" s="84">
        <f t="shared" si="25"/>
        <v>-18.780428561756075</v>
      </c>
      <c r="N36" s="84">
        <f t="shared" si="26"/>
        <v>32.745592854099755</v>
      </c>
      <c r="O36" s="84">
        <f t="shared" si="12"/>
        <v>32.745592854099755</v>
      </c>
    </row>
    <row r="37" spans="1:18" ht="15" x14ac:dyDescent="0.2">
      <c r="A37" s="85">
        <f t="shared" si="13"/>
        <v>36</v>
      </c>
      <c r="B37" s="84">
        <f t="shared" si="27"/>
        <v>36000</v>
      </c>
      <c r="C37" s="84">
        <f t="shared" si="15"/>
        <v>262.98273155416013</v>
      </c>
      <c r="D37" s="58" t="str">
        <f t="shared" si="16"/>
        <v>0.00126581916548005-0.000440363147480743i</v>
      </c>
      <c r="E37" s="58" t="str">
        <f t="shared" si="17"/>
        <v>0.641843596575924-0.959566838734771i</v>
      </c>
      <c r="F37" s="84" t="str">
        <f t="shared" si="18"/>
        <v>0.00038990005246306-0.00149728236140811i</v>
      </c>
      <c r="G37" s="84" t="str">
        <f t="shared" si="19"/>
        <v>0.102536980829846-0.393759405310968i</v>
      </c>
      <c r="H37" s="87">
        <f t="shared" si="20"/>
        <v>0.40689101944936967</v>
      </c>
      <c r="I37" s="58" t="str">
        <f t="shared" si="21"/>
        <v>0.909090909090909-0.0261930671239071i</v>
      </c>
      <c r="J37" s="89" t="str">
        <f t="shared" si="22"/>
        <v>0.091279600351635-0.288006310540726i</v>
      </c>
      <c r="K37" s="89" t="str">
        <f t="shared" si="23"/>
        <v>0.0754376862410207-0.264214811372441i</v>
      </c>
      <c r="L37" s="89" t="str">
        <f t="shared" si="24"/>
        <v>-0.0963019144124185-0.0567960875209571i</v>
      </c>
      <c r="M37" s="84">
        <f t="shared" si="25"/>
        <v>-19.030950499506108</v>
      </c>
      <c r="N37" s="84">
        <f t="shared" si="26"/>
        <v>30.53087603892115</v>
      </c>
      <c r="O37" s="84">
        <f t="shared" si="12"/>
        <v>30.53087603892115</v>
      </c>
    </row>
    <row r="38" spans="1:18" ht="15" x14ac:dyDescent="0.2">
      <c r="A38" s="85">
        <f t="shared" si="13"/>
        <v>37</v>
      </c>
      <c r="B38" s="84">
        <f t="shared" si="27"/>
        <v>37000</v>
      </c>
      <c r="C38" s="84">
        <f t="shared" si="15"/>
        <v>262.98273155416013</v>
      </c>
      <c r="D38" s="58" t="str">
        <f t="shared" si="16"/>
        <v>0.00126580881188075-0.000428461445233814i</v>
      </c>
      <c r="E38" s="58" t="str">
        <f t="shared" si="17"/>
        <v>0.601383213294196-0.983694911223927i</v>
      </c>
      <c r="F38" s="84" t="str">
        <f t="shared" si="18"/>
        <v>0.000339760827372802-0.00150283920753688i</v>
      </c>
      <c r="G38" s="84" t="str">
        <f t="shared" si="19"/>
        <v>0.0893512304576009-0.395220759884738i</v>
      </c>
      <c r="H38" s="87">
        <f t="shared" si="20"/>
        <v>0.40519512759676296</v>
      </c>
      <c r="I38" s="58" t="str">
        <f t="shared" si="21"/>
        <v>0.909090909090908-0.0254851463908285i</v>
      </c>
      <c r="J38" s="89" t="str">
        <f t="shared" si="22"/>
        <v>0.0868349004172422-0.281592969526531i</v>
      </c>
      <c r="K38" s="89" t="str">
        <f t="shared" si="23"/>
        <v>0.0717643805101174-0.258206608809449i</v>
      </c>
      <c r="L38" s="89" t="str">
        <f t="shared" si="24"/>
        <v>-0.0956363764393253-0.0514338512072748i</v>
      </c>
      <c r="M38" s="84">
        <f t="shared" si="25"/>
        <v>-19.284214589668753</v>
      </c>
      <c r="N38" s="84">
        <f t="shared" si="26"/>
        <v>28.271646368620452</v>
      </c>
      <c r="O38" s="84">
        <f t="shared" si="12"/>
        <v>28.271646368620452</v>
      </c>
    </row>
    <row r="39" spans="1:18" ht="15" x14ac:dyDescent="0.2">
      <c r="A39" s="85">
        <f t="shared" si="13"/>
        <v>38</v>
      </c>
      <c r="B39" s="84">
        <f t="shared" si="27"/>
        <v>38000</v>
      </c>
      <c r="C39" s="84">
        <f t="shared" si="15"/>
        <v>262.98273155416013</v>
      </c>
      <c r="D39" s="58" t="str">
        <f t="shared" si="16"/>
        <v>0.00126579926486645-0.00041718614803138i</v>
      </c>
      <c r="E39" s="58" t="str">
        <f t="shared" si="17"/>
        <v>0.558714077224444-1.00526207076368i</v>
      </c>
      <c r="F39" s="84" t="str">
        <f t="shared" si="18"/>
        <v>0.00028783845715729-0.00150554776389896i</v>
      </c>
      <c r="G39" s="84" t="str">
        <f t="shared" si="19"/>
        <v>0.0756965437095592-0.395933063435406i</v>
      </c>
      <c r="H39" s="87">
        <f t="shared" si="20"/>
        <v>0.40310415211322059</v>
      </c>
      <c r="I39" s="58" t="str">
        <f t="shared" si="21"/>
        <v>0.90909090909091-0.0248144846437015i</v>
      </c>
      <c r="J39" s="89" t="str">
        <f t="shared" si="22"/>
        <v>0.0826977545131897-0.27542482805961i</v>
      </c>
      <c r="K39" s="89" t="str">
        <f t="shared" si="23"/>
        <v>0.0683452516637932-0.252438309486355i</v>
      </c>
      <c r="L39" s="89" t="str">
        <f t="shared" si="24"/>
        <v>-0.0947751738734785-0.0461688523905105i</v>
      </c>
      <c r="M39" s="84">
        <f t="shared" si="25"/>
        <v>-19.541336514315788</v>
      </c>
      <c r="N39" s="84">
        <f t="shared" si="26"/>
        <v>25.972601710813876</v>
      </c>
      <c r="O39" s="84">
        <f t="shared" si="12"/>
        <v>25.972601710813876</v>
      </c>
    </row>
    <row r="40" spans="1:18" ht="15" x14ac:dyDescent="0.2">
      <c r="A40" s="85">
        <f t="shared" si="13"/>
        <v>39</v>
      </c>
      <c r="B40" s="84">
        <f t="shared" si="27"/>
        <v>39000</v>
      </c>
      <c r="C40" s="84">
        <f t="shared" si="15"/>
        <v>262.98273155416013</v>
      </c>
      <c r="D40" s="58" t="str">
        <f t="shared" si="16"/>
        <v>0.00126579044278065-0.000406489070903253i</v>
      </c>
      <c r="E40" s="58" t="str">
        <f t="shared" si="17"/>
        <v>0.514079044457808-1.02395723870554i</v>
      </c>
      <c r="F40" s="84" t="str">
        <f t="shared" si="18"/>
        <v>0.000234488914702427-0.00150508279972202i</v>
      </c>
      <c r="G40" s="84" t="str">
        <f t="shared" si="19"/>
        <v>0.0616665353076147-0.39581078588608i</v>
      </c>
      <c r="H40" s="87">
        <f t="shared" si="20"/>
        <v>0.40058574587795998</v>
      </c>
      <c r="I40" s="58" t="str">
        <f t="shared" si="21"/>
        <v>0.909090909090909-0.0241782158066835i</v>
      </c>
      <c r="J40" s="89" t="str">
        <f t="shared" si="22"/>
        <v>0.0788412868611406-0.269490887317586i</v>
      </c>
      <c r="K40" s="89" t="str">
        <f t="shared" si="23"/>
        <v>0.0651580883149922-0.246897957391465i</v>
      </c>
      <c r="L40" s="89" t="str">
        <f t="shared" si="24"/>
        <v>-0.0937068009951305-0.0410156157496504i</v>
      </c>
      <c r="M40" s="84">
        <f t="shared" si="25"/>
        <v>-19.803335934702915</v>
      </c>
      <c r="N40" s="84">
        <f t="shared" si="26"/>
        <v>23.639071633832401</v>
      </c>
      <c r="O40" s="84">
        <f t="shared" si="12"/>
        <v>23.639071633832401</v>
      </c>
    </row>
    <row r="41" spans="1:18" ht="15" x14ac:dyDescent="0.2">
      <c r="A41" s="85">
        <f t="shared" si="13"/>
        <v>40</v>
      </c>
      <c r="B41" s="84">
        <f t="shared" si="27"/>
        <v>40000</v>
      </c>
      <c r="C41" s="84">
        <f t="shared" si="15"/>
        <v>262.98273155416013</v>
      </c>
      <c r="D41" s="58" t="str">
        <f t="shared" si="16"/>
        <v>0.00126578227404465-0.000396326847372265i</v>
      </c>
      <c r="E41" s="58" t="str">
        <f t="shared" si="17"/>
        <v>0.467775467775468-1.03950103950104i</v>
      </c>
      <c r="F41" s="84" t="str">
        <f t="shared" si="18"/>
        <v>0.000180119725517492-0.00150117396607294i</v>
      </c>
      <c r="G41" s="84" t="str">
        <f t="shared" si="19"/>
        <v>0.0473683774233756-0.394782830135854i</v>
      </c>
      <c r="H41" s="87">
        <f t="shared" si="20"/>
        <v>0.39761444409100372</v>
      </c>
      <c r="I41" s="58" t="str">
        <f t="shared" si="21"/>
        <v>0.909090909090908-0.0235737604115164i</v>
      </c>
      <c r="J41" s="89" t="str">
        <f t="shared" si="22"/>
        <v>0.0752413971709198-0.263780456673135i</v>
      </c>
      <c r="K41" s="89" t="str">
        <f t="shared" si="23"/>
        <v>0.0621829728685287-0.24157413782733i</v>
      </c>
      <c r="L41" s="89" t="str">
        <f t="shared" si="24"/>
        <v>-0.0924238152909582-0.0359917449516303i</v>
      </c>
      <c r="M41" s="84">
        <f t="shared" si="25"/>
        <v>-20.071122819011716</v>
      </c>
      <c r="N41" s="84">
        <f t="shared" si="26"/>
        <v>21.27696743172072</v>
      </c>
      <c r="O41" s="84">
        <f t="shared" si="12"/>
        <v>21.27696743172072</v>
      </c>
    </row>
    <row r="42" spans="1:18" ht="15" x14ac:dyDescent="0.2">
      <c r="A42" s="85">
        <f t="shared" si="13"/>
        <v>41</v>
      </c>
      <c r="B42" s="84">
        <f t="shared" si="27"/>
        <v>41000</v>
      </c>
      <c r="C42" s="84">
        <f t="shared" si="15"/>
        <v>262.98273155416013</v>
      </c>
      <c r="D42" s="58" t="str">
        <f t="shared" si="16"/>
        <v>0.00126577469570098-0.000386660341833729i</v>
      </c>
      <c r="E42" s="58" t="str">
        <f t="shared" si="17"/>
        <v>0.420149875001565-1.05165719627986i</v>
      </c>
      <c r="F42" s="84" t="str">
        <f t="shared" si="18"/>
        <v>0.000125180949173439-0.00149361636189239i</v>
      </c>
      <c r="G42" s="84" t="str">
        <f t="shared" si="19"/>
        <v>0.0329204279521735-0.392795310744448i</v>
      </c>
      <c r="H42" s="87">
        <f t="shared" si="20"/>
        <v>0.3941724377977</v>
      </c>
      <c r="I42" s="58" t="str">
        <f t="shared" si="21"/>
        <v>0.909090909090909-0.0229987906453818i</v>
      </c>
      <c r="J42" s="89" t="str">
        <f t="shared" si="22"/>
        <v>0.0718764367871513-0.258283206232875i</v>
      </c>
      <c r="K42" s="89" t="str">
        <f t="shared" si="23"/>
        <v>0.0594020138736788-0.236455985879163i</v>
      </c>
      <c r="L42" s="89" t="str">
        <f t="shared" si="24"/>
        <v>-0.0909232627328482-0.0311170647453528i</v>
      </c>
      <c r="M42" s="84">
        <f t="shared" si="25"/>
        <v>-20.345484551130046</v>
      </c>
      <c r="N42" s="84">
        <f t="shared" si="26"/>
        <v>18.892708896711724</v>
      </c>
      <c r="O42" s="84">
        <f t="shared" si="12"/>
        <v>18.892708896711724</v>
      </c>
    </row>
    <row r="43" spans="1:18" ht="15" x14ac:dyDescent="0.2">
      <c r="A43" s="85">
        <f t="shared" si="13"/>
        <v>42</v>
      </c>
      <c r="B43" s="84">
        <f t="shared" si="27"/>
        <v>42000</v>
      </c>
      <c r="C43" s="84">
        <f t="shared" si="15"/>
        <v>262.98273155416013</v>
      </c>
      <c r="D43" s="58" t="str">
        <f t="shared" si="16"/>
        <v>0.00126576765219678-0.000377454145880609i</v>
      </c>
      <c r="E43" s="58" t="str">
        <f t="shared" si="17"/>
        <v>0.371589855273829-1.06024279358022i</v>
      </c>
      <c r="F43" s="84" t="str">
        <f t="shared" si="18"/>
        <v>0.0000701533806132029-0.00148227916302887i</v>
      </c>
      <c r="G43" s="84" t="str">
        <f t="shared" si="19"/>
        <v>0.0184491276614188-0.389813823219146i</v>
      </c>
      <c r="H43" s="87">
        <f t="shared" si="20"/>
        <v>0.39025015962097298</v>
      </c>
      <c r="I43" s="58" t="str">
        <f t="shared" si="21"/>
        <v>0.909090909090909-0.0224512003919204i</v>
      </c>
      <c r="J43" s="89" t="str">
        <f t="shared" si="22"/>
        <v>0.0687269260222039-0.25298920068205i</v>
      </c>
      <c r="K43" s="89" t="str">
        <f t="shared" si="23"/>
        <v>0.0567991124150445-0.231533184426672i</v>
      </c>
      <c r="L43" s="89" t="str">
        <f t="shared" si="24"/>
        <v>-0.0892069417474642-0.0264126644433051i</v>
      </c>
      <c r="M43" s="84">
        <f t="shared" si="25"/>
        <v>-20.627074730607418</v>
      </c>
      <c r="N43" s="84">
        <f t="shared" si="26"/>
        <v>16.493129313642129</v>
      </c>
      <c r="O43" s="84">
        <f t="shared" si="12"/>
        <v>16.493129313642129</v>
      </c>
    </row>
    <row r="44" spans="1:18" ht="15" x14ac:dyDescent="0.2">
      <c r="A44" s="85">
        <f t="shared" si="13"/>
        <v>43</v>
      </c>
      <c r="B44" s="84">
        <f t="shared" si="27"/>
        <v>43000</v>
      </c>
      <c r="C44" s="84">
        <f t="shared" si="15"/>
        <v>262.98273155416013</v>
      </c>
      <c r="D44" s="58" t="str">
        <f t="shared" si="16"/>
        <v>0.00126576109436277-0.000368676144908819i</v>
      </c>
      <c r="E44" s="58" t="str">
        <f t="shared" si="17"/>
        <v>0.322513460849838-1.0651366218543i</v>
      </c>
      <c r="F44" s="84" t="str">
        <f t="shared" si="18"/>
        <v>0.0000155345276055695-0.00146711151555148i</v>
      </c>
      <c r="G44" s="84" t="str">
        <f t="shared" si="19"/>
        <v>0.00408531250311617-0.385824993854292i</v>
      </c>
      <c r="H44" s="87">
        <f t="shared" si="20"/>
        <v>0.3858466219379309</v>
      </c>
      <c r="I44" s="58" t="str">
        <f t="shared" si="21"/>
        <v>0.909090909090908-0.0219290794525734i</v>
      </c>
      <c r="J44" s="89" t="str">
        <f t="shared" si="22"/>
        <v>0.0657753071660852-0.247888918940102i</v>
      </c>
      <c r="K44" s="89" t="str">
        <f t="shared" si="23"/>
        <v>0.0543597579885001-0.226795954609682i</v>
      </c>
      <c r="L44" s="89" t="str">
        <f t="shared" si="24"/>
        <v>-0.0872814711944821-0.021899885640857i</v>
      </c>
      <c r="M44" s="84">
        <f t="shared" si="25"/>
        <v>-20.916404511053702</v>
      </c>
      <c r="N44" s="84">
        <f t="shared" si="26"/>
        <v>14.085361734130828</v>
      </c>
      <c r="O44" s="84">
        <f t="shared" si="12"/>
        <v>14.085361734130828</v>
      </c>
    </row>
    <row r="45" spans="1:18" ht="15" x14ac:dyDescent="0.2">
      <c r="A45" s="85">
        <f t="shared" si="13"/>
        <v>44</v>
      </c>
      <c r="B45" s="84">
        <f t="shared" si="27"/>
        <v>44000</v>
      </c>
      <c r="C45" s="84">
        <f t="shared" si="15"/>
        <v>262.98273155416013</v>
      </c>
      <c r="D45" s="58" t="str">
        <f t="shared" si="16"/>
        <v>0.00126575497855285-0.000360297143821738i</v>
      </c>
      <c r="E45" s="58" t="str">
        <f t="shared" si="17"/>
        <v>0.27335668044953-1.0662849237393i</v>
      </c>
      <c r="F45" s="84" t="str">
        <f t="shared" si="18"/>
        <v>-0.0000381768333237763-0.00144814508198942i</v>
      </c>
      <c r="G45" s="84" t="str">
        <f t="shared" si="19"/>
        <v>-0.0100398479095746-0.380837149348301i</v>
      </c>
      <c r="H45" s="87">
        <f t="shared" si="20"/>
        <v>0.38096946448473729</v>
      </c>
      <c r="I45" s="58" t="str">
        <f t="shared" si="21"/>
        <v>0.909090909090909-0.0214306912831967i</v>
      </c>
      <c r="J45" s="89" t="str">
        <f t="shared" si="22"/>
        <v>0.0630057284035029-0.242973263121371i</v>
      </c>
      <c r="K45" s="89" t="str">
        <f t="shared" si="23"/>
        <v>0.0520708499202503-0.22223504097028i</v>
      </c>
      <c r="L45" s="89" t="str">
        <f t="shared" si="24"/>
        <v>-0.0851581429021459-0.0175993080362516i</v>
      </c>
      <c r="M45" s="84">
        <f t="shared" si="25"/>
        <v>-21.213837186235406</v>
      </c>
      <c r="N45" s="84">
        <f t="shared" si="26"/>
        <v>11.676711054829951</v>
      </c>
      <c r="O45" s="84">
        <f t="shared" si="12"/>
        <v>11.676711054829951</v>
      </c>
      <c r="P45" s="84">
        <v>-13.846</v>
      </c>
      <c r="Q45" s="84">
        <v>23.129000000000001</v>
      </c>
      <c r="R45" s="84">
        <f>B45</f>
        <v>44000</v>
      </c>
    </row>
    <row r="46" spans="1:18" ht="15" x14ac:dyDescent="0.2">
      <c r="A46" s="85">
        <f t="shared" si="13"/>
        <v>45</v>
      </c>
      <c r="B46" s="84">
        <f t="shared" si="27"/>
        <v>45000</v>
      </c>
      <c r="C46" s="84">
        <f t="shared" si="15"/>
        <v>262.98273155416013</v>
      </c>
      <c r="D46" s="58" t="str">
        <f t="shared" si="16"/>
        <v>0.00126574926591592-0.000352290542640758i</v>
      </c>
      <c r="E46" s="58" t="str">
        <f t="shared" si="17"/>
        <v>0.224559744711027-1.06370405389434i</v>
      </c>
      <c r="F46" s="84" t="str">
        <f t="shared" si="18"/>
        <v>-0.0000904965463333624-0.00142549289968807i</v>
      </c>
      <c r="G46" s="84" t="str">
        <f t="shared" si="19"/>
        <v>-0.0237990289509653-0.374880016571029i</v>
      </c>
      <c r="H46" s="87">
        <f t="shared" si="20"/>
        <v>0.37563469036193109</v>
      </c>
      <c r="I46" s="58" t="str">
        <f t="shared" si="21"/>
        <v>0.909090909090908-0.0209544536991257i</v>
      </c>
      <c r="J46" s="89" t="str">
        <f t="shared" si="22"/>
        <v>0.0604038545170514-0.238233559509433i</v>
      </c>
      <c r="K46" s="89" t="str">
        <f t="shared" si="23"/>
        <v>0.0499205409231829-0.21784169296312i</v>
      </c>
      <c r="L46" s="89" t="str">
        <f t="shared" si="24"/>
        <v>-0.0828525578665541-0.0135297924509609i</v>
      </c>
      <c r="M46" s="84">
        <f t="shared" si="25"/>
        <v>-21.519586527380334</v>
      </c>
      <c r="N46" s="84">
        <f t="shared" si="26"/>
        <v>9.2745175939314208</v>
      </c>
      <c r="O46" s="84">
        <f t="shared" si="12"/>
        <v>9.2745175939314208</v>
      </c>
    </row>
    <row r="47" spans="1:18" ht="15" x14ac:dyDescent="0.2">
      <c r="A47" s="85">
        <f t="shared" si="13"/>
        <v>46</v>
      </c>
      <c r="B47" s="84">
        <f t="shared" si="27"/>
        <v>46000</v>
      </c>
      <c r="C47" s="84">
        <f t="shared" si="15"/>
        <v>262.98273155416013</v>
      </c>
      <c r="D47" s="58" t="str">
        <f t="shared" si="16"/>
        <v>0.00126574392177745-0.000344632054427445i</v>
      </c>
      <c r="E47" s="58" t="str">
        <f t="shared" si="17"/>
        <v>0.176553152797926-1.05747982144591i</v>
      </c>
      <c r="F47" s="84" t="str">
        <f t="shared" si="18"/>
        <v>-0.000140970363355851-0.00139934453216186i</v>
      </c>
      <c r="G47" s="84" t="str">
        <f t="shared" si="19"/>
        <v>-0.0370727712235042-0.368003447453304i</v>
      </c>
      <c r="H47" s="87">
        <f t="shared" si="20"/>
        <v>0.36986609428779343</v>
      </c>
      <c r="I47" s="58" t="str">
        <f t="shared" si="21"/>
        <v>0.909090909090908-0.0204989220969708i</v>
      </c>
      <c r="J47" s="89" t="str">
        <f t="shared" si="22"/>
        <v>0.0579567008205921-0.233661553642409i</v>
      </c>
      <c r="K47" s="89" t="str">
        <f t="shared" si="23"/>
        <v>0.0478980998517289-0.21360764411549i</v>
      </c>
      <c r="L47" s="89" t="str">
        <f t="shared" si="24"/>
        <v>-0.0803840647347225-0.00970763855001356i</v>
      </c>
      <c r="M47" s="84">
        <f t="shared" si="25"/>
        <v>-21.833719119703861</v>
      </c>
      <c r="N47" s="84">
        <f t="shared" si="26"/>
        <v>6.8860185801000569</v>
      </c>
      <c r="O47" s="84">
        <f t="shared" si="12"/>
        <v>6.8860185801000569</v>
      </c>
    </row>
    <row r="48" spans="1:18" ht="15" x14ac:dyDescent="0.2">
      <c r="A48" s="85">
        <f t="shared" si="13"/>
        <v>47</v>
      </c>
      <c r="B48" s="84">
        <f t="shared" si="27"/>
        <v>47000</v>
      </c>
      <c r="C48" s="84">
        <f t="shared" si="15"/>
        <v>262.98273155416013</v>
      </c>
      <c r="D48" s="58" t="str">
        <f t="shared" si="16"/>
        <v>0.00126573891511198-0.00033729945921562i</v>
      </c>
      <c r="E48" s="58" t="str">
        <f t="shared" si="17"/>
        <v>0.129744340337863-1.04776357317518i</v>
      </c>
      <c r="F48" s="84" t="str">
        <f t="shared" si="18"/>
        <v>-0.000189187626036648-0.00136995782423685i</v>
      </c>
      <c r="G48" s="84" t="str">
        <f t="shared" si="19"/>
        <v>-0.0497530786713646-0.360275250731801i</v>
      </c>
      <c r="H48" s="87">
        <f t="shared" si="20"/>
        <v>0.36369441173482592</v>
      </c>
      <c r="I48" s="58" t="str">
        <f t="shared" si="21"/>
        <v>0.909090909090909-0.0200627748183118i</v>
      </c>
      <c r="J48" s="89" t="str">
        <f t="shared" si="22"/>
        <v>0.0556524872566236-0.229249401130679i</v>
      </c>
      <c r="K48" s="89" t="str">
        <f t="shared" si="23"/>
        <v>0.0459937911211765-0.209525089802344i</v>
      </c>
      <c r="L48" s="89" t="str">
        <f t="shared" si="24"/>
        <v>-0.0777750369711888-0.00614590635172719i</v>
      </c>
      <c r="M48" s="84">
        <f t="shared" si="25"/>
        <v>-22.156160667177488</v>
      </c>
      <c r="N48" s="84">
        <f t="shared" si="26"/>
        <v>4.5182141398190652</v>
      </c>
      <c r="O48" s="84">
        <f t="shared" si="12"/>
        <v>4.5182141398190652</v>
      </c>
    </row>
    <row r="49" spans="1:15" ht="15" x14ac:dyDescent="0.2">
      <c r="A49" s="85">
        <f t="shared" si="13"/>
        <v>48</v>
      </c>
      <c r="B49" s="84">
        <f t="shared" si="27"/>
        <v>48000</v>
      </c>
      <c r="C49" s="84">
        <f t="shared" si="15"/>
        <v>262.98273155416013</v>
      </c>
      <c r="D49" s="58" t="str">
        <f t="shared" si="16"/>
        <v>0.00126573421809182-0.00033027238870189i</v>
      </c>
      <c r="E49" s="58" t="str">
        <f t="shared" si="17"/>
        <v>0.0845058374562984-1.03476535660774i</v>
      </c>
      <c r="F49" s="84" t="str">
        <f t="shared" si="18"/>
        <v>-0.000234792495975859-0.00133764786435035i</v>
      </c>
      <c r="G49" s="84" t="str">
        <f t="shared" si="19"/>
        <v>-0.0617463719401505-0.351778289224444i</v>
      </c>
      <c r="H49" s="87">
        <f t="shared" si="20"/>
        <v>0.35715623922514356</v>
      </c>
      <c r="I49" s="58" t="str">
        <f t="shared" si="21"/>
        <v>0.909090909090908-0.0196448003429303i</v>
      </c>
      <c r="J49" s="89" t="str">
        <f t="shared" si="22"/>
        <v>0.0534805100143562-0.224989655457669i</v>
      </c>
      <c r="K49" s="89" t="str">
        <f t="shared" si="23"/>
        <v>0.0441987686069059-0.205586664357533i</v>
      </c>
      <c r="L49" s="89" t="str">
        <f t="shared" si="24"/>
        <v>-0.0750500386807516-0.0028539365630093i</v>
      </c>
      <c r="M49" s="84">
        <f t="shared" si="25"/>
        <v>-22.486705962408585</v>
      </c>
      <c r="N49" s="84">
        <f t="shared" si="26"/>
        <v>2.1777439687421634</v>
      </c>
      <c r="O49" s="84">
        <f t="shared" si="12"/>
        <v>2.1777439687421634</v>
      </c>
    </row>
    <row r="50" spans="1:15" ht="15" x14ac:dyDescent="0.2">
      <c r="A50" s="85">
        <f t="shared" si="13"/>
        <v>49</v>
      </c>
      <c r="B50" s="84">
        <f t="shared" si="27"/>
        <v>49000</v>
      </c>
      <c r="C50" s="84">
        <f t="shared" si="15"/>
        <v>262.98273155416013</v>
      </c>
      <c r="D50" s="58" t="str">
        <f t="shared" si="16"/>
        <v>0.00126572980569956-0.000323532137300599i</v>
      </c>
      <c r="E50" s="58" t="str">
        <f t="shared" si="17"/>
        <v>0.0411656036515804-1.01874473683204i</v>
      </c>
      <c r="F50" s="84" t="str">
        <f t="shared" si="18"/>
        <v>-0.000277492130559586-0.00130277397354053i</v>
      </c>
      <c r="G50" s="84" t="str">
        <f t="shared" si="19"/>
        <v>-0.0729756384793436-0.342607058159356i</v>
      </c>
      <c r="H50" s="87">
        <f t="shared" si="20"/>
        <v>0.35029279197847651</v>
      </c>
      <c r="I50" s="58" t="str">
        <f t="shared" si="21"/>
        <v>0.909090909090908-0.0192438860502175i</v>
      </c>
      <c r="J50" s="89" t="str">
        <f t="shared" si="22"/>
        <v>0.0514310283894516-0.220875253725389i</v>
      </c>
      <c r="K50" s="89" t="str">
        <f t="shared" si="23"/>
        <v>0.0425049821400426-0.201785418054671i</v>
      </c>
      <c r="L50" s="89" t="str">
        <f t="shared" si="24"/>
        <v>-0.0722349366693893+0.000162912830244923i</v>
      </c>
      <c r="M50" s="84">
        <f t="shared" si="25"/>
        <v>-22.825031982543543</v>
      </c>
      <c r="N50" s="84">
        <f t="shared" si="26"/>
        <v>359.87077995488141</v>
      </c>
      <c r="O50" s="84">
        <f t="shared" si="12"/>
        <v>-0.12922004511858631</v>
      </c>
    </row>
    <row r="51" spans="1:15" ht="15" x14ac:dyDescent="0.2">
      <c r="A51" s="85">
        <f t="shared" si="13"/>
        <v>50</v>
      </c>
      <c r="B51" s="84">
        <f t="shared" si="27"/>
        <v>50000</v>
      </c>
      <c r="C51" s="84">
        <f t="shared" si="15"/>
        <v>262.98273155416013</v>
      </c>
      <c r="D51" s="58" t="str">
        <f t="shared" si="16"/>
        <v>0.00126572565539428-0.000317061495872156i</v>
      </c>
      <c r="E51" s="58" t="str">
        <f t="shared" si="17"/>
        <v>-i</v>
      </c>
      <c r="F51" s="84" t="str">
        <f t="shared" si="18"/>
        <v>-0.000317061495872156-0.00126572565539428i</v>
      </c>
      <c r="G51" s="84" t="str">
        <f t="shared" si="19"/>
        <v>-0.0833816982551076-0.332863990253767i</v>
      </c>
      <c r="H51" s="87">
        <f t="shared" si="20"/>
        <v>0.34314857366972362</v>
      </c>
      <c r="I51" s="58" t="str">
        <f t="shared" si="21"/>
        <v>0.909090909090909-0.0188590083292131i</v>
      </c>
      <c r="J51" s="89" t="str">
        <f t="shared" si="22"/>
        <v>0.0494951649196212-0.216899501081032i</v>
      </c>
      <c r="K51" s="89" t="str">
        <f t="shared" si="23"/>
        <v>0.0409050949748936-0.198114794346595i</v>
      </c>
      <c r="L51" s="89" t="str">
        <f t="shared" si="24"/>
        <v>-0.0693560172608052+0.00290331486702809i</v>
      </c>
      <c r="M51" s="84">
        <f t="shared" si="25"/>
        <v>-23.170713395833044</v>
      </c>
      <c r="N51" s="84">
        <f t="shared" si="26"/>
        <v>357.60293870935647</v>
      </c>
      <c r="O51" s="84">
        <f t="shared" si="12"/>
        <v>-2.3970612906435349</v>
      </c>
    </row>
    <row r="52" spans="1:15" ht="15" x14ac:dyDescent="0.2">
      <c r="A52" s="85">
        <f t="shared" si="13"/>
        <v>51</v>
      </c>
      <c r="B52" s="84">
        <f t="shared" si="27"/>
        <v>51000</v>
      </c>
      <c r="C52" s="84">
        <f t="shared" si="15"/>
        <v>262.98273155416013</v>
      </c>
      <c r="D52" s="58" t="str">
        <f t="shared" si="16"/>
        <v>0.00126572174682303-0.00031084460501273i</v>
      </c>
      <c r="E52" s="58" t="str">
        <f t="shared" si="17"/>
        <v>-0.0387703964914096-0.978856545080144i</v>
      </c>
      <c r="F52" s="84" t="str">
        <f t="shared" si="18"/>
        <v>-0.000353344810091691-0.00122690844754444i</v>
      </c>
      <c r="G52" s="84" t="str">
        <f t="shared" si="19"/>
        <v>-0.0929235833383989-0.322655734902111i</v>
      </c>
      <c r="H52" s="87">
        <f t="shared" si="20"/>
        <v>0.33577003381134196</v>
      </c>
      <c r="I52" s="58" t="str">
        <f t="shared" si="21"/>
        <v>0.909090909090908-0.0184892238521697i</v>
      </c>
      <c r="J52" s="89" t="str">
        <f t="shared" si="22"/>
        <v>0.0476648170993294-0.213056054385265i</v>
      </c>
      <c r="K52" s="89" t="str">
        <f t="shared" si="23"/>
        <v>0.039392410825892-0.194568607641645i</v>
      </c>
      <c r="L52" s="89" t="str">
        <f t="shared" si="24"/>
        <v>-0.0664391610577757+0.00536982496263058i</v>
      </c>
      <c r="M52" s="84">
        <f t="shared" si="25"/>
        <v>-23.523239661044727</v>
      </c>
      <c r="N52" s="84">
        <f t="shared" si="26"/>
        <v>355.3792164212739</v>
      </c>
      <c r="O52" s="84">
        <f t="shared" si="12"/>
        <v>-4.6207835787261047</v>
      </c>
    </row>
    <row r="53" spans="1:15" ht="15" x14ac:dyDescent="0.2">
      <c r="A53" s="85">
        <f t="shared" si="13"/>
        <v>52</v>
      </c>
      <c r="B53" s="84">
        <f t="shared" si="27"/>
        <v>52000</v>
      </c>
      <c r="C53" s="84">
        <f t="shared" si="15"/>
        <v>262.98273155416013</v>
      </c>
      <c r="D53" s="58" t="str">
        <f t="shared" si="16"/>
        <v>0.00126571806157086-0.000304866825272035i</v>
      </c>
      <c r="E53" s="58" t="str">
        <f t="shared" si="17"/>
        <v>-0.0749821807052913-0.955655244283123i</v>
      </c>
      <c r="F53" s="84" t="str">
        <f t="shared" si="18"/>
        <v>-0.000386253880793824-0.00118673052394046i</v>
      </c>
      <c r="G53" s="84" t="str">
        <f t="shared" si="19"/>
        <v>-0.101578100644555-0.312089634804562i</v>
      </c>
      <c r="H53" s="87">
        <f t="shared" si="20"/>
        <v>0.32820428193885615</v>
      </c>
      <c r="I53" s="58" t="str">
        <f t="shared" si="21"/>
        <v>0.909090909090909-0.0181336618550126i</v>
      </c>
      <c r="J53" s="89" t="str">
        <f t="shared" si="22"/>
        <v>0.0459325792078404-0.209338905545902i</v>
      </c>
      <c r="K53" s="89" t="str">
        <f t="shared" si="23"/>
        <v>0.037960809262678-0.191141021810304i</v>
      </c>
      <c r="L53" s="89" t="str">
        <f t="shared" si="24"/>
        <v>-0.0635091185967817+0.00756856685107533i</v>
      </c>
      <c r="M53" s="84">
        <f t="shared" si="25"/>
        <v>-23.882032876566495</v>
      </c>
      <c r="N53" s="84">
        <f t="shared" si="26"/>
        <v>353.2039468685457</v>
      </c>
      <c r="O53" s="84">
        <f t="shared" si="12"/>
        <v>-6.7960531314543005</v>
      </c>
    </row>
    <row r="54" spans="1:15" ht="15" x14ac:dyDescent="0.2">
      <c r="A54" s="85">
        <f t="shared" si="13"/>
        <v>53</v>
      </c>
      <c r="B54" s="84">
        <f t="shared" si="27"/>
        <v>53000</v>
      </c>
      <c r="C54" s="84">
        <f t="shared" si="15"/>
        <v>262.98273155416013</v>
      </c>
      <c r="D54" s="58" t="str">
        <f t="shared" si="16"/>
        <v>0.00126571458294357-0.000299114622063446i</v>
      </c>
      <c r="E54" s="58" t="str">
        <f t="shared" si="17"/>
        <v>-0.108527966006091-0.93074145603929i</v>
      </c>
      <c r="F54" s="84" t="str">
        <f t="shared" si="18"/>
        <v>-0.000415763808093087-0.00114559073232383i</v>
      </c>
      <c r="G54" s="84" t="str">
        <f t="shared" si="19"/>
        <v>-0.10933870193368-0.301270580029652i</v>
      </c>
      <c r="H54" s="87">
        <f t="shared" si="20"/>
        <v>0.3204979159556971</v>
      </c>
      <c r="I54" s="58" t="str">
        <f t="shared" si="21"/>
        <v>0.909090909090909-0.0177915172917105i</v>
      </c>
      <c r="J54" s="89" t="str">
        <f t="shared" si="22"/>
        <v>0.044291672983141-0.205742364834021i</v>
      </c>
      <c r="K54" s="89" t="str">
        <f t="shared" si="23"/>
        <v>0.036604688415819-0.187826529551232i</v>
      </c>
      <c r="L54" s="89" t="str">
        <f t="shared" si="24"/>
        <v>-0.0605889166189287+0.00950879321900122i</v>
      </c>
      <c r="M54" s="84">
        <f t="shared" si="25"/>
        <v>-24.246465581049385</v>
      </c>
      <c r="N54" s="84">
        <f t="shared" si="26"/>
        <v>351.08078195188153</v>
      </c>
      <c r="O54" s="84">
        <f t="shared" si="12"/>
        <v>-8.9192180481184664</v>
      </c>
    </row>
    <row r="55" spans="1:15" ht="15" x14ac:dyDescent="0.2">
      <c r="A55" s="85">
        <f t="shared" si="13"/>
        <v>54</v>
      </c>
      <c r="B55" s="84">
        <f t="shared" si="27"/>
        <v>54000</v>
      </c>
      <c r="C55" s="84">
        <f t="shared" si="15"/>
        <v>262.98273155416013</v>
      </c>
      <c r="D55" s="58" t="str">
        <f t="shared" si="16"/>
        <v>0.00126571129577823-0.00029357546336186i</v>
      </c>
      <c r="E55" s="58" t="str">
        <f t="shared" si="17"/>
        <v>-0.139353101464065-0.9044552258485i</v>
      </c>
      <c r="F55" s="84" t="str">
        <f t="shared" si="18"/>
        <v>-0.000441906656643326-0.00110386854454887i</v>
      </c>
      <c r="G55" s="84" t="str">
        <f t="shared" si="19"/>
        <v>-0.116213819656028-0.290298365122177i</v>
      </c>
      <c r="H55" s="87">
        <f t="shared" si="20"/>
        <v>0.31269600680477611</v>
      </c>
      <c r="I55" s="58" t="str">
        <f t="shared" si="21"/>
        <v>0.909090909090908-0.0174620447492714i</v>
      </c>
      <c r="J55" s="89" t="str">
        <f t="shared" si="22"/>
        <v>0.0427358860445133-0.202261044416624i</v>
      </c>
      <c r="K55" s="89" t="str">
        <f t="shared" si="23"/>
        <v>0.0353189140863746-0.184619932696894i</v>
      </c>
      <c r="L55" s="89" t="str">
        <f t="shared" si="24"/>
        <v>-0.0576994105429554+0.0112023645461797i</v>
      </c>
      <c r="M55" s="84">
        <f t="shared" si="25"/>
        <v>-24.615877808313265</v>
      </c>
      <c r="N55" s="84">
        <f t="shared" si="26"/>
        <v>349.01269290224468</v>
      </c>
      <c r="O55" s="84">
        <f t="shared" si="12"/>
        <v>-10.98730709775532</v>
      </c>
    </row>
    <row r="56" spans="1:15" ht="15" x14ac:dyDescent="0.2">
      <c r="A56" s="85">
        <f t="shared" si="13"/>
        <v>55</v>
      </c>
      <c r="B56" s="84">
        <f t="shared" si="27"/>
        <v>55000.000000000007</v>
      </c>
      <c r="C56" s="84">
        <f t="shared" si="15"/>
        <v>262.98273155416013</v>
      </c>
      <c r="D56" s="58" t="str">
        <f t="shared" si="16"/>
        <v>0.00126570818627772-0.000288237728561782i</v>
      </c>
      <c r="E56" s="58" t="str">
        <f t="shared" si="17"/>
        <v>-0.167450761502273-0.877123036440475i</v>
      </c>
      <c r="F56" s="84" t="str">
        <f t="shared" si="18"/>
        <v>-0.000464763751324681-0.00106191618045412i</v>
      </c>
      <c r="G56" s="84" t="str">
        <f t="shared" si="19"/>
        <v>-0.122224840850723-0.279265617817385i</v>
      </c>
      <c r="H56" s="87">
        <f t="shared" si="20"/>
        <v>0.30484126527737399</v>
      </c>
      <c r="I56" s="58" t="str">
        <f t="shared" si="21"/>
        <v>0.909090909090909-0.0171445530265574i</v>
      </c>
      <c r="J56" s="89" t="str">
        <f t="shared" si="22"/>
        <v>0.041259517112778-0.198889842275563i</v>
      </c>
      <c r="K56" s="89" t="str">
        <f t="shared" si="23"/>
        <v>0.0340987744733702-0.181516323502229i</v>
      </c>
      <c r="L56" s="89" t="str">
        <f t="shared" si="24"/>
        <v>-0.0548589855100027+0.0126631884317469i</v>
      </c>
      <c r="M56" s="84">
        <f t="shared" si="25"/>
        <v>-24.989592837247095</v>
      </c>
      <c r="N56" s="84">
        <f t="shared" si="26"/>
        <v>347.0019894196106</v>
      </c>
      <c r="O56" s="84">
        <f>IF(N56&gt;180,-(360-N56),N56)</f>
        <v>-12.998010580389405</v>
      </c>
    </row>
    <row r="57" spans="1:15" ht="15" x14ac:dyDescent="0.2">
      <c r="A57" s="85">
        <f t="shared" si="13"/>
        <v>56</v>
      </c>
      <c r="B57" s="84">
        <f t="shared" si="27"/>
        <v>56000.000000000007</v>
      </c>
      <c r="C57" s="84">
        <f t="shared" si="15"/>
        <v>262.98273155416013</v>
      </c>
      <c r="D57" s="58" t="str">
        <f t="shared" si="16"/>
        <v>0.0012657052418657-0.000283090627100628i</v>
      </c>
      <c r="E57" s="58" t="str">
        <f t="shared" si="17"/>
        <v>-0.192855936857753-0.84905129434231i</v>
      </c>
      <c r="F57" s="84" t="str">
        <f t="shared" si="18"/>
        <v>-0.000484457233561743-0.00102005296575678i</v>
      </c>
      <c r="G57" s="84" t="str">
        <f t="shared" si="19"/>
        <v>-0.127403886603239-0.26825631526464i</v>
      </c>
      <c r="H57" s="87">
        <f t="shared" si="20"/>
        <v>0.2969734011674664</v>
      </c>
      <c r="I57" s="58" t="str">
        <f t="shared" si="21"/>
        <v>0.909090909090909-0.0168384002939403i</v>
      </c>
      <c r="J57" s="89" t="str">
        <f t="shared" si="22"/>
        <v>0.0398573272029162-0.195623926632597i</v>
      </c>
      <c r="K57" s="89" t="str">
        <f t="shared" si="23"/>
        <v>0.0329399398371208-0.17851106693245i</v>
      </c>
      <c r="L57" s="89" t="str">
        <f t="shared" si="24"/>
        <v>-0.0520833974089846+0.0139066568431401i</v>
      </c>
      <c r="M57" s="84">
        <f t="shared" si="25"/>
        <v>-25.36693123303758</v>
      </c>
      <c r="N57" s="84">
        <f t="shared" si="26"/>
        <v>345.05035345776571</v>
      </c>
      <c r="O57" s="84">
        <f t="shared" ref="O57:O101" si="28">IF(N57&gt;180,-(360-N57),N57)</f>
        <v>-14.949646542234291</v>
      </c>
    </row>
    <row r="58" spans="1:15" ht="15" x14ac:dyDescent="0.2">
      <c r="A58" s="85">
        <f t="shared" si="13"/>
        <v>57</v>
      </c>
      <c r="B58" s="84">
        <f t="shared" si="27"/>
        <v>56999.999999999993</v>
      </c>
      <c r="C58" s="84">
        <f t="shared" si="15"/>
        <v>262.98273155416013</v>
      </c>
      <c r="D58" s="58" t="str">
        <f t="shared" si="16"/>
        <v>0.00126570245105926-0.000278124125647966i</v>
      </c>
      <c r="E58" s="58" t="str">
        <f t="shared" si="17"/>
        <v>-0.215638830467112-0.820521584554433i</v>
      </c>
      <c r="F58" s="84" t="str">
        <f t="shared" si="18"/>
        <v>-0.000501141444545261-0.000978561819538158i</v>
      </c>
      <c r="G58" s="84" t="str">
        <f t="shared" si="19"/>
        <v>-0.13179154598151-0.257344860296754i</v>
      </c>
      <c r="H58" s="87">
        <f t="shared" si="20"/>
        <v>0.28912867155187549</v>
      </c>
      <c r="I58" s="58" t="str">
        <f t="shared" si="21"/>
        <v>0.909090909090908-0.0165429897624676i</v>
      </c>
      <c r="J58" s="89" t="str">
        <f t="shared" si="22"/>
        <v>0.0385244960719176-0.192458720961983i</v>
      </c>
      <c r="K58" s="89" t="str">
        <f t="shared" si="23"/>
        <v>0.031838426505717-0.175599783945924i</v>
      </c>
      <c r="L58" s="89" t="str">
        <f t="shared" si="24"/>
        <v>-0.0493857373185111+0.0149491115790702i</v>
      </c>
      <c r="M58" s="84">
        <f t="shared" si="25"/>
        <v>-25.747222931728004</v>
      </c>
      <c r="N58" s="84">
        <f t="shared" si="26"/>
        <v>343.15888415673538</v>
      </c>
      <c r="O58" s="84">
        <f t="shared" si="28"/>
        <v>-16.841115843264618</v>
      </c>
    </row>
    <row r="59" spans="1:15" ht="15" x14ac:dyDescent="0.2">
      <c r="A59" s="85">
        <f t="shared" si="13"/>
        <v>58</v>
      </c>
      <c r="B59" s="84">
        <f t="shared" si="27"/>
        <v>57999.999999999993</v>
      </c>
      <c r="C59" s="84">
        <f t="shared" si="15"/>
        <v>262.98273155416013</v>
      </c>
      <c r="D59" s="58" t="str">
        <f t="shared" si="16"/>
        <v>0.00126569980335678-0.000273328882826923i</v>
      </c>
      <c r="E59" s="58" t="str">
        <f t="shared" si="17"/>
        <v>-0.235898099010801-0.791787600846437i</v>
      </c>
      <c r="F59" s="84" t="str">
        <f t="shared" si="18"/>
        <v>-0.000514994597905775-0.000937687646828055i</v>
      </c>
      <c r="G59" s="84" t="str">
        <f t="shared" si="19"/>
        <v>-0.135434686092897-0.246595658707434i</v>
      </c>
      <c r="H59" s="87">
        <f t="shared" si="20"/>
        <v>0.28133960455370449</v>
      </c>
      <c r="I59" s="58" t="str">
        <f t="shared" si="21"/>
        <v>0.909090909090911-0.0162577658010458i</v>
      </c>
      <c r="J59" s="89" t="str">
        <f t="shared" si="22"/>
        <v>0.0372565832978016-0.18938988964244i</v>
      </c>
      <c r="K59" s="89" t="str">
        <f t="shared" si="23"/>
        <v>0.030790564708927-0.172778335753476i</v>
      </c>
      <c r="L59" s="89" t="str">
        <f t="shared" si="24"/>
        <v>-0.0467764979814792+0.0158073600800535i</v>
      </c>
      <c r="M59" s="84">
        <f t="shared" si="25"/>
        <v>-26.129817262232983</v>
      </c>
      <c r="N59" s="84">
        <f t="shared" si="26"/>
        <v>341.32815049019973</v>
      </c>
      <c r="O59" s="84">
        <f t="shared" si="28"/>
        <v>-18.671849509800268</v>
      </c>
    </row>
    <row r="60" spans="1:15" ht="15" x14ac:dyDescent="0.2">
      <c r="A60" s="85">
        <f t="shared" si="13"/>
        <v>59</v>
      </c>
      <c r="B60" s="84">
        <f t="shared" si="27"/>
        <v>59000</v>
      </c>
      <c r="C60" s="84">
        <f t="shared" si="15"/>
        <v>262.98273155416013</v>
      </c>
      <c r="D60" s="58" t="str">
        <f t="shared" si="16"/>
        <v>0.001265697289139-0.00026869619057407i</v>
      </c>
      <c r="E60" s="58" t="str">
        <f t="shared" si="17"/>
        <v>-0.253754296104207-0.763073571363313i</v>
      </c>
      <c r="F60" s="84" t="str">
        <f t="shared" si="18"/>
        <v>-0.000526211086439543-0.000897637337983155i</v>
      </c>
      <c r="G60" s="84" t="str">
        <f t="shared" si="19"/>
        <v>-0.138384428885953-0.236063119087815i</v>
      </c>
      <c r="H60" s="87">
        <f t="shared" si="20"/>
        <v>0.27363487780536921</v>
      </c>
      <c r="I60" s="58" t="str">
        <f t="shared" si="21"/>
        <v>0.909090909090908-0.0159822104484857i</v>
      </c>
      <c r="J60" s="89" t="str">
        <f t="shared" si="22"/>
        <v>0.0360494934460179-0.186413324277808i</v>
      </c>
      <c r="K60" s="89" t="str">
        <f t="shared" si="23"/>
        <v>0.0297929697900974-0.170042809025186i</v>
      </c>
      <c r="L60" s="89" t="str">
        <f t="shared" si="24"/>
        <v>-0.0442637189861581+0.0164982556375741i</v>
      </c>
      <c r="M60" s="84">
        <f t="shared" si="25"/>
        <v>-26.514090919560566</v>
      </c>
      <c r="N60" s="84">
        <f t="shared" si="26"/>
        <v>339.55824847178246</v>
      </c>
      <c r="O60" s="84">
        <f t="shared" si="28"/>
        <v>-20.441751528217537</v>
      </c>
    </row>
    <row r="61" spans="1:15" ht="15" x14ac:dyDescent="0.2">
      <c r="A61" s="85">
        <f t="shared" si="13"/>
        <v>60</v>
      </c>
      <c r="B61" s="84">
        <f t="shared" si="27"/>
        <v>60000</v>
      </c>
      <c r="C61" s="84">
        <f t="shared" si="15"/>
        <v>262.98273155416013</v>
      </c>
      <c r="D61" s="58" t="str">
        <f t="shared" si="16"/>
        <v>0.00126569489958151-0.000264217921363332i</v>
      </c>
      <c r="E61" s="58" t="str">
        <f t="shared" si="17"/>
        <v>-0.269343780607248-0.734573947110676i</v>
      </c>
      <c r="F61" s="84" t="str">
        <f t="shared" si="18"/>
        <v>-0.000534994650741836-0.000858581044379252i</v>
      </c>
      <c r="G61" s="84" t="str">
        <f t="shared" si="19"/>
        <v>-0.140694354618952-0.225791988311479i</v>
      </c>
      <c r="H61" s="87">
        <f t="shared" si="20"/>
        <v>0.2660393268058211</v>
      </c>
      <c r="I61" s="58" t="str">
        <f t="shared" si="21"/>
        <v>0.909090909090908-0.0157158402743443i</v>
      </c>
      <c r="J61" s="89" t="str">
        <f t="shared" si="22"/>
        <v>0.0348994448486892-0.183525130698612i</v>
      </c>
      <c r="K61" s="89" t="str">
        <f t="shared" si="23"/>
        <v>0.0288425164038753-0.167389502008734i</v>
      </c>
      <c r="L61" s="89" t="str">
        <f t="shared" si="24"/>
        <v>-0.0418531877120501+0.0170383488283691i</v>
      </c>
      <c r="M61" s="84">
        <f t="shared" si="25"/>
        <v>-26.899453995710147</v>
      </c>
      <c r="N61" s="84">
        <f t="shared" si="26"/>
        <v>337.84886017903949</v>
      </c>
      <c r="O61" s="84">
        <f t="shared" si="28"/>
        <v>-22.151139820960509</v>
      </c>
    </row>
    <row r="62" spans="1:15" ht="15" x14ac:dyDescent="0.2">
      <c r="A62" s="85">
        <f t="shared" si="13"/>
        <v>61</v>
      </c>
      <c r="B62" s="84">
        <f t="shared" si="27"/>
        <v>61000</v>
      </c>
      <c r="C62" s="84">
        <f t="shared" si="15"/>
        <v>262.98273155416013</v>
      </c>
      <c r="D62" s="58" t="str">
        <f t="shared" si="16"/>
        <v>0.00126569262657727-0.000259886480620979i</v>
      </c>
      <c r="E62" s="58" t="str">
        <f t="shared" si="17"/>
        <v>-0.282813264215408-0.706454099800979i</v>
      </c>
      <c r="F62" s="84" t="str">
        <f t="shared" si="18"/>
        <v>-0.000541552532933229-0.000820654401223508i</v>
      </c>
      <c r="G62" s="84" t="str">
        <f t="shared" si="19"/>
        <v>-0.142418964390855-0.215817936095702i</v>
      </c>
      <c r="H62" s="87">
        <f t="shared" si="20"/>
        <v>0.25857405701031211</v>
      </c>
      <c r="I62" s="58" t="str">
        <f t="shared" si="21"/>
        <v>0.909090909090909-0.0154582035485353i</v>
      </c>
      <c r="J62" s="89" t="str">
        <f t="shared" si="22"/>
        <v>0.0338029415820028-0.18072161664396i</v>
      </c>
      <c r="K62" s="89" t="str">
        <f t="shared" si="23"/>
        <v>0.0279363153570271-0.16481491151875i</v>
      </c>
      <c r="L62" s="89" t="str">
        <f t="shared" si="24"/>
        <v>-0.0395486751438165+0.0174436110921985i</v>
      </c>
      <c r="M62" s="84">
        <f t="shared" si="25"/>
        <v>-27.285354239920867</v>
      </c>
      <c r="N62" s="84">
        <f t="shared" si="26"/>
        <v>336.19931234062</v>
      </c>
      <c r="O62" s="84">
        <f t="shared" si="28"/>
        <v>-23.800687659380003</v>
      </c>
    </row>
    <row r="63" spans="1:15" ht="15" x14ac:dyDescent="0.2">
      <c r="A63" s="85">
        <f t="shared" si="13"/>
        <v>62</v>
      </c>
      <c r="B63" s="84">
        <f t="shared" si="27"/>
        <v>62000</v>
      </c>
      <c r="C63" s="84">
        <f t="shared" si="15"/>
        <v>262.98273155416013</v>
      </c>
      <c r="D63" s="58" t="str">
        <f t="shared" si="16"/>
        <v>0.00126569046266768-0.00025569476374561i</v>
      </c>
      <c r="E63" s="58" t="str">
        <f t="shared" si="17"/>
        <v>-0.294315093739357-0.678851778714291i</v>
      </c>
      <c r="F63" s="84" t="str">
        <f t="shared" si="18"/>
        <v>-0.000546090652341686-0.000783961393523217i</v>
      </c>
      <c r="G63" s="84" t="str">
        <f t="shared" si="19"/>
        <v>-0.14361241142901-0.206168308701741i</v>
      </c>
      <c r="H63" s="87">
        <f t="shared" si="20"/>
        <v>0.25125663419975924</v>
      </c>
      <c r="I63" s="58" t="str">
        <f t="shared" si="21"/>
        <v>0.909090909090908-0.0152088776848493i</v>
      </c>
      <c r="J63" s="89" t="str">
        <f t="shared" si="22"/>
        <v>0.032756748278823-0.177999280113771i</v>
      </c>
      <c r="K63" s="89" t="str">
        <f t="shared" si="23"/>
        <v>0.0270716927924157-0.162315720754081i</v>
      </c>
      <c r="L63" s="89" t="str">
        <f t="shared" si="24"/>
        <v>-0.0373521887069571+0.0177292269536259i</v>
      </c>
      <c r="M63" s="84">
        <f t="shared" si="25"/>
        <v>-27.671279759779338</v>
      </c>
      <c r="N63" s="84">
        <f t="shared" si="26"/>
        <v>334.6086327352823</v>
      </c>
      <c r="O63" s="84">
        <f t="shared" si="28"/>
        <v>-25.391367264717701</v>
      </c>
    </row>
    <row r="64" spans="1:15" ht="15" x14ac:dyDescent="0.2">
      <c r="A64" s="85">
        <f t="shared" si="13"/>
        <v>63</v>
      </c>
      <c r="B64" s="84">
        <f t="shared" si="27"/>
        <v>63000</v>
      </c>
      <c r="C64" s="84">
        <f t="shared" si="15"/>
        <v>262.98273155416013</v>
      </c>
      <c r="D64" s="58" t="str">
        <f t="shared" si="16"/>
        <v>0.00126568840098138-0.000251636117221481i</v>
      </c>
      <c r="E64" s="58" t="str">
        <f t="shared" si="17"/>
        <v>-0.304003299211843-0.65187909633581i</v>
      </c>
      <c r="F64" s="84" t="str">
        <f t="shared" si="18"/>
        <v>-0.000548809774372293-0.00074857760123827i</v>
      </c>
      <c r="G64" s="84" t="str">
        <f t="shared" si="19"/>
        <v>-0.144327493568048-0.196862982353901i</v>
      </c>
      <c r="H64" s="87">
        <f t="shared" si="20"/>
        <v>0.24410132982207877</v>
      </c>
      <c r="I64" s="58" t="str">
        <f t="shared" si="21"/>
        <v>0.909090909090909-0.0149674669279469i</v>
      </c>
      <c r="J64" s="89" t="str">
        <f t="shared" si="22"/>
        <v>0.0317578674584459-0.175354798374432i</v>
      </c>
      <c r="K64" s="89" t="str">
        <f t="shared" si="23"/>
        <v>0.0262461714532611-0.159888787898552i</v>
      </c>
      <c r="L64" s="89" t="str">
        <f t="shared" si="24"/>
        <v>-0.0352642277722657+0.0179094484193705i</v>
      </c>
      <c r="M64" s="84">
        <f t="shared" si="25"/>
        <v>-28.056760393007657</v>
      </c>
      <c r="N64" s="84">
        <f t="shared" si="26"/>
        <v>333.07560313042814</v>
      </c>
      <c r="O64" s="84">
        <f t="shared" si="28"/>
        <v>-26.924396869571865</v>
      </c>
    </row>
    <row r="65" spans="1:15" ht="15" x14ac:dyDescent="0.2">
      <c r="A65" s="85">
        <f t="shared" si="13"/>
        <v>64</v>
      </c>
      <c r="B65" s="84">
        <f t="shared" si="27"/>
        <v>64000</v>
      </c>
      <c r="C65" s="84">
        <f t="shared" si="15"/>
        <v>262.98273155416013</v>
      </c>
      <c r="D65" s="58" t="str">
        <f t="shared" si="16"/>
        <v>0.00126568643517958-0.00024770430337745i</v>
      </c>
      <c r="E65" s="58" t="str">
        <f t="shared" si="17"/>
        <v>-0.312030390352364-0.625624842811758i</v>
      </c>
      <c r="F65" s="84" t="str">
        <f t="shared" si="18"/>
        <v>-0.00054990259829709-0.000714553606583373i</v>
      </c>
      <c r="G65" s="84" t="str">
        <f t="shared" si="19"/>
        <v>-0.144614887388899-0.187915259301172i</v>
      </c>
      <c r="H65" s="87">
        <f t="shared" si="20"/>
        <v>0.2371194010044953</v>
      </c>
      <c r="I65" s="58" t="str">
        <f t="shared" si="21"/>
        <v>0.90909090909091-0.0147336002571978i</v>
      </c>
      <c r="J65" s="89" t="str">
        <f t="shared" si="22"/>
        <v>0.0308035190943132-0.172785017596201i</v>
      </c>
      <c r="K65" s="89" t="str">
        <f t="shared" si="23"/>
        <v>0.0254574537969531-0.15753113546067i</v>
      </c>
      <c r="L65" s="89" t="str">
        <f t="shared" si="24"/>
        <v>-0.0332840309821543+0.0179975033834881i</v>
      </c>
      <c r="M65" s="84">
        <f t="shared" si="25"/>
        <v>-28.44136798112466</v>
      </c>
      <c r="N65" s="84">
        <f t="shared" si="26"/>
        <v>331.59880791575034</v>
      </c>
      <c r="O65" s="84">
        <f t="shared" si="28"/>
        <v>-28.401192084249658</v>
      </c>
    </row>
    <row r="66" spans="1:15" ht="15" x14ac:dyDescent="0.2">
      <c r="A66" s="85">
        <f t="shared" si="13"/>
        <v>65</v>
      </c>
      <c r="B66" s="84">
        <f t="shared" si="27"/>
        <v>65000</v>
      </c>
      <c r="C66" s="84">
        <f t="shared" ref="C66:C101" si="29">_ta1*_ta2*(rload/RS)</f>
        <v>262.98273155416013</v>
      </c>
      <c r="D66" s="58" t="str">
        <f t="shared" ref="D66:D101" si="30">IMDIV((COMPLEX(1,2*PI()*(B66)*(esrcout*0.001)*(cout*0.000001))),(COMPLEX(1,2*PI()*(B66)*rload*(cout*0.000001))))</f>
        <v>0.00126568455940735-0.000243893468398942i</v>
      </c>
      <c r="E66" s="58" t="str">
        <f t="shared" ref="E66:E101" si="31">IMDIV(1,(COMPLEX((1-(B66/(fpp*1000))^2),(B66/(fpp*1000)))))</f>
        <v>-0.318544850191589-0.60015696412908i</v>
      </c>
      <c r="F66" s="84" t="str">
        <f t="shared" ref="F66:F97" si="32">IMPRODUCT(D66,E66)</f>
        <v>-0.000549551661931442-0.000681918394365119i</v>
      </c>
      <c r="G66" s="84" t="str">
        <f t="shared" ref="G66:G97" si="33">IMPRODUCT(C66,F66)</f>
        <v>-0.144522597184859-0.179332762047166i</v>
      </c>
      <c r="H66" s="87">
        <f t="shared" ref="H66:H97" si="34">IMABS(G66)</f>
        <v>0.230319388329603</v>
      </c>
      <c r="I66" s="58" t="str">
        <f t="shared" ref="I66:I101" si="35">IMDIV((COMPLEX(1,(2*PI()*B66*(rf*1000)*(Cz*0.000000001)))),(COMPLEX(0,2*PI()*B66*((Cz*0.000000001)+(Cp*0.000000000001))*(RII*1000))))</f>
        <v>0.909090909090908-0.0145069294840101i</v>
      </c>
      <c r="J66" s="89" t="str">
        <f t="shared" ref="J66:J101" si="36">IMDIV(1,(COMPLEX(1,2*PI()*B66*(((Cz*0.000000001)*(Cp*0.000000000001))/((Cz*0.000000001)+(Cp*0.000000000001)))*(rf*1000))))</f>
        <v>0.0298911221742954-0.170286943097399i</v>
      </c>
      <c r="K66" s="89" t="str">
        <f t="shared" ref="K66:K97" si="37">IMPRODUCT(I66,J66)</f>
        <v>0.024703406755616-0.155239940308307i</v>
      </c>
      <c r="L66" s="89" t="str">
        <f t="shared" ref="L66:L97" si="38">IMPRODUCT(G66,K66)</f>
        <v>-0.0314098077791615+0.0180055491947198i</v>
      </c>
      <c r="M66" s="84">
        <f t="shared" ref="M66:M97" si="39">20*LOG(IMABS(L66))</f>
        <v>-28.824715765226394</v>
      </c>
      <c r="N66" s="84">
        <f t="shared" ref="N66:N101" si="40">(180/PI())*IMARGUMENT(L66)+180</f>
        <v>330.17667795010379</v>
      </c>
      <c r="O66" s="84">
        <f t="shared" si="28"/>
        <v>-29.823322049896205</v>
      </c>
    </row>
    <row r="67" spans="1:15" ht="15" x14ac:dyDescent="0.2">
      <c r="A67" s="85">
        <f t="shared" si="13"/>
        <v>66</v>
      </c>
      <c r="B67" s="84">
        <f t="shared" si="27"/>
        <v>66000</v>
      </c>
      <c r="C67" s="84">
        <f t="shared" si="29"/>
        <v>262.98273155416013</v>
      </c>
      <c r="D67" s="58" t="str">
        <f t="shared" si="30"/>
        <v>0.00126568276824989-0.000240198113247918i</v>
      </c>
      <c r="E67" s="58" t="str">
        <f t="shared" si="31"/>
        <v>-0.323689253851623-0.57552507419739i</v>
      </c>
      <c r="F67" s="84" t="str">
        <f t="shared" si="32"/>
        <v>-0.000547927947816745-0.00065068262105359i</v>
      </c>
      <c r="G67" s="84" t="str">
        <f t="shared" si="33"/>
        <v>-0.144095588411713-0.171118293059494i</v>
      </c>
      <c r="H67" s="87">
        <f t="shared" si="34"/>
        <v>0.22370741789067403</v>
      </c>
      <c r="I67" s="58" t="str">
        <f t="shared" si="35"/>
        <v>0.909090909090909-0.0142871275221311i</v>
      </c>
      <c r="J67" s="89" t="str">
        <f t="shared" si="36"/>
        <v>0.0290182780375404-0.167857730168367i</v>
      </c>
      <c r="K67" s="89" t="str">
        <f t="shared" si="37"/>
        <v>0.0239820479649094-0.153012524355492i</v>
      </c>
      <c r="L67" s="89" t="str">
        <f t="shared" si="38"/>
        <v>-0.0296389492972576+0.01794466261954i</v>
      </c>
      <c r="M67" s="84">
        <f t="shared" si="39"/>
        <v>-29.206457105082929</v>
      </c>
      <c r="N67" s="84">
        <f t="shared" si="40"/>
        <v>328.80752943205681</v>
      </c>
      <c r="O67" s="84">
        <f t="shared" si="28"/>
        <v>-31.19247056794319</v>
      </c>
    </row>
    <row r="68" spans="1:15" ht="15" x14ac:dyDescent="0.2">
      <c r="A68" s="85">
        <f t="shared" ref="A68:A100" si="41">1+A67</f>
        <v>67</v>
      </c>
      <c r="B68" s="84">
        <f t="shared" ref="B68:B99" si="42">(fs*1000/2)*(A68/100)</f>
        <v>67000</v>
      </c>
      <c r="C68" s="84">
        <f t="shared" si="29"/>
        <v>262.98273155416013</v>
      </c>
      <c r="D68" s="58" t="str">
        <f t="shared" si="30"/>
        <v>0.00126568105669346-0.000236613067187021i</v>
      </c>
      <c r="E68" s="58" t="str">
        <f t="shared" si="31"/>
        <v>-0.327598930100435-0.551762903889622i</v>
      </c>
      <c r="F68" s="84" t="str">
        <f t="shared" si="32"/>
        <v>-0.000545190073070506-0.000620841667581018i</v>
      </c>
      <c r="G68" s="84" t="str">
        <f t="shared" si="33"/>
        <v>-0.143375574632294-0.163270637603096i</v>
      </c>
      <c r="H68" s="87">
        <f t="shared" si="34"/>
        <v>0.21728749734962205</v>
      </c>
      <c r="I68" s="58" t="str">
        <f t="shared" si="35"/>
        <v>0.909090909090909-0.0140738868128456i</v>
      </c>
      <c r="J68" s="89" t="str">
        <f t="shared" si="36"/>
        <v>0.0281827552974815-0.165494675447048i</v>
      </c>
      <c r="K68" s="89" t="str">
        <f t="shared" si="37"/>
        <v>0.0232915333037037-0.150846345859993i</v>
      </c>
      <c r="L68" s="89" t="str">
        <f t="shared" si="38"/>
        <v>-0.0279682160401439+0.0178248580256088i</v>
      </c>
      <c r="M68" s="84">
        <f t="shared" si="39"/>
        <v>-29.586283699086518</v>
      </c>
      <c r="N68" s="84">
        <f t="shared" si="40"/>
        <v>327.48959782894519</v>
      </c>
      <c r="O68" s="84">
        <f t="shared" si="28"/>
        <v>-32.510402171054807</v>
      </c>
    </row>
    <row r="69" spans="1:15" ht="15" x14ac:dyDescent="0.2">
      <c r="A69" s="85">
        <f t="shared" si="41"/>
        <v>68</v>
      </c>
      <c r="B69" s="84">
        <f t="shared" si="42"/>
        <v>68000</v>
      </c>
      <c r="C69" s="84">
        <f t="shared" si="29"/>
        <v>262.98273155416013</v>
      </c>
      <c r="D69" s="58" t="str">
        <f t="shared" si="30"/>
        <v>0.00126567942009026-0.00023313346363983i</v>
      </c>
      <c r="E69" s="58" t="str">
        <f t="shared" si="31"/>
        <v>-0.330401080778646-0.528890618948869i</v>
      </c>
      <c r="F69" s="84" t="str">
        <f t="shared" si="32"/>
        <v>-0.000541483950199275-0.000592378423530114i</v>
      </c>
      <c r="G69" s="84" t="str">
        <f t="shared" si="33"/>
        <v>-0.142400928316142-0.155785295933697i</v>
      </c>
      <c r="H69" s="87">
        <f t="shared" si="34"/>
        <v>0.21106179856726456</v>
      </c>
      <c r="I69" s="58" t="str">
        <f t="shared" si="35"/>
        <v>0.909090909090908-0.0138669178891273i</v>
      </c>
      <c r="J69" s="89" t="str">
        <f t="shared" si="36"/>
        <v>0.0273824761829292-0.163195208817601i</v>
      </c>
      <c r="K69" s="89" t="str">
        <f t="shared" si="37"/>
        <v>0.0226301456057266-0.148738991292103i</v>
      </c>
      <c r="L69" s="89" t="str">
        <f t="shared" si="38"/>
        <v>-0.0263939015175048+0.0176551265065913i</v>
      </c>
      <c r="M69" s="84">
        <f t="shared" si="39"/>
        <v>-29.963923457083101</v>
      </c>
      <c r="N69" s="84">
        <f t="shared" si="40"/>
        <v>326.2210670621987</v>
      </c>
      <c r="O69" s="84">
        <f t="shared" si="28"/>
        <v>-33.778932937801301</v>
      </c>
    </row>
    <row r="70" spans="1:15" ht="15" x14ac:dyDescent="0.2">
      <c r="A70" s="85">
        <f t="shared" si="41"/>
        <v>69</v>
      </c>
      <c r="B70" s="84">
        <f t="shared" si="42"/>
        <v>69000</v>
      </c>
      <c r="C70" s="84">
        <f t="shared" si="29"/>
        <v>262.98273155416013</v>
      </c>
      <c r="D70" s="58" t="str">
        <f t="shared" si="30"/>
        <v>0.00126567785412681-0.000229754718150222i</v>
      </c>
      <c r="E70" s="58" t="str">
        <f t="shared" si="31"/>
        <v>-0.332214276180469-0.506916962769844i</v>
      </c>
      <c r="F70" s="84" t="str">
        <f t="shared" si="32"/>
        <v>-0.000536942816093139-0.000565265776269693i</v>
      </c>
      <c r="G70" s="84" t="str">
        <f t="shared" si="33"/>
        <v>-0.141206688464557-0.148655137897487i</v>
      </c>
      <c r="H70" s="87">
        <f t="shared" si="34"/>
        <v>0.20503092179095164</v>
      </c>
      <c r="I70" s="58" t="str">
        <f t="shared" si="35"/>
        <v>0.909090909090909-0.0136659480646472i</v>
      </c>
      <c r="J70" s="89" t="str">
        <f t="shared" si="36"/>
        <v>0.0266155041486709-0.160956885803568i</v>
      </c>
      <c r="K70" s="89" t="str">
        <f t="shared" si="37"/>
        <v>0.0219962844203892-0.146688167737017i</v>
      </c>
      <c r="L70" s="89" t="str">
        <f t="shared" si="38"/>
        <v>-0.0249119722844037+0.0174434897093323i</v>
      </c>
      <c r="M70" s="84">
        <f t="shared" si="39"/>
        <v>-30.339138152752632</v>
      </c>
      <c r="N70" s="84">
        <f t="shared" si="40"/>
        <v>325.00009425703672</v>
      </c>
      <c r="O70" s="84">
        <f t="shared" si="28"/>
        <v>-34.999905742963278</v>
      </c>
    </row>
    <row r="71" spans="1:15" ht="15" x14ac:dyDescent="0.2">
      <c r="A71" s="85">
        <f t="shared" si="41"/>
        <v>70</v>
      </c>
      <c r="B71" s="84">
        <f t="shared" si="42"/>
        <v>70000</v>
      </c>
      <c r="C71" s="84">
        <f t="shared" si="29"/>
        <v>262.98273155416013</v>
      </c>
      <c r="D71" s="58" t="str">
        <f t="shared" si="30"/>
        <v>0.00126567635479554-0.00022647250823092i</v>
      </c>
      <c r="E71" s="58" t="str">
        <f t="shared" si="31"/>
        <v>-0.333148250971682-0.485841199333704i</v>
      </c>
      <c r="F71" s="84" t="str">
        <f t="shared" si="32"/>
        <v>-0.00053168753891137-0.000539468798171875i</v>
      </c>
      <c r="G71" s="84" t="str">
        <f t="shared" si="33"/>
        <v>-0.139824641316221-0.14187097813148i</v>
      </c>
      <c r="H71" s="87">
        <f t="shared" si="34"/>
        <v>0.19919413835550667</v>
      </c>
      <c r="I71" s="58" t="str">
        <f t="shared" si="35"/>
        <v>0.909090909090909-0.0134707202351522i</v>
      </c>
      <c r="J71" s="89" t="str">
        <f t="shared" si="36"/>
        <v>0.0258800326240614-0.158777380427562i</v>
      </c>
      <c r="K71" s="89" t="str">
        <f t="shared" si="37"/>
        <v>0.0213884567141003-0.144691695795121i</v>
      </c>
      <c r="L71" s="89" t="str">
        <f t="shared" si="38"/>
        <v>-0.023518185698313+0.0171970631912363i</v>
      </c>
      <c r="M71" s="84">
        <f t="shared" si="39"/>
        <v>-30.711720958331043</v>
      </c>
      <c r="N71" s="84">
        <f t="shared" si="40"/>
        <v>323.82483043198329</v>
      </c>
      <c r="O71" s="84">
        <f t="shared" si="28"/>
        <v>-36.175169568016713</v>
      </c>
    </row>
    <row r="72" spans="1:15" ht="15" x14ac:dyDescent="0.2">
      <c r="A72" s="85">
        <f t="shared" si="41"/>
        <v>71</v>
      </c>
      <c r="B72" s="84">
        <f t="shared" si="42"/>
        <v>71000</v>
      </c>
      <c r="C72" s="84">
        <f t="shared" si="29"/>
        <v>262.98273155416013</v>
      </c>
      <c r="D72" s="58" t="str">
        <f t="shared" si="30"/>
        <v>0.00126567491836907-0.000223282754915001i</v>
      </c>
      <c r="E72" s="58" t="str">
        <f t="shared" si="31"/>
        <v>-0.333303933678997-0.465654846344132i</v>
      </c>
      <c r="F72" s="84" t="str">
        <f t="shared" si="32"/>
        <v>-0.000525827125982494-0.000514946639098918i</v>
      </c>
      <c r="G72" s="84" t="str">
        <f t="shared" si="33"/>
        <v>-0.13828345391615-0.135422073754868i</v>
      </c>
      <c r="H72" s="87">
        <f t="shared" si="34"/>
        <v>0.19354961040273083</v>
      </c>
      <c r="I72" s="58" t="str">
        <f t="shared" si="35"/>
        <v>0.909090909090909-0.013280991781136i</v>
      </c>
      <c r="J72" s="89" t="str">
        <f t="shared" si="36"/>
        <v>0.0251743747830263-0.156654478510223i</v>
      </c>
      <c r="K72" s="89" t="str">
        <f t="shared" si="37"/>
        <v>0.0208052684157242-0.14274750294661i</v>
      </c>
      <c r="L72" s="89" t="str">
        <f t="shared" si="38"/>
        <v>-0.022208187248538+0.016922125151479i</v>
      </c>
      <c r="M72" s="84">
        <f t="shared" si="39"/>
        <v>-31.081493942892486</v>
      </c>
      <c r="N72" s="84">
        <f t="shared" si="40"/>
        <v>322.69343753727708</v>
      </c>
      <c r="O72" s="84">
        <f t="shared" si="28"/>
        <v>-37.306562462722923</v>
      </c>
    </row>
    <row r="73" spans="1:15" ht="15" x14ac:dyDescent="0.2">
      <c r="A73" s="85">
        <f t="shared" si="41"/>
        <v>72</v>
      </c>
      <c r="B73" s="84">
        <f t="shared" si="42"/>
        <v>72000</v>
      </c>
      <c r="C73" s="84">
        <f t="shared" si="29"/>
        <v>262.98273155416013</v>
      </c>
      <c r="D73" s="58" t="str">
        <f t="shared" si="30"/>
        <v>0.00126567354137709-0.000220181605844753i</v>
      </c>
      <c r="E73" s="58" t="str">
        <f t="shared" si="31"/>
        <v>-0.3327736520237-0.446343199435663i</v>
      </c>
      <c r="F73" s="84" t="str">
        <f t="shared" si="32"/>
        <v>-0.000519459369043453-0.000491654140813915i</v>
      </c>
      <c r="G73" s="84" t="str">
        <f t="shared" si="33"/>
        <v>-0.136608843802448-0.129296548931157i</v>
      </c>
      <c r="H73" s="87">
        <f t="shared" si="34"/>
        <v>0.18809458729731887</v>
      </c>
      <c r="I73" s="58" t="str">
        <f t="shared" si="35"/>
        <v>0.90909090909091-0.0130965335619536i</v>
      </c>
      <c r="J73" s="89" t="str">
        <f t="shared" si="36"/>
        <v>0.024496954232006-0.15458607138213i</v>
      </c>
      <c r="K73" s="89" t="str">
        <f t="shared" si="37"/>
        <v>0.0202454167206661-0.140853617348838i</v>
      </c>
      <c r="L73" s="89" t="str">
        <f t="shared" si="38"/>
        <v>-0.0209775895981834+0.0166241872977619i</v>
      </c>
      <c r="M73" s="84">
        <f t="shared" si="39"/>
        <v>-31.448305596533892</v>
      </c>
      <c r="N73" s="84">
        <f t="shared" si="40"/>
        <v>321.60410225962255</v>
      </c>
      <c r="O73" s="84">
        <f t="shared" si="28"/>
        <v>-38.39589774037745</v>
      </c>
    </row>
    <row r="74" spans="1:15" ht="15" x14ac:dyDescent="0.2">
      <c r="A74" s="85">
        <f t="shared" si="41"/>
        <v>73</v>
      </c>
      <c r="B74" s="84">
        <f t="shared" si="42"/>
        <v>73000</v>
      </c>
      <c r="C74" s="84">
        <f t="shared" si="29"/>
        <v>262.98273155416013</v>
      </c>
      <c r="D74" s="58" t="str">
        <f t="shared" si="30"/>
        <v>0.00126567222058532-0.000217165419750513i</v>
      </c>
      <c r="E74" s="58" t="str">
        <f t="shared" si="31"/>
        <v>-0.331641465588464-0.427886655849379i</v>
      </c>
      <c r="F74" s="84" t="str">
        <f t="shared" si="32"/>
        <v>-0.000512671575412695-0.000469543195786516i</v>
      </c>
      <c r="G74" s="84" t="str">
        <f t="shared" si="33"/>
        <v>-0.134823771292205-0.123481752210608i</v>
      </c>
      <c r="H74" s="87">
        <f t="shared" si="34"/>
        <v>0.18282557926738477</v>
      </c>
      <c r="I74" s="58" t="str">
        <f t="shared" si="35"/>
        <v>0.90909090909091-0.0129171289926117i</v>
      </c>
      <c r="J74" s="89" t="str">
        <f t="shared" si="36"/>
        <v>0.0238462965238748-0.152570149983443i</v>
      </c>
      <c r="K74" s="89" t="str">
        <f t="shared" si="37"/>
        <v>0.0197076830775825-0.13900816203678i</v>
      </c>
      <c r="L74" s="89" t="str">
        <f t="shared" si="38"/>
        <v>-0.019822035575829+0.0163080654077654i</v>
      </c>
      <c r="M74" s="84">
        <f t="shared" si="39"/>
        <v>-31.812028426735893</v>
      </c>
      <c r="N74" s="84">
        <f t="shared" si="40"/>
        <v>320.55504700097742</v>
      </c>
      <c r="O74" s="84">
        <f t="shared" si="28"/>
        <v>-39.444952999022576</v>
      </c>
    </row>
    <row r="75" spans="1:15" ht="15" x14ac:dyDescent="0.2">
      <c r="A75" s="85">
        <f t="shared" si="41"/>
        <v>74</v>
      </c>
      <c r="B75" s="84">
        <f t="shared" si="42"/>
        <v>74000</v>
      </c>
      <c r="C75" s="84">
        <f t="shared" si="29"/>
        <v>262.98273155416013</v>
      </c>
      <c r="D75" s="58" t="str">
        <f t="shared" si="30"/>
        <v>0.00126567095297653-0.000214230752187951i</v>
      </c>
      <c r="E75" s="58" t="str">
        <f t="shared" si="31"/>
        <v>-0.329983585977756-0.410261850846i</v>
      </c>
      <c r="F75" s="84" t="str">
        <f t="shared" si="32"/>
        <v>-0.000505541344631839-0.00044856387589648i</v>
      </c>
      <c r="G75" s="84" t="str">
        <f t="shared" si="33"/>
        <v>-0.132948643724844-0.117964553359778i</v>
      </c>
      <c r="H75" s="87">
        <f t="shared" si="34"/>
        <v>0.17773850938287797</v>
      </c>
      <c r="I75" s="58" t="str">
        <f t="shared" si="35"/>
        <v>0.909090909090909-0.0127425731954143i</v>
      </c>
      <c r="J75" s="89" t="str">
        <f t="shared" si="36"/>
        <v>0.023221021415994-0.150604799327219i</v>
      </c>
      <c r="K75" s="89" t="str">
        <f t="shared" si="37"/>
        <v>0.0191909267900777-0.137209349498901i</v>
      </c>
      <c r="L75" s="89" t="str">
        <f t="shared" si="38"/>
        <v>-0.0187372473189871+0.0159779478148953i</v>
      </c>
      <c r="M75" s="84">
        <f t="shared" si="39"/>
        <v>-32.172556659814163</v>
      </c>
      <c r="N75" s="84">
        <f t="shared" si="40"/>
        <v>319.54453841715531</v>
      </c>
      <c r="O75" s="84">
        <f t="shared" si="28"/>
        <v>-40.455461582844691</v>
      </c>
    </row>
    <row r="76" spans="1:15" ht="15" x14ac:dyDescent="0.2">
      <c r="A76" s="85">
        <f t="shared" si="41"/>
        <v>75</v>
      </c>
      <c r="B76" s="84">
        <f t="shared" si="42"/>
        <v>75000</v>
      </c>
      <c r="C76" s="84">
        <f t="shared" si="29"/>
        <v>262.98273155416013</v>
      </c>
      <c r="D76" s="58" t="str">
        <f t="shared" si="30"/>
        <v>0.0012656697357333-0.000211374342416398i</v>
      </c>
      <c r="E76" s="58" t="str">
        <f t="shared" si="31"/>
        <v>-0.327868852459016-0.39344262295082i</v>
      </c>
      <c r="F76" s="84" t="str">
        <f t="shared" si="32"/>
        <v>-0.000498137359551796-0.000428665357529037i</v>
      </c>
      <c r="G76" s="84" t="str">
        <f t="shared" si="33"/>
        <v>-0.131001523504108-0.112731586645627i</v>
      </c>
      <c r="H76" s="87">
        <f t="shared" si="34"/>
        <v>0.17282884535874754</v>
      </c>
      <c r="I76" s="58" t="str">
        <f t="shared" si="35"/>
        <v>0.90909090909091-0.0125726722194754i</v>
      </c>
      <c r="J76" s="89" t="str">
        <f t="shared" si="36"/>
        <v>0.0226198357994703-0.148688193303555i</v>
      </c>
      <c r="K76" s="89" t="str">
        <f t="shared" si="37"/>
        <v>0.018694079173116-0.135455476602579i</v>
      </c>
      <c r="L76" s="89" t="str">
        <f t="shared" si="38"/>
        <v>-0.0177190636494329+0.0156374605958486i</v>
      </c>
      <c r="M76" s="84">
        <f t="shared" si="39"/>
        <v>-32.529804069511442</v>
      </c>
      <c r="N76" s="84">
        <f t="shared" si="40"/>
        <v>318.57089387253939</v>
      </c>
      <c r="O76" s="84">
        <f t="shared" si="28"/>
        <v>-41.429106127460614</v>
      </c>
    </row>
    <row r="77" spans="1:15" ht="15" x14ac:dyDescent="0.2">
      <c r="A77" s="85">
        <f t="shared" si="41"/>
        <v>76</v>
      </c>
      <c r="B77" s="84">
        <f t="shared" si="42"/>
        <v>76000</v>
      </c>
      <c r="C77" s="84">
        <f t="shared" si="29"/>
        <v>262.98273155416013</v>
      </c>
      <c r="D77" s="58" t="str">
        <f t="shared" si="30"/>
        <v>0.00126566856622231-0.000208593101313075i</v>
      </c>
      <c r="E77" s="58" t="str">
        <f t="shared" si="31"/>
        <v>-0.325359237914116-0.377400825419304i</v>
      </c>
      <c r="F77" s="84" t="str">
        <f t="shared" si="32"/>
        <v>-0.00049052016877027-0.000409796669122203i</v>
      </c>
      <c r="G77" s="84" t="str">
        <f t="shared" si="33"/>
        <v>-0.128998333865613-0.107769447427553i</v>
      </c>
      <c r="H77" s="87">
        <f t="shared" si="34"/>
        <v>0.16809171288003544</v>
      </c>
      <c r="I77" s="58" t="str">
        <f t="shared" si="35"/>
        <v>0.909090909090909-0.0124072423218507i</v>
      </c>
      <c r="J77" s="89" t="str">
        <f t="shared" si="36"/>
        <v>0.0220415272345515-0.146818589802927i</v>
      </c>
      <c r="K77" s="89" t="str">
        <f t="shared" si="37"/>
        <v>0.0182161382103731-0.133744919844931i</v>
      </c>
      <c r="L77" s="89" t="str">
        <f t="shared" si="38"/>
        <v>-0.0167634675865344+0.0152897286737902i</v>
      </c>
      <c r="M77" s="84">
        <f t="shared" si="39"/>
        <v>-32.88370194614042</v>
      </c>
      <c r="N77" s="84">
        <f t="shared" si="40"/>
        <v>317.63248613372843</v>
      </c>
      <c r="O77" s="84">
        <f t="shared" si="28"/>
        <v>-42.367513866271565</v>
      </c>
    </row>
    <row r="78" spans="1:15" ht="15" x14ac:dyDescent="0.2">
      <c r="A78" s="85">
        <f t="shared" si="41"/>
        <v>77</v>
      </c>
      <c r="B78" s="84">
        <f t="shared" si="42"/>
        <v>77000</v>
      </c>
      <c r="C78" s="84">
        <f t="shared" si="29"/>
        <v>262.98273155416013</v>
      </c>
      <c r="D78" s="58" t="str">
        <f t="shared" si="30"/>
        <v>0.00126566744198016-0.000205884100229078i</v>
      </c>
      <c r="E78" s="58" t="str">
        <f t="shared" si="31"/>
        <v>-0.322510365759674-0.362107001509111i</v>
      </c>
      <c r="F78" s="84" t="str">
        <f t="shared" si="32"/>
        <v>-0.000482742943835485-0.000391907285854161i</v>
      </c>
      <c r="G78" s="84" t="str">
        <f t="shared" si="33"/>
        <v>-0.126953058008352-0.103064848549904i</v>
      </c>
      <c r="H78" s="87">
        <f t="shared" si="34"/>
        <v>0.16352199223433719</v>
      </c>
      <c r="I78" s="58" t="str">
        <f t="shared" si="35"/>
        <v>0.909090909090909-0.0122461093046838i</v>
      </c>
      <c r="J78" s="89" t="str">
        <f t="shared" si="36"/>
        <v>0.0214849580340325-0.14499432613833i</v>
      </c>
      <c r="K78" s="89" t="str">
        <f t="shared" si="37"/>
        <v>0.0177561636644897-0.132076130906609i</v>
      </c>
      <c r="L78" s="89" t="str">
        <f t="shared" si="38"/>
        <v>-0.0158666057046507+0.0149374323895975i</v>
      </c>
      <c r="M78" s="84">
        <f t="shared" si="39"/>
        <v>-33.234197212948395</v>
      </c>
      <c r="N78" s="84">
        <f t="shared" si="40"/>
        <v>316.72774659004961</v>
      </c>
      <c r="O78" s="84">
        <f t="shared" si="28"/>
        <v>-43.272253409950395</v>
      </c>
    </row>
    <row r="79" spans="1:15" ht="15" x14ac:dyDescent="0.2">
      <c r="A79" s="85">
        <f t="shared" si="41"/>
        <v>78</v>
      </c>
      <c r="B79" s="84">
        <f t="shared" si="42"/>
        <v>78000</v>
      </c>
      <c r="C79" s="84">
        <f t="shared" si="29"/>
        <v>262.98273155416013</v>
      </c>
      <c r="D79" s="58" t="str">
        <f t="shared" si="30"/>
        <v>0.0012656663607003-0.000203244560702594i</v>
      </c>
      <c r="E79" s="58" t="str">
        <f t="shared" si="31"/>
        <v>-0.319372023352939-0.34753094059053i</v>
      </c>
      <c r="F79" s="84" t="str">
        <f t="shared" si="32"/>
        <v>-0.000474852199857487-0.000374947594220902i</v>
      </c>
      <c r="G79" s="84" t="str">
        <f t="shared" si="33"/>
        <v>-0.124877928603024-0.0986047425178736i</v>
      </c>
      <c r="H79" s="87">
        <f t="shared" si="34"/>
        <v>0.15911440003720001</v>
      </c>
      <c r="I79" s="58" t="str">
        <f t="shared" si="35"/>
        <v>0.90909090909091-0.0120891079033417i</v>
      </c>
      <c r="J79" s="89" t="str">
        <f t="shared" si="36"/>
        <v>0.0209490598426812-0.143213814747003i</v>
      </c>
      <c r="K79" s="89" t="str">
        <f t="shared" si="37"/>
        <v>0.0173132725972572-0.130447632487642i</v>
      </c>
      <c r="L79" s="89" t="str">
        <f t="shared" si="38"/>
        <v>-0.0150248008327951+0.014582859349631i</v>
      </c>
      <c r="M79" s="84">
        <f t="shared" si="39"/>
        <v>-33.581250691262561</v>
      </c>
      <c r="N79" s="84">
        <f t="shared" si="40"/>
        <v>315.85516725438765</v>
      </c>
      <c r="O79" s="84">
        <f t="shared" si="28"/>
        <v>-44.144832745612348</v>
      </c>
    </row>
    <row r="80" spans="1:15" ht="15" x14ac:dyDescent="0.2">
      <c r="A80" s="85">
        <f t="shared" si="41"/>
        <v>79</v>
      </c>
      <c r="B80" s="84">
        <f t="shared" si="42"/>
        <v>79000</v>
      </c>
      <c r="C80" s="84">
        <f t="shared" si="29"/>
        <v>262.98273155416013</v>
      </c>
      <c r="D80" s="58" t="str">
        <f t="shared" si="30"/>
        <v>0.00126566532022126-0.000200671844953393i</v>
      </c>
      <c r="E80" s="58" t="str">
        <f t="shared" si="31"/>
        <v>-0.315988661370671-0.333642131091727i</v>
      </c>
      <c r="F80" s="84" t="str">
        <f t="shared" si="32"/>
        <v>-0.000466888472280356-0.000358869247025909i</v>
      </c>
      <c r="G80" s="84" t="str">
        <f t="shared" si="33"/>
        <v>-0.122783605771437-0.0943764148536582i</v>
      </c>
      <c r="H80" s="87">
        <f t="shared" si="34"/>
        <v>0.1548635577754349</v>
      </c>
      <c r="I80" s="58" t="str">
        <f t="shared" si="35"/>
        <v>0.909090909090909-0.011936081221021i</v>
      </c>
      <c r="J80" s="89" t="str">
        <f t="shared" si="36"/>
        <v>0.0204328286661268-0.141475539153691i</v>
      </c>
      <c r="K80" s="89" t="str">
        <f t="shared" si="37"/>
        <v>0.0168866352612618-0.12885801440589i</v>
      </c>
      <c r="L80" s="89" t="str">
        <f t="shared" si="38"/>
        <v>-0.0142345593915138+0.0142279515464037i</v>
      </c>
      <c r="M80" s="84">
        <f t="shared" si="39"/>
        <v>-33.924835512180223</v>
      </c>
      <c r="N80" s="84">
        <f t="shared" si="40"/>
        <v>315.01330176492542</v>
      </c>
      <c r="O80" s="84">
        <f t="shared" si="28"/>
        <v>-44.986698235074584</v>
      </c>
    </row>
    <row r="81" spans="1:18" ht="15" x14ac:dyDescent="0.2">
      <c r="A81" s="85">
        <f t="shared" si="41"/>
        <v>80</v>
      </c>
      <c r="B81" s="84">
        <f t="shared" si="42"/>
        <v>80000</v>
      </c>
      <c r="C81" s="84">
        <f t="shared" si="29"/>
        <v>262.98273155416013</v>
      </c>
      <c r="D81" s="58" t="str">
        <f t="shared" si="30"/>
        <v>0.00126566431851581-0.000198163447090229i</v>
      </c>
      <c r="E81" s="58" t="str">
        <f t="shared" si="31"/>
        <v>-0.31239987183595-0.320410124959949i</v>
      </c>
      <c r="F81" s="84" t="str">
        <f t="shared" si="32"/>
        <v>-0.000458886945736349-0.000343625426979442i</v>
      </c>
      <c r="G81" s="84" t="str">
        <f t="shared" si="33"/>
        <v>-0.120679342464291-0.0903675534185183i</v>
      </c>
      <c r="H81" s="87">
        <f t="shared" si="34"/>
        <v>0.15076404879301428</v>
      </c>
      <c r="I81" s="58" t="str">
        <f t="shared" si="35"/>
        <v>0.90909090909091-0.0117868802057582i</v>
      </c>
      <c r="J81" s="89" t="str">
        <f t="shared" si="36"/>
        <v>0.0199353203074676-0.139778050178511i</v>
      </c>
      <c r="K81" s="89" t="str">
        <f t="shared" si="37"/>
        <v>0.0164754713284856-0.127305929940065i</v>
      </c>
      <c r="L81" s="89" t="str">
        <f t="shared" si="38"/>
        <v>-0.0134925744710639+0.0138743478816i</v>
      </c>
      <c r="M81" s="84">
        <f t="shared" si="39"/>
        <v>-34.264935669863085</v>
      </c>
      <c r="N81" s="84">
        <f t="shared" si="40"/>
        <v>314.20076557788275</v>
      </c>
      <c r="O81" s="84">
        <f t="shared" si="28"/>
        <v>-45.799234422117252</v>
      </c>
    </row>
    <row r="82" spans="1:18" ht="15" x14ac:dyDescent="0.2">
      <c r="A82" s="85">
        <f t="shared" si="41"/>
        <v>81</v>
      </c>
      <c r="B82" s="84">
        <f t="shared" si="42"/>
        <v>81000</v>
      </c>
      <c r="C82" s="84">
        <f t="shared" si="29"/>
        <v>262.98273155416013</v>
      </c>
      <c r="D82" s="58" t="str">
        <f t="shared" si="30"/>
        <v>0.00126566335368105-0.000195716984969546i</v>
      </c>
      <c r="E82" s="58" t="str">
        <f t="shared" si="31"/>
        <v>-0.308640839982196-0.307804826872173i</v>
      </c>
      <c r="F82" s="84" t="str">
        <f t="shared" si="32"/>
        <v>-0.000450878033289297-0.000329171034818466i</v>
      </c>
      <c r="G82" s="84" t="str">
        <f t="shared" si="33"/>
        <v>-0.118573136792187-0.0865662978850697i</v>
      </c>
      <c r="H82" s="87">
        <f t="shared" si="34"/>
        <v>0.14681046522051933</v>
      </c>
      <c r="I82" s="58" t="str">
        <f t="shared" si="35"/>
        <v>0.90909090909091-0.0116413631661809i</v>
      </c>
      <c r="J82" s="89" t="str">
        <f t="shared" si="36"/>
        <v>0.0194556461741281-0.138119962373566i</v>
      </c>
      <c r="K82" s="89" t="str">
        <f t="shared" si="37"/>
        <v>0.0160790464248993-0.125790092400533i</v>
      </c>
      <c r="L82" s="89" t="str">
        <f t="shared" si="38"/>
        <v>-0.0127957255809625+0.0135234223107845i</v>
      </c>
      <c r="M82" s="84">
        <f t="shared" si="39"/>
        <v>-34.601544709644067</v>
      </c>
      <c r="N82" s="84">
        <f t="shared" si="40"/>
        <v>313.41623551362221</v>
      </c>
      <c r="O82" s="84">
        <f t="shared" si="28"/>
        <v>-46.583764486377788</v>
      </c>
    </row>
    <row r="83" spans="1:18" ht="15" x14ac:dyDescent="0.2">
      <c r="A83" s="85">
        <f t="shared" si="41"/>
        <v>82</v>
      </c>
      <c r="B83" s="84">
        <f t="shared" si="42"/>
        <v>82000</v>
      </c>
      <c r="C83" s="84">
        <f t="shared" si="29"/>
        <v>262.98273155416013</v>
      </c>
      <c r="D83" s="58" t="str">
        <f t="shared" si="30"/>
        <v>0.00126566242392945-0.000193330192649895i</v>
      </c>
      <c r="E83" s="58" t="str">
        <f t="shared" si="31"/>
        <v>-0.304742767092029-0.295796719952017i</v>
      </c>
      <c r="F83" s="84" t="str">
        <f t="shared" si="32"/>
        <v>-0.000442887906126196-0.000315462815694286i</v>
      </c>
      <c r="G83" s="84" t="str">
        <f t="shared" si="33"/>
        <v>-0.116471871325369-0.0829612729750499i</v>
      </c>
      <c r="H83" s="87">
        <f t="shared" si="34"/>
        <v>0.14299744621381902</v>
      </c>
      <c r="I83" s="58" t="str">
        <f t="shared" si="35"/>
        <v>0.909090909090909-0.0114993953226909i</v>
      </c>
      <c r="J83" s="89" t="str">
        <f t="shared" si="36"/>
        <v>0.0189929694212954-0.13649995067346i</v>
      </c>
      <c r="K83" s="89" t="str">
        <f t="shared" si="37"/>
        <v>0.0156966689432193-0.124309271912327i</v>
      </c>
      <c r="L83" s="89" t="str">
        <f t="shared" si="38"/>
        <v>-0.0121410758458398+0.0131763178857255i</v>
      </c>
      <c r="M83" s="84">
        <f t="shared" si="39"/>
        <v>-34.934664542976627</v>
      </c>
      <c r="N83" s="84">
        <f t="shared" si="40"/>
        <v>312.65844879365795</v>
      </c>
      <c r="O83" s="84">
        <f t="shared" si="28"/>
        <v>-47.341551206342046</v>
      </c>
    </row>
    <row r="84" spans="1:18" ht="15" x14ac:dyDescent="0.2">
      <c r="A84" s="85">
        <f t="shared" si="41"/>
        <v>83</v>
      </c>
      <c r="B84" s="84">
        <f t="shared" si="42"/>
        <v>83000</v>
      </c>
      <c r="C84" s="84">
        <f t="shared" si="29"/>
        <v>262.98273155416013</v>
      </c>
      <c r="D84" s="58" t="str">
        <f t="shared" si="30"/>
        <v>0.00126566152758047-0.000191000913391798i</v>
      </c>
      <c r="E84" s="58" t="str">
        <f t="shared" si="31"/>
        <v>-0.300733262929728-0.284357038313596i</v>
      </c>
      <c r="F84" s="84" t="str">
        <f t="shared" si="32"/>
        <v>-0.000434938975001182-0.00030245943558337i</v>
      </c>
      <c r="G84" s="84" t="str">
        <f t="shared" si="33"/>
        <v>-0.114381439705177-0.0795416085540442i</v>
      </c>
      <c r="H84" s="87">
        <f t="shared" si="34"/>
        <v>0.13931970872921692</v>
      </c>
      <c r="I84" s="58" t="str">
        <f t="shared" si="35"/>
        <v>0.90909090909091-0.0113608483910922i</v>
      </c>
      <c r="J84" s="89" t="str">
        <f t="shared" si="36"/>
        <v>0.0185465014016402-0.134916747245845i</v>
      </c>
      <c r="K84" s="89" t="str">
        <f t="shared" si="37"/>
        <v>0.0153276871087936-0.122862292395923i</v>
      </c>
      <c r="L84" s="89" t="str">
        <f t="shared" si="38"/>
        <v>-0.0115258672866633+0.0128339770016776i</v>
      </c>
      <c r="M84" s="84">
        <f t="shared" si="39"/>
        <v>-35.264304380600528</v>
      </c>
      <c r="N84" s="84">
        <f t="shared" si="40"/>
        <v>311.92620168421269</v>
      </c>
      <c r="O84" s="84">
        <f t="shared" si="28"/>
        <v>-48.073798315787315</v>
      </c>
      <c r="P84" s="84">
        <v>-27.673999999999999</v>
      </c>
      <c r="Q84" s="84">
        <v>318.15300000000002</v>
      </c>
      <c r="R84" s="84">
        <f>B84</f>
        <v>83000</v>
      </c>
    </row>
    <row r="85" spans="1:18" ht="15" x14ac:dyDescent="0.2">
      <c r="A85" s="85">
        <f t="shared" si="41"/>
        <v>84</v>
      </c>
      <c r="B85" s="84">
        <f t="shared" si="42"/>
        <v>84000</v>
      </c>
      <c r="C85" s="84">
        <f t="shared" si="29"/>
        <v>262.98273155416013</v>
      </c>
      <c r="D85" s="58" t="str">
        <f t="shared" si="30"/>
        <v>0.00126566066305302-0.000188727093157643i</v>
      </c>
      <c r="E85" s="58" t="str">
        <f t="shared" si="31"/>
        <v>-0.296636707487767-0.273457895401365i</v>
      </c>
      <c r="F85" s="84" t="str">
        <f t="shared" si="32"/>
        <v>-0.000427050325584938-0.000290121517682755i</v>
      </c>
      <c r="G85" s="84" t="str">
        <f t="shared" si="33"/>
        <v>-0.11230686113342-0.0762969492028495i</v>
      </c>
      <c r="H85" s="87">
        <f t="shared" si="34"/>
        <v>0.135772071926827</v>
      </c>
      <c r="I85" s="58" t="str">
        <f t="shared" si="35"/>
        <v>0.90909090909091-0.0112256001959602i</v>
      </c>
      <c r="J85" s="89" t="str">
        <f t="shared" si="36"/>
        <v>0.0181154983940378-0.133369138529022i</v>
      </c>
      <c r="K85" s="89" t="str">
        <f t="shared" si="37"/>
        <v>0.0149714862760643-0.121448028732342i</v>
      </c>
      <c r="L85" s="89" t="str">
        <f t="shared" si="38"/>
        <v>-0.0109475147091446+0.0124971681698747i</v>
      </c>
      <c r="M85" s="84">
        <f t="shared" si="39"/>
        <v>-35.59047977502297</v>
      </c>
      <c r="N85" s="84">
        <f t="shared" si="40"/>
        <v>311.21834784280566</v>
      </c>
      <c r="O85" s="84">
        <f t="shared" si="28"/>
        <v>-48.781652157194344</v>
      </c>
    </row>
    <row r="86" spans="1:18" ht="15" x14ac:dyDescent="0.2">
      <c r="A86" s="85">
        <f t="shared" si="41"/>
        <v>85</v>
      </c>
      <c r="B86" s="84">
        <f t="shared" si="42"/>
        <v>85000</v>
      </c>
      <c r="C86" s="84">
        <f t="shared" si="29"/>
        <v>262.98273155416013</v>
      </c>
      <c r="D86" s="58" t="str">
        <f t="shared" si="30"/>
        <v>0.00126565982885845-0.000186506774570392i</v>
      </c>
      <c r="E86" s="58" t="str">
        <f t="shared" si="31"/>
        <v>-0.292474582566039-0.263072375853051i</v>
      </c>
      <c r="F86" s="84" t="str">
        <f t="shared" si="32"/>
        <v>-0.000419238110414902-0.000278411647161345i</v>
      </c>
      <c r="G86" s="84" t="str">
        <f t="shared" si="33"/>
        <v>-0.110252383448516-0.0732174554669835i</v>
      </c>
      <c r="H86" s="87">
        <f t="shared" si="34"/>
        <v>0.13234947616495624</v>
      </c>
      <c r="I86" s="58" t="str">
        <f t="shared" si="35"/>
        <v>0.909090909090909-0.0110935343113018i</v>
      </c>
      <c r="J86" s="89" t="str">
        <f t="shared" si="36"/>
        <v>0.0176992585866887-0.131855962444518i</v>
      </c>
      <c r="K86" s="89" t="str">
        <f t="shared" si="37"/>
        <v>0.0146274864352799-0.12006540410016i</v>
      </c>
      <c r="L86" s="89" t="str">
        <f t="shared" si="38"/>
        <v>-0.0104035986211793+0.0121665096350829i</v>
      </c>
      <c r="M86" s="84">
        <f t="shared" si="39"/>
        <v>-35.913211763433345</v>
      </c>
      <c r="N86" s="84">
        <f t="shared" si="40"/>
        <v>310.53379644781381</v>
      </c>
      <c r="O86" s="84">
        <f t="shared" si="28"/>
        <v>-49.466203552186187</v>
      </c>
    </row>
    <row r="87" spans="1:18" ht="15" x14ac:dyDescent="0.2">
      <c r="A87" s="85">
        <f t="shared" si="41"/>
        <v>86</v>
      </c>
      <c r="B87" s="84">
        <f t="shared" si="42"/>
        <v>86000</v>
      </c>
      <c r="C87" s="84">
        <f t="shared" si="29"/>
        <v>262.98273155416013</v>
      </c>
      <c r="D87" s="58" t="str">
        <f t="shared" si="30"/>
        <v>0.00126565902359417-0.000184338091293784i</v>
      </c>
      <c r="E87" s="58" t="str">
        <f t="shared" si="31"/>
        <v>-0.288265774261145-0.253174597492427i</v>
      </c>
      <c r="F87" s="84" t="str">
        <f t="shared" si="32"/>
        <v>-0.000411515900452804-0.000267294351248488i</v>
      </c>
      <c r="G87" s="84" t="str">
        <f t="shared" si="33"/>
        <v>-0.108221575579048-0.0702937986203245i</v>
      </c>
      <c r="H87" s="87">
        <f t="shared" si="34"/>
        <v>0.12904699742840334</v>
      </c>
      <c r="I87" s="58" t="str">
        <f t="shared" si="35"/>
        <v>0.90909090909091-0.0109645397262867i</v>
      </c>
      <c r="J87" s="89" t="str">
        <f t="shared" si="36"/>
        <v>0.0172971192924324-0.130376105773319i</v>
      </c>
      <c r="K87" s="89" t="str">
        <f t="shared" si="37"/>
        <v>0.0142951399111012-0.118713387472831i</v>
      </c>
      <c r="L87" s="89" t="str">
        <f t="shared" si="38"/>
        <v>-0.00989185751685404+0.0118424901484755i</v>
      </c>
      <c r="M87" s="84">
        <f t="shared" si="39"/>
        <v>-36.232526102392477</v>
      </c>
      <c r="N87" s="84">
        <f t="shared" si="40"/>
        <v>309.87151017672579</v>
      </c>
      <c r="O87" s="84">
        <f t="shared" si="28"/>
        <v>-50.128489823274208</v>
      </c>
    </row>
    <row r="88" spans="1:18" ht="15" x14ac:dyDescent="0.2">
      <c r="A88" s="85">
        <f t="shared" si="41"/>
        <v>87</v>
      </c>
      <c r="B88" s="84">
        <f t="shared" si="42"/>
        <v>87000</v>
      </c>
      <c r="C88" s="84">
        <f t="shared" si="29"/>
        <v>262.98273155416013</v>
      </c>
      <c r="D88" s="58" t="str">
        <f t="shared" si="30"/>
        <v>0.00126565824593773-0.000182219262800107i</v>
      </c>
      <c r="E88" s="58" t="str">
        <f t="shared" si="31"/>
        <v>-0.284026847815692-0.243739749062588i</v>
      </c>
      <c r="F88" s="84" t="str">
        <f t="shared" si="32"/>
        <v>-0.000403894999394899-0.000256736060439444i</v>
      </c>
      <c r="G88" s="84" t="str">
        <f t="shared" si="33"/>
        <v>-0.106217410201936-0.0675171504628189i</v>
      </c>
      <c r="H88" s="87">
        <f t="shared" si="34"/>
        <v>0.12585985792390386</v>
      </c>
      <c r="I88" s="58" t="str">
        <f t="shared" si="35"/>
        <v>0.909090909090909-0.0108385105340305i</v>
      </c>
      <c r="J88" s="89" t="str">
        <f t="shared" si="36"/>
        <v>0.0169084543761917-0.128928501685236i</v>
      </c>
      <c r="K88" s="89" t="str">
        <f t="shared" si="37"/>
        <v>0.0139739292365221-0.117390991265631i</v>
      </c>
      <c r="L88" s="89" t="str">
        <f t="shared" si="38"/>
        <v>-0.00941017979410956+0.0115254871904544i</v>
      </c>
      <c r="M88" s="84">
        <f t="shared" si="39"/>
        <v>-36.548452585996074</v>
      </c>
      <c r="N88" s="84">
        <f t="shared" si="40"/>
        <v>309.23050308668701</v>
      </c>
      <c r="O88" s="84">
        <f t="shared" si="28"/>
        <v>-50.769496913312992</v>
      </c>
    </row>
    <row r="89" spans="1:18" ht="15" x14ac:dyDescent="0.2">
      <c r="A89" s="85">
        <f t="shared" si="41"/>
        <v>88</v>
      </c>
      <c r="B89" s="84">
        <f t="shared" si="42"/>
        <v>88000</v>
      </c>
      <c r="C89" s="84">
        <f t="shared" si="29"/>
        <v>262.98273155416013</v>
      </c>
      <c r="D89" s="58" t="str">
        <f t="shared" si="30"/>
        <v>0.00126565749464138-0.000180148589494713i</v>
      </c>
      <c r="E89" s="58" t="str">
        <f t="shared" si="31"/>
        <v>-0.279772296507588-0.234744108435047i</v>
      </c>
      <c r="F89" s="84" t="str">
        <f t="shared" si="32"/>
        <v>-0.000396384723894627-0.000246705055568187i</v>
      </c>
      <c r="G89" s="84" t="str">
        <f t="shared" si="33"/>
        <v>-0.104242337436151-0.0648791694015427i</v>
      </c>
      <c r="H89" s="87">
        <f t="shared" si="34"/>
        <v>0.12278343347694119</v>
      </c>
      <c r="I89" s="58" t="str">
        <f t="shared" si="35"/>
        <v>0.909090909090909-0.0107153456415984i</v>
      </c>
      <c r="J89" s="89" t="str">
        <f t="shared" si="36"/>
        <v>0.016532671876397-0.12751212741157i</v>
      </c>
      <c r="K89" s="89" t="str">
        <f t="shared" si="37"/>
        <v>0.0136633651871049-0.116097269122235i</v>
      </c>
      <c r="L89" s="89" t="str">
        <f t="shared" si="38"/>
        <v>-0.00895659551478552+0.0112157829186863i</v>
      </c>
      <c r="M89" s="84">
        <f t="shared" si="39"/>
        <v>-36.861024439672995</v>
      </c>
      <c r="N89" s="84">
        <f t="shared" si="40"/>
        <v>308.60983844070176</v>
      </c>
      <c r="O89" s="84">
        <f t="shared" si="28"/>
        <v>-51.390161559298235</v>
      </c>
    </row>
    <row r="90" spans="1:18" ht="15" x14ac:dyDescent="0.2">
      <c r="A90" s="85">
        <f t="shared" si="41"/>
        <v>89</v>
      </c>
      <c r="B90" s="84">
        <f t="shared" si="42"/>
        <v>89000</v>
      </c>
      <c r="C90" s="84">
        <f t="shared" si="29"/>
        <v>262.98273155416013</v>
      </c>
      <c r="D90" s="58" t="str">
        <f t="shared" si="30"/>
        <v>0.00126565676852709-0.000178124448169219i</v>
      </c>
      <c r="E90" s="58" t="str">
        <f t="shared" si="31"/>
        <v>-0.275514766381876-0.226165045268281i</v>
      </c>
      <c r="F90" s="84" t="str">
        <f t="shared" si="32"/>
        <v>-0.00038899265278396-0.000237171404623793i</v>
      </c>
      <c r="G90" s="84" t="str">
        <f t="shared" si="33"/>
        <v>-0.102298350383625-0.062371983834502i</v>
      </c>
      <c r="H90" s="87">
        <f t="shared" si="34"/>
        <v>0.11981325827579471</v>
      </c>
      <c r="I90" s="58" t="str">
        <f t="shared" si="35"/>
        <v>0.90909090909091-0.0105949484995579i</v>
      </c>
      <c r="J90" s="89" t="str">
        <f t="shared" si="36"/>
        <v>0.0161692118039622-0.12612600205192i</v>
      </c>
      <c r="K90" s="89" t="str">
        <f t="shared" si="37"/>
        <v>0.0133629849619522-0.114831313831723i</v>
      </c>
      <c r="L90" s="89" t="str">
        <f t="shared" si="38"/>
        <v>-0.00852926816781575+0.010913578095342i</v>
      </c>
      <c r="M90" s="84">
        <f t="shared" si="39"/>
        <v>-37.17027778227876</v>
      </c>
      <c r="N90" s="84">
        <f t="shared" si="40"/>
        <v>308.00862651420266</v>
      </c>
      <c r="O90" s="84">
        <f t="shared" si="28"/>
        <v>-51.99137348579734</v>
      </c>
    </row>
    <row r="91" spans="1:18" ht="15" x14ac:dyDescent="0.2">
      <c r="A91" s="85">
        <f t="shared" si="41"/>
        <v>90</v>
      </c>
      <c r="B91" s="84">
        <f t="shared" si="42"/>
        <v>90000</v>
      </c>
      <c r="C91" s="84">
        <f t="shared" si="29"/>
        <v>262.98273155416013</v>
      </c>
      <c r="D91" s="58" t="str">
        <f t="shared" si="30"/>
        <v>0.00126565606648188-0.000176145287757824i</v>
      </c>
      <c r="E91" s="58" t="str">
        <f t="shared" si="31"/>
        <v>-0.2712652586708-0.217981011431893i</v>
      </c>
      <c r="F91" s="84" t="str">
        <f t="shared" si="32"/>
        <v>-0.000381724848246887-0.000228106892449363i</v>
      </c>
      <c r="G91" s="84" t="str">
        <f t="shared" si="33"/>
        <v>-0.100387043294064-0.0599881736626645i</v>
      </c>
      <c r="H91" s="87">
        <f t="shared" si="34"/>
        <v>0.11694502743043964</v>
      </c>
      <c r="I91" s="58" t="str">
        <f t="shared" si="35"/>
        <v>0.909090909090909-0.0104772268495628i</v>
      </c>
      <c r="J91" s="89" t="str">
        <f t="shared" si="36"/>
        <v>0.0158175441039154-0.124769184506576i</v>
      </c>
      <c r="K91" s="89" t="str">
        <f t="shared" si="37"/>
        <v>0.0130723504991036-0.113592255367394i</v>
      </c>
      <c r="L91" s="89" t="str">
        <f t="shared" si="38"/>
        <v>-0.00812648655722166+0.0106190042255175i</v>
      </c>
      <c r="M91" s="84">
        <f t="shared" si="39"/>
        <v>-37.476251149688352</v>
      </c>
      <c r="N91" s="84">
        <f t="shared" si="40"/>
        <v>307.42602240948639</v>
      </c>
      <c r="O91" s="84">
        <f t="shared" si="28"/>
        <v>-52.573977590513607</v>
      </c>
    </row>
    <row r="92" spans="1:18" ht="15" x14ac:dyDescent="0.2">
      <c r="A92" s="85">
        <f t="shared" si="41"/>
        <v>91</v>
      </c>
      <c r="B92" s="84">
        <f t="shared" si="42"/>
        <v>91000</v>
      </c>
      <c r="C92" s="84">
        <f t="shared" si="29"/>
        <v>262.98273155416013</v>
      </c>
      <c r="D92" s="58" t="str">
        <f t="shared" si="30"/>
        <v>0.00126565538745362-0.000174209625373434i</v>
      </c>
      <c r="E92" s="58" t="str">
        <f t="shared" si="31"/>
        <v>-0.267033311733552-0.210171521949085i</v>
      </c>
      <c r="F92" s="84" t="str">
        <f t="shared" si="32"/>
        <v>-0.000374586051728067-0.000219484945844857i</v>
      </c>
      <c r="G92" s="84" t="str">
        <f t="shared" si="33"/>
        <v>-0.098509663085535-0.0577207505932974i</v>
      </c>
      <c r="H92" s="87">
        <f t="shared" si="34"/>
        <v>0.1141745977452045</v>
      </c>
      <c r="I92" s="58" t="str">
        <f t="shared" si="35"/>
        <v>0.909090909090909-0.0103620924885786i</v>
      </c>
      <c r="J92" s="89" t="str">
        <f t="shared" si="36"/>
        <v>0.0154771667661767-0.123440771526545i</v>
      </c>
      <c r="K92" s="89" t="str">
        <f t="shared" si="37"/>
        <v>0.0127910469141956-0.112379259039442i</v>
      </c>
      <c r="L92" s="89" t="str">
        <f t="shared" si="38"/>
        <v>-0.00774665690490387+0.010332134117016i</v>
      </c>
      <c r="M92" s="84">
        <f t="shared" si="39"/>
        <v>-37.778985073624824</v>
      </c>
      <c r="N92" s="84">
        <f t="shared" si="40"/>
        <v>306.86122389950674</v>
      </c>
      <c r="O92" s="84">
        <f t="shared" si="28"/>
        <v>-53.13877610049326</v>
      </c>
    </row>
    <row r="93" spans="1:18" ht="15" x14ac:dyDescent="0.2">
      <c r="A93" s="85">
        <f t="shared" si="41"/>
        <v>92</v>
      </c>
      <c r="B93" s="84">
        <f t="shared" si="42"/>
        <v>92000</v>
      </c>
      <c r="C93" s="84">
        <f t="shared" si="29"/>
        <v>262.98273155416013</v>
      </c>
      <c r="D93" s="58" t="str">
        <f t="shared" si="30"/>
        <v>0.00126565473044702-0.000172316042602297i</v>
      </c>
      <c r="E93" s="58" t="str">
        <f t="shared" si="31"/>
        <v>-0.262827164292679-0.202717128730101i</v>
      </c>
      <c r="F93" s="84" t="str">
        <f t="shared" si="32"/>
        <v>-0.000367579857167477-0.000211280556080592i</v>
      </c>
      <c r="G93" s="84" t="str">
        <f t="shared" si="33"/>
        <v>-0.0966671549021911-0.055563137762356i</v>
      </c>
      <c r="H93" s="87">
        <f t="shared" si="34"/>
        <v>0.11149798704408417</v>
      </c>
      <c r="I93" s="58" t="str">
        <f t="shared" si="35"/>
        <v>0.90909090909091-0.0102494610484854i</v>
      </c>
      <c r="J93" s="89" t="str">
        <f t="shared" si="36"/>
        <v>0.015147604073213-0.122139895873765i</v>
      </c>
      <c r="K93" s="89" t="str">
        <f t="shared" si="37"/>
        <v>0.0125186810522422-0.111191523754076i</v>
      </c>
      <c r="L93" s="89" t="str">
        <f t="shared" si="38"/>
        <v>-0.00738829523280223+0.0100529910506372i</v>
      </c>
      <c r="M93" s="84">
        <f t="shared" si="39"/>
        <v>-38.078521709994966</v>
      </c>
      <c r="N93" s="84">
        <f t="shared" si="40"/>
        <v>306.31346931751921</v>
      </c>
      <c r="O93" s="84">
        <f t="shared" si="28"/>
        <v>-53.686530682480793</v>
      </c>
    </row>
    <row r="94" spans="1:18" ht="15" x14ac:dyDescent="0.2">
      <c r="A94" s="85">
        <f t="shared" si="41"/>
        <v>93</v>
      </c>
      <c r="B94" s="84">
        <f t="shared" si="42"/>
        <v>93000</v>
      </c>
      <c r="C94" s="84">
        <f t="shared" si="29"/>
        <v>262.98273155416013</v>
      </c>
      <c r="D94" s="58" t="str">
        <f t="shared" si="30"/>
        <v>0.00126565409452003-0.000170463182037693i</v>
      </c>
      <c r="E94" s="58" t="str">
        <f t="shared" si="31"/>
        <v>-0.258653901662655-0.195599388962652i</v>
      </c>
      <c r="F94" s="84" t="str">
        <f t="shared" si="32"/>
        <v>-0.000360708863950123-0.000203470200402316i</v>
      </c>
      <c r="G94" s="84" t="str">
        <f t="shared" si="33"/>
        <v>-0.0948602023374013-0.0535091490916734i</v>
      </c>
      <c r="H94" s="87">
        <f t="shared" si="34"/>
        <v>0.10891137233552632</v>
      </c>
      <c r="I94" s="58" t="str">
        <f t="shared" si="35"/>
        <v>0.909090909090909-0.0101392517898995i</v>
      </c>
      <c r="J94" s="89" t="str">
        <f t="shared" si="36"/>
        <v>0.0148284049734162-0.120865724584601i</v>
      </c>
      <c r="K94" s="89" t="str">
        <f t="shared" si="37"/>
        <v>0.0122548801433192-0.110028280372214i</v>
      </c>
      <c r="L94" s="89" t="str">
        <f t="shared" si="38"/>
        <v>-0.0070500200687531+0.00978155673025509i</v>
      </c>
      <c r="M94" s="84">
        <f t="shared" si="39"/>
        <v>-38.374904511511396</v>
      </c>
      <c r="N94" s="84">
        <f t="shared" si="40"/>
        <v>305.78203550499313</v>
      </c>
      <c r="O94" s="84">
        <f t="shared" si="28"/>
        <v>-54.217964495006868</v>
      </c>
    </row>
    <row r="95" spans="1:18" ht="15" x14ac:dyDescent="0.2">
      <c r="A95" s="85">
        <f t="shared" si="41"/>
        <v>94</v>
      </c>
      <c r="B95" s="84">
        <f t="shared" si="42"/>
        <v>94000</v>
      </c>
      <c r="C95" s="84">
        <f t="shared" si="29"/>
        <v>262.98273155416013</v>
      </c>
      <c r="D95" s="58" t="str">
        <f t="shared" si="30"/>
        <v>0.00126565347878043-0.000168649744034885i</v>
      </c>
      <c r="E95" s="58" t="str">
        <f t="shared" si="31"/>
        <v>-0.254519586567639-0.188800829682434i</v>
      </c>
      <c r="F95" s="84" t="str">
        <f t="shared" si="32"/>
        <v>-0.000353974811756606-0.000196031763757707i</v>
      </c>
      <c r="G95" s="84" t="str">
        <f t="shared" si="33"/>
        <v>-0.0930892628971219-0.0515529687043816i</v>
      </c>
      <c r="H95" s="87">
        <f t="shared" si="34"/>
        <v>0.10641108705846597</v>
      </c>
      <c r="I95" s="58" t="str">
        <f t="shared" si="35"/>
        <v>0.90909090909091-0.0100313874091559i</v>
      </c>
      <c r="J95" s="89" t="str">
        <f t="shared" si="36"/>
        <v>0.0145191415700595-0.119617457330141i</v>
      </c>
      <c r="K95" s="89" t="str">
        <f t="shared" si="37"/>
        <v>0.0119992905537682-0.108888790161339i</v>
      </c>
      <c r="L95" s="89" t="str">
        <f t="shared" si="38"/>
        <v>-0.00673054550438416+0.00951777816348523i</v>
      </c>
      <c r="M95" s="84">
        <f t="shared" si="39"/>
        <v>-38.668177939866638</v>
      </c>
      <c r="N95" s="84">
        <f t="shared" si="40"/>
        <v>305.26623582683339</v>
      </c>
      <c r="O95" s="84">
        <f t="shared" si="28"/>
        <v>-54.733764173166605</v>
      </c>
    </row>
    <row r="96" spans="1:18" ht="15" x14ac:dyDescent="0.2">
      <c r="A96" s="85">
        <f t="shared" si="41"/>
        <v>95</v>
      </c>
      <c r="B96" s="84">
        <f t="shared" si="42"/>
        <v>95000</v>
      </c>
      <c r="C96" s="84">
        <f t="shared" si="29"/>
        <v>262.98273155416013</v>
      </c>
      <c r="D96" s="58" t="str">
        <f t="shared" si="30"/>
        <v>0.00126565288238272-0.00016687448367101i</v>
      </c>
      <c r="E96" s="58" t="str">
        <f t="shared" si="31"/>
        <v>-0.250429376037459-0.18230490975907i</v>
      </c>
      <c r="F96" s="84" t="str">
        <f t="shared" si="32"/>
        <v>-0.000347378699301851-0.000188944461686784i</v>
      </c>
      <c r="G96" s="84" t="str">
        <f t="shared" si="33"/>
        <v>-0.091354599226132-0.0496891306464208i</v>
      </c>
      <c r="H96" s="87">
        <f t="shared" si="34"/>
        <v>0.10399361761264136</v>
      </c>
      <c r="I96" s="58" t="str">
        <f t="shared" si="35"/>
        <v>0.909090909090909-0.00992579385748058i</v>
      </c>
      <c r="J96" s="89" t="str">
        <f t="shared" si="36"/>
        <v>0.014219407716593-0.118394324867294i</v>
      </c>
      <c r="K96" s="89" t="str">
        <f t="shared" si="37"/>
        <v>0.0117515766252835-0.107772343334583i</v>
      </c>
      <c r="L96" s="89" t="str">
        <f t="shared" si="38"/>
        <v>-0.00642867462090097+0.00926157360675679i</v>
      </c>
      <c r="M96" s="84">
        <f t="shared" si="39"/>
        <v>-38.958387213177716</v>
      </c>
      <c r="N96" s="84">
        <f t="shared" si="40"/>
        <v>304.76541826023237</v>
      </c>
      <c r="O96" s="84">
        <f t="shared" si="28"/>
        <v>-55.234581739767634</v>
      </c>
    </row>
    <row r="97" spans="1:18" ht="15" x14ac:dyDescent="0.2">
      <c r="A97" s="85">
        <f t="shared" si="41"/>
        <v>96</v>
      </c>
      <c r="B97" s="84">
        <f t="shared" si="42"/>
        <v>96000</v>
      </c>
      <c r="C97" s="84">
        <f t="shared" si="29"/>
        <v>262.98273155416013</v>
      </c>
      <c r="D97" s="58" t="str">
        <f t="shared" si="30"/>
        <v>0.00126565230452519-0.000165136207894983i</v>
      </c>
      <c r="E97" s="58" t="str">
        <f t="shared" si="31"/>
        <v>-0.246387625758944-0.176095980292277i</v>
      </c>
      <c r="F97" s="84" t="str">
        <f t="shared" si="32"/>
        <v>-0.000340920888759314-0.000182188765084463i</v>
      </c>
      <c r="G97" s="84" t="str">
        <f t="shared" si="33"/>
        <v>-0.0896563065697964-0.0479124991003913i</v>
      </c>
      <c r="H97" s="87">
        <f t="shared" si="34"/>
        <v>0.10165559934298904</v>
      </c>
      <c r="I97" s="58" t="str">
        <f t="shared" si="35"/>
        <v>0.909090909090908-0.00982240017146516i</v>
      </c>
      <c r="J97" s="89" t="str">
        <f t="shared" si="36"/>
        <v>0.013928817709854-0.117195587575043i</v>
      </c>
      <c r="K97" s="89" t="str">
        <f t="shared" si="37"/>
        <v>0.0115114195949206-0.106678257671501i</v>
      </c>
      <c r="L97" s="89" t="str">
        <f t="shared" si="38"/>
        <v>-0.00614329328897287+0.00901283769314197i</v>
      </c>
      <c r="M97" s="84">
        <f t="shared" si="39"/>
        <v>-39.245578084842222</v>
      </c>
      <c r="N97" s="84">
        <f t="shared" si="40"/>
        <v>304.27896356125746</v>
      </c>
      <c r="O97" s="84">
        <f t="shared" si="28"/>
        <v>-55.721036438742544</v>
      </c>
    </row>
    <row r="98" spans="1:18" ht="15" x14ac:dyDescent="0.2">
      <c r="A98" s="85">
        <f t="shared" si="41"/>
        <v>97</v>
      </c>
      <c r="B98" s="84">
        <f t="shared" si="42"/>
        <v>97000</v>
      </c>
      <c r="C98" s="84">
        <f t="shared" si="29"/>
        <v>262.98273155416013</v>
      </c>
      <c r="D98" s="58" t="str">
        <f t="shared" si="30"/>
        <v>0.00126565174444727-0.000163433772853696i</v>
      </c>
      <c r="E98" s="58" t="str">
        <f t="shared" si="31"/>
        <v>-0.242397983147737-0.170159244212842i</v>
      </c>
      <c r="F98" s="84" t="str">
        <f>IMPRODUCT(D98,E98)</f>
        <v>-0.000334601197489072-0.000175746327353851i</v>
      </c>
      <c r="G98" s="84" t="str">
        <f>IMPRODUCT(C98,F98)</f>
        <v>-0.0879943368969691-0.0462182492281273i</v>
      </c>
      <c r="H98" s="87">
        <f>IMABS(G98)</f>
        <v>9.9393812119520739E-2</v>
      </c>
      <c r="I98" s="58" t="str">
        <f t="shared" si="35"/>
        <v>0.909090909090909-0.00972113831402737i</v>
      </c>
      <c r="J98" s="89" t="str">
        <f t="shared" si="36"/>
        <v>0.013647005073513-0.11602053407064i</v>
      </c>
      <c r="K98" s="89" t="str">
        <f>IMPRODUCT(I98,J98)</f>
        <v>0.0112785165896802-0.105605877215383i</v>
      </c>
      <c r="L98" s="89" t="str">
        <f>IMPRODUCT(G98,K98)</f>
        <v>-0.00587336434158596+0.00877144584732496i</v>
      </c>
      <c r="M98" s="84">
        <f>20*LOG(IMABS(L98))</f>
        <v>-39.529796650335676</v>
      </c>
      <c r="N98" s="84">
        <f t="shared" si="40"/>
        <v>303.80628351151398</v>
      </c>
      <c r="O98" s="84">
        <f t="shared" si="28"/>
        <v>-56.193716488486018</v>
      </c>
    </row>
    <row r="99" spans="1:18" ht="15" x14ac:dyDescent="0.2">
      <c r="A99" s="85">
        <f t="shared" si="41"/>
        <v>98</v>
      </c>
      <c r="B99" s="84">
        <f t="shared" si="42"/>
        <v>98000</v>
      </c>
      <c r="C99" s="84">
        <f t="shared" si="29"/>
        <v>262.98273155416013</v>
      </c>
      <c r="D99" s="58" t="str">
        <f t="shared" si="30"/>
        <v>0.00126565120142695-0.000161766081381918i</v>
      </c>
      <c r="E99" s="58" t="str">
        <f t="shared" si="31"/>
        <v>-0.238463470296582-0.164480715716955i</v>
      </c>
      <c r="F99" s="84" t="str">
        <f>IMPRODUCT(D99,E99)</f>
        <v>-0.000328418978521734-0.000169599914316117i</v>
      </c>
      <c r="G99" s="84" t="str">
        <f>IMPRODUCT(C99,F99)</f>
        <v>-0.0863685200658726-0.044601848738204i</v>
      </c>
      <c r="H99" s="87">
        <f>IMABS(G99)</f>
        <v>9.7205175629874088E-2</v>
      </c>
      <c r="I99" s="58" t="str">
        <f t="shared" si="35"/>
        <v>0.909090909090909-0.00962194302510873i</v>
      </c>
      <c r="J99" s="89" t="str">
        <f t="shared" si="36"/>
        <v>0.0133736214247369-0.114868479900819i</v>
      </c>
      <c r="K99" s="89" t="str">
        <f>IMPRODUCT(I99,J99)</f>
        <v>0.0110525796898652-0.104554571042315i</v>
      </c>
      <c r="L99" s="89" t="str">
        <f>IMPRODUCT(G99,K99)</f>
        <v>-0.00561792211324092+0.00853725807955257i</v>
      </c>
      <c r="M99" s="84">
        <f>20*LOG(IMABS(L99))</f>
        <v>-39.81108917883688</v>
      </c>
      <c r="N99" s="84">
        <f t="shared" si="40"/>
        <v>303.34681924580815</v>
      </c>
      <c r="O99" s="84">
        <f t="shared" si="28"/>
        <v>-56.653180754191851</v>
      </c>
    </row>
    <row r="100" spans="1:18" ht="15" x14ac:dyDescent="0.2">
      <c r="A100" s="85">
        <f t="shared" si="41"/>
        <v>99</v>
      </c>
      <c r="B100" s="84">
        <f>(fs*1000/2)*(A100/100)</f>
        <v>99000</v>
      </c>
      <c r="C100" s="84">
        <f t="shared" si="29"/>
        <v>262.98273155416013</v>
      </c>
      <c r="D100" s="58" t="str">
        <f t="shared" si="30"/>
        <v>0.00126565067477855-0.000160132080644319i</v>
      </c>
      <c r="E100" s="58" t="str">
        <f t="shared" si="31"/>
        <v>-0.234586557851577-0.159047180025381i</v>
      </c>
      <c r="F100" s="84" t="str">
        <f>IMPRODUCT(D100,E100)</f>
        <v>-0.000322373191096902-0.000163733337120787i</v>
      </c>
      <c r="G100" s="84" t="str">
        <f>IMPRODUCT(C100,F100)</f>
        <v>-0.0847785823744946-0.0430590402425027i</v>
      </c>
      <c r="H100" s="87">
        <f>IMABS(G100)</f>
        <v>9.5086744481207436E-2</v>
      </c>
      <c r="I100" s="58" t="str">
        <f t="shared" si="35"/>
        <v>0.909090909090908-0.00952475168142076i</v>
      </c>
      <c r="J100" s="89" t="str">
        <f t="shared" si="36"/>
        <v>0.0131083354176619-0.11373876630349i</v>
      </c>
      <c r="K100" s="89" t="str">
        <f>IMPRODUCT(I100,J100)</f>
        <v>0.0108333350559189-0.103523732097528i</v>
      </c>
      <c r="L100" s="89" t="str">
        <f>IMPRODUCT(G100,K100)</f>
        <v>-0.00537606733487025+0.00831012223921206i</v>
      </c>
      <c r="M100" s="84">
        <f>20*LOG(IMABS(L100))</f>
        <v>-40.089501966890012</v>
      </c>
      <c r="N100" s="84">
        <f t="shared" si="40"/>
        <v>302.90003966063006</v>
      </c>
      <c r="O100" s="84">
        <f t="shared" si="28"/>
        <v>-57.099960339369943</v>
      </c>
    </row>
    <row r="101" spans="1:18" ht="15" x14ac:dyDescent="0.2">
      <c r="A101" s="85">
        <f>1+A100</f>
        <v>100</v>
      </c>
      <c r="B101" s="84">
        <f>(fs*1000/2)*(A101/100)</f>
        <v>100000</v>
      </c>
      <c r="C101" s="84">
        <f t="shared" si="29"/>
        <v>262.98273155416013</v>
      </c>
      <c r="D101" s="58" t="str">
        <f t="shared" si="30"/>
        <v>0.00126565016385047-0.000158530759918976i</v>
      </c>
      <c r="E101" s="58" t="str">
        <f t="shared" si="31"/>
        <v>-0.230769230769231-0.153846153846154i</v>
      </c>
      <c r="F101" s="84" t="str">
        <f>IMPRODUCT(D101,E101)</f>
        <v>-0.000316462462414567-0.000158131388303386i</v>
      </c>
      <c r="G101" s="84" t="str">
        <f>IMPRODUCT(C101,F101)</f>
        <v>-0.0832241628001386-0.041585824440476i</v>
      </c>
      <c r="H101" s="87">
        <f>IMABS(G101)</f>
        <v>9.3035703190646468E-2</v>
      </c>
      <c r="I101" s="58" t="str">
        <f t="shared" si="35"/>
        <v>0.909090909090909-0.00942950416460655i</v>
      </c>
      <c r="J101" s="89" t="str">
        <f t="shared" si="36"/>
        <v>0.0128508317578107-0.112630759035634i</v>
      </c>
      <c r="K101" s="89" t="str">
        <f>IMPRODUCT(I101,J101)</f>
        <v>0.0106205221138931-0.102512776094883i</v>
      </c>
      <c r="L101" s="89" t="str">
        <f>IMPRODUCT(G101,K101)</f>
        <v>-0.00514696237101674+0.00808987679872015i</v>
      </c>
      <c r="M101" s="84">
        <f>20*LOG(IMABS(L101))</f>
        <v>-40.365081211610928</v>
      </c>
      <c r="N101" s="84">
        <f t="shared" si="40"/>
        <v>302.46543990241298</v>
      </c>
      <c r="O101" s="84">
        <f t="shared" si="28"/>
        <v>-57.534560097587018</v>
      </c>
      <c r="P101" s="84">
        <v>-32.747</v>
      </c>
      <c r="Q101" s="84">
        <v>307.64999999999998</v>
      </c>
      <c r="R101" s="84">
        <f>B101</f>
        <v>100000</v>
      </c>
    </row>
  </sheetData>
  <phoneticPr fontId="2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C34" sqref="C34"/>
    </sheetView>
  </sheetViews>
  <sheetFormatPr defaultRowHeight="12.75" x14ac:dyDescent="0.2"/>
  <cols>
    <col min="1" max="1" width="9.140625" style="17"/>
    <col min="2" max="2" width="19.28515625" style="17" bestFit="1" customWidth="1"/>
    <col min="3" max="3" width="12.42578125" style="17" bestFit="1" customWidth="1"/>
    <col min="4" max="4" width="7.7109375" style="17" customWidth="1"/>
    <col min="5" max="5" width="8.7109375" style="7" customWidth="1"/>
    <col min="6" max="8" width="8.7109375" style="9" customWidth="1"/>
    <col min="9" max="9" width="8.7109375" style="10" customWidth="1"/>
    <col min="10" max="11" width="9.140625" style="41"/>
    <col min="12" max="12" width="4.7109375" style="41" bestFit="1" customWidth="1"/>
    <col min="13" max="13" width="10.28515625" style="7" customWidth="1"/>
    <col min="14" max="14" width="9.140625" style="7"/>
    <col min="15" max="16384" width="9.140625" style="54"/>
  </cols>
  <sheetData>
    <row r="1" spans="1:14" ht="18.75" thickBot="1" x14ac:dyDescent="0.3">
      <c r="A1" s="52"/>
      <c r="B1" s="7"/>
      <c r="C1" s="7"/>
      <c r="D1" s="7"/>
      <c r="E1" s="8" t="s">
        <v>139</v>
      </c>
      <c r="J1" s="8" t="s">
        <v>140</v>
      </c>
      <c r="K1" s="11"/>
      <c r="L1" s="11"/>
      <c r="N1" s="11"/>
    </row>
    <row r="2" spans="1:14" ht="13.5" thickBot="1" x14ac:dyDescent="0.25">
      <c r="A2" s="7"/>
      <c r="B2" s="12" t="s">
        <v>141</v>
      </c>
      <c r="C2" s="13">
        <v>127</v>
      </c>
      <c r="D2" s="7"/>
      <c r="E2" s="118" t="s">
        <v>142</v>
      </c>
      <c r="F2" s="119"/>
      <c r="G2" s="120" t="s">
        <v>143</v>
      </c>
      <c r="H2" s="121"/>
      <c r="J2" s="14" t="s">
        <v>144</v>
      </c>
      <c r="K2" s="15">
        <v>1000</v>
      </c>
      <c r="L2" s="16" t="s">
        <v>63</v>
      </c>
      <c r="N2" s="26"/>
    </row>
    <row r="3" spans="1:14" ht="13.5" thickBot="1" x14ac:dyDescent="0.25">
      <c r="B3" s="7"/>
      <c r="C3" s="17" t="s">
        <v>20</v>
      </c>
      <c r="E3" s="18">
        <v>100</v>
      </c>
      <c r="F3" s="19">
        <v>150</v>
      </c>
      <c r="G3" s="20">
        <v>100</v>
      </c>
      <c r="H3" s="21">
        <v>102</v>
      </c>
      <c r="J3" s="14"/>
      <c r="K3" s="22">
        <f>IF(K2&lt;10000,sta*10^INT(LOG(K2)),stb*10^INT(LOG(K2)))</f>
        <v>1000</v>
      </c>
      <c r="L3" s="23" t="s">
        <v>63</v>
      </c>
      <c r="N3" s="30"/>
    </row>
    <row r="4" spans="1:14" ht="13.5" thickBot="1" x14ac:dyDescent="0.25">
      <c r="B4" s="24" t="s">
        <v>145</v>
      </c>
      <c r="C4" s="81">
        <f>(IF((10^(LOG(C2)-INT(LOG(C2)))*100)-VLOOKUP((10^(LOG(C2)-INT(LOG(C2)))*100),E6_s:E6_f,1)&lt;VLOOKUP((10^(LOG(C2)-INT(LOG(C2)))*100),E6_s:E6_f,2)-(10^(LOG(C2)-INT(LOG(C2)))*100),VLOOKUP((10^(LOG(C2)-INT(LOG(C2)))*100),E6_s:E6_f,1),VLOOKUP((10^(LOG(C2)-INT(LOG(C2)))*100),E6_s:E6_f,2)))*10^INT(LOG(C2))/100</f>
        <v>150</v>
      </c>
      <c r="E4" s="19">
        <v>150</v>
      </c>
      <c r="F4" s="18">
        <v>220</v>
      </c>
      <c r="G4" s="21">
        <v>102</v>
      </c>
      <c r="H4" s="20">
        <v>105</v>
      </c>
      <c r="J4" s="25"/>
      <c r="K4" s="26"/>
      <c r="L4" s="27"/>
      <c r="M4" s="9"/>
      <c r="N4" s="30"/>
    </row>
    <row r="5" spans="1:14" ht="13.5" thickBot="1" x14ac:dyDescent="0.25">
      <c r="B5" s="28" t="s">
        <v>146</v>
      </c>
      <c r="C5" s="80">
        <f>(IF((10^(LOG(C2)-INT(LOG(C2)))*100)-VLOOKUP((10^(LOG(C2)-INT(LOG(C2)))*100),E12_s:E12_f,1)&lt;VLOOKUP((10^(LOG(C2)-INT(LOG(C2)))*100),E12_s:E12_f,2)-(10^(LOG(C2)-INT(LOG(C2)))*100),VLOOKUP((10^(LOG(C2)-INT(LOG(C2)))*100),E12_s:E12_f,1),VLOOKUP((10^(LOG(C2)-INT(LOG(C2)))*100),E12_s:E12_f,2)))*10^INT(LOG(C2))/100</f>
        <v>120</v>
      </c>
      <c r="E5" s="18">
        <v>220</v>
      </c>
      <c r="F5" s="19">
        <v>330</v>
      </c>
      <c r="G5" s="20">
        <v>105</v>
      </c>
      <c r="H5" s="21">
        <v>107</v>
      </c>
      <c r="J5" s="29" t="s">
        <v>147</v>
      </c>
      <c r="K5" s="30"/>
      <c r="L5" s="9"/>
      <c r="N5" s="30"/>
    </row>
    <row r="6" spans="1:14" ht="13.5" thickBot="1" x14ac:dyDescent="0.25">
      <c r="B6" s="28" t="s">
        <v>148</v>
      </c>
      <c r="C6" s="80">
        <f>(IF((10^(LOG(C2)-INT(LOG(C2)))*100)-VLOOKUP((10^(LOG(C2)-INT(LOG(C2)))*100),E24_s:E24_f,1)&lt;VLOOKUP((10^(LOG(C2)-INT(LOG(C2)))*100),E24_s:E24_f,2)-(10^(LOG(C2)-INT(LOG(C2)))*100),VLOOKUP((10^(LOG(C2)-INT(LOG(C2)))*100),E24_s:E24_f,1),VLOOKUP((10^(LOG(C2)-INT(LOG(C2)))*100),E24_s:E24_f,2)))*10^INT(LOG(C2))/100</f>
        <v>130</v>
      </c>
      <c r="E6" s="19">
        <v>330</v>
      </c>
      <c r="F6" s="18">
        <v>470</v>
      </c>
      <c r="G6" s="21">
        <v>107</v>
      </c>
      <c r="H6" s="20">
        <v>110</v>
      </c>
      <c r="J6" s="30">
        <v>1</v>
      </c>
      <c r="K6" s="30">
        <v>1.2</v>
      </c>
      <c r="L6" s="31">
        <f>IF((10^(LOG(K2)-INT(LOG(K2))))-VLOOKUP((10^(LOG(K2)-INT(LOG(K2)))),c_s1:C_f1,1)&lt;VLOOKUP((10^(LOG(K2)-INT(LOG(K2)))),c_s1:C_f1,2)-(10^(LOG(K2)-INT(LOG(K2)))),VLOOKUP((10^(LOG(K2)-INT(LOG(K2)))),c_s1:C_f1,1),VLOOKUP((10^(LOG(K2)-INT(LOG(K2)))),c_s1:C_f1,2))</f>
        <v>1</v>
      </c>
      <c r="N6" s="30"/>
    </row>
    <row r="7" spans="1:14" ht="13.5" thickBot="1" x14ac:dyDescent="0.25">
      <c r="B7" s="28" t="s">
        <v>149</v>
      </c>
      <c r="C7" s="80">
        <f>(IF((10^(LOG(C2)-INT(LOG(C2)))*100)-VLOOKUP((10^(LOG(C2)-INT(LOG(C2)))*100),E48_s:E48_f,1)&lt;VLOOKUP((10^(LOG(C2)-INT(LOG(C2)))*100),E48_s:E48_f,2)-(10^(LOG(C2)-INT(LOG(C2)))*100),VLOOKUP((10^(LOG(C2)-INT(LOG(C2)))*100),E48_s:E48_f,1),VLOOKUP((10^(LOG(C2)-INT(LOG(C2)))*100),E48_s:E48_f,2)))*10^INT(LOG(C2))/100</f>
        <v>127</v>
      </c>
      <c r="D7" s="6"/>
      <c r="E7" s="18">
        <v>470</v>
      </c>
      <c r="F7" s="19">
        <v>680</v>
      </c>
      <c r="G7" s="20">
        <v>110</v>
      </c>
      <c r="H7" s="21">
        <v>113</v>
      </c>
      <c r="J7" s="30">
        <v>1.2</v>
      </c>
      <c r="K7" s="30">
        <v>1.5</v>
      </c>
      <c r="L7" s="32"/>
      <c r="N7" s="30"/>
    </row>
    <row r="8" spans="1:14" ht="13.5" thickBot="1" x14ac:dyDescent="0.25">
      <c r="B8" s="33" t="s">
        <v>150</v>
      </c>
      <c r="C8" s="82">
        <f>(IF((10^(LOG(C2)-INT(LOG(C2)))*100)-VLOOKUP((10^(LOG(C2)-INT(LOG(C2)))*100),E96_s:E96_f,1)&lt;VLOOKUP((10^(LOG(C2)-INT(LOG(C2)))*100),E96_s:E96_f,2)-(10^(LOG(C2)-INT(LOG(C2)))*100),VLOOKUP((10^(LOG(C2)-INT(LOG(C2)))*100),E96_s:E96_f,1),VLOOKUP((10^(LOG(C2)-INT(LOG(C2)))*100),E96_s:E96_f,2)))*10^INT(LOG(C2))/100</f>
        <v>127</v>
      </c>
      <c r="D8" s="9"/>
      <c r="E8" s="19">
        <v>680</v>
      </c>
      <c r="F8" s="19">
        <v>1000</v>
      </c>
      <c r="G8" s="21">
        <v>113</v>
      </c>
      <c r="H8" s="20">
        <v>115</v>
      </c>
      <c r="J8" s="30">
        <v>1.5</v>
      </c>
      <c r="K8" s="30">
        <v>1.8</v>
      </c>
      <c r="L8" s="32"/>
      <c r="N8" s="30"/>
    </row>
    <row r="9" spans="1:14" ht="13.5" thickBot="1" x14ac:dyDescent="0.25">
      <c r="B9" s="6"/>
      <c r="C9" s="6"/>
      <c r="D9" s="6"/>
      <c r="E9" s="122" t="s">
        <v>151</v>
      </c>
      <c r="F9" s="123"/>
      <c r="G9" s="20">
        <v>115</v>
      </c>
      <c r="H9" s="21">
        <v>118</v>
      </c>
      <c r="J9" s="30">
        <v>1.8</v>
      </c>
      <c r="K9" s="30">
        <v>2.2000000000000002</v>
      </c>
      <c r="L9" s="35"/>
      <c r="N9" s="30"/>
    </row>
    <row r="10" spans="1:14" ht="13.5" thickBot="1" x14ac:dyDescent="0.25">
      <c r="E10" s="36">
        <v>100</v>
      </c>
      <c r="F10" s="37">
        <v>120</v>
      </c>
      <c r="G10" s="21">
        <v>118</v>
      </c>
      <c r="H10" s="20">
        <v>121</v>
      </c>
      <c r="J10" s="30">
        <v>2.2000000000000002</v>
      </c>
      <c r="K10" s="30">
        <v>2.7</v>
      </c>
      <c r="L10" s="9"/>
      <c r="N10" s="30"/>
    </row>
    <row r="11" spans="1:14" ht="13.5" thickBot="1" x14ac:dyDescent="0.25">
      <c r="E11" s="37">
        <v>120</v>
      </c>
      <c r="F11" s="37">
        <v>150</v>
      </c>
      <c r="G11" s="20">
        <v>121</v>
      </c>
      <c r="H11" s="21">
        <v>124</v>
      </c>
      <c r="J11" s="30">
        <v>2.7</v>
      </c>
      <c r="K11" s="30">
        <v>3.3</v>
      </c>
      <c r="L11" s="9"/>
      <c r="N11" s="30"/>
    </row>
    <row r="12" spans="1:14" ht="13.5" thickBot="1" x14ac:dyDescent="0.25">
      <c r="C12" s="40"/>
      <c r="E12" s="37">
        <v>150</v>
      </c>
      <c r="F12" s="37">
        <v>180</v>
      </c>
      <c r="G12" s="21">
        <v>124</v>
      </c>
      <c r="H12" s="20">
        <v>127</v>
      </c>
      <c r="J12" s="30">
        <v>3.3</v>
      </c>
      <c r="K12" s="30">
        <v>3.9</v>
      </c>
      <c r="L12" s="9"/>
      <c r="N12" s="30"/>
    </row>
    <row r="13" spans="1:14" ht="13.5" thickBot="1" x14ac:dyDescent="0.25">
      <c r="A13" s="6"/>
      <c r="B13" s="6"/>
      <c r="C13" s="6"/>
      <c r="D13" s="6"/>
      <c r="E13" s="37">
        <v>180</v>
      </c>
      <c r="F13" s="36">
        <v>220</v>
      </c>
      <c r="G13" s="20">
        <v>127</v>
      </c>
      <c r="H13" s="21">
        <v>130</v>
      </c>
      <c r="J13" s="30">
        <v>3.9</v>
      </c>
      <c r="K13" s="30">
        <v>4.7</v>
      </c>
      <c r="L13" s="9"/>
      <c r="N13" s="30"/>
    </row>
    <row r="14" spans="1:14" ht="13.5" thickBot="1" x14ac:dyDescent="0.25">
      <c r="A14" s="6"/>
      <c r="B14" s="6"/>
      <c r="C14" s="6"/>
      <c r="D14" s="38"/>
      <c r="E14" s="36">
        <v>220</v>
      </c>
      <c r="F14" s="37">
        <v>270</v>
      </c>
      <c r="G14" s="21">
        <v>130</v>
      </c>
      <c r="H14" s="20">
        <v>133</v>
      </c>
      <c r="J14" s="30">
        <v>4.7</v>
      </c>
      <c r="K14" s="30">
        <v>5.6</v>
      </c>
      <c r="L14" s="9"/>
      <c r="N14" s="30"/>
    </row>
    <row r="15" spans="1:14" ht="13.5" thickBot="1" x14ac:dyDescent="0.25">
      <c r="A15" s="53"/>
      <c r="B15" s="39"/>
      <c r="C15" s="6"/>
      <c r="D15" s="40"/>
      <c r="E15" s="37">
        <v>270</v>
      </c>
      <c r="F15" s="37">
        <v>330</v>
      </c>
      <c r="G15" s="20">
        <v>133</v>
      </c>
      <c r="H15" s="21">
        <v>137</v>
      </c>
      <c r="J15" s="30">
        <v>5.6</v>
      </c>
      <c r="K15" s="30">
        <v>6.8</v>
      </c>
      <c r="L15" s="9"/>
      <c r="N15" s="30"/>
    </row>
    <row r="16" spans="1:14" ht="13.5" thickBot="1" x14ac:dyDescent="0.25">
      <c r="A16" s="53"/>
      <c r="B16" s="39"/>
      <c r="C16" s="6"/>
      <c r="D16" s="40"/>
      <c r="E16" s="37">
        <v>330</v>
      </c>
      <c r="F16" s="37">
        <v>390</v>
      </c>
      <c r="G16" s="21">
        <v>137</v>
      </c>
      <c r="H16" s="20">
        <v>140</v>
      </c>
      <c r="J16" s="30">
        <v>6.8</v>
      </c>
      <c r="K16" s="30">
        <v>8.1999999999999993</v>
      </c>
      <c r="L16" s="9"/>
      <c r="N16" s="30"/>
    </row>
    <row r="17" spans="1:14" ht="13.5" thickBot="1" x14ac:dyDescent="0.25">
      <c r="A17" s="53"/>
      <c r="B17" s="39"/>
      <c r="C17" s="6"/>
      <c r="D17" s="40"/>
      <c r="E17" s="37">
        <v>390</v>
      </c>
      <c r="F17" s="36">
        <v>470</v>
      </c>
      <c r="G17" s="20">
        <v>140</v>
      </c>
      <c r="H17" s="21">
        <v>143</v>
      </c>
      <c r="J17" s="30">
        <v>8.1999999999999993</v>
      </c>
      <c r="K17" s="30">
        <v>10</v>
      </c>
      <c r="L17" s="9"/>
      <c r="N17" s="30"/>
    </row>
    <row r="18" spans="1:14" ht="13.5" thickBot="1" x14ac:dyDescent="0.25">
      <c r="A18" s="53"/>
      <c r="B18" s="39"/>
      <c r="C18" s="6"/>
      <c r="D18" s="40"/>
      <c r="E18" s="36">
        <v>470</v>
      </c>
      <c r="F18" s="37">
        <v>560</v>
      </c>
      <c r="G18" s="21">
        <v>143</v>
      </c>
      <c r="H18" s="20">
        <v>147</v>
      </c>
      <c r="J18" s="29" t="s">
        <v>152</v>
      </c>
      <c r="K18" s="30"/>
      <c r="L18" s="30"/>
      <c r="N18" s="30"/>
    </row>
    <row r="19" spans="1:14" ht="13.5" thickBot="1" x14ac:dyDescent="0.25">
      <c r="A19" s="53"/>
      <c r="B19" s="39"/>
      <c r="C19" s="6"/>
      <c r="D19" s="40"/>
      <c r="E19" s="37">
        <v>560</v>
      </c>
      <c r="F19" s="37">
        <v>680</v>
      </c>
      <c r="G19" s="20">
        <v>147</v>
      </c>
      <c r="H19" s="21">
        <v>150</v>
      </c>
      <c r="J19" s="30">
        <v>1</v>
      </c>
      <c r="K19" s="30">
        <v>1.5</v>
      </c>
      <c r="L19" s="31">
        <f>IF((10^(LOG(K2)-INT(LOG(K2))))-VLOOKUP((10^(LOG(K2)-INT(LOG(K2)))),C_s2:C_f2,1)&lt;VLOOKUP((10^(LOG(K2)-INT(LOG(K2)))),C_s2:C_f2,2)-(10^(LOG(K2)-INT(LOG(K2)))),VLOOKUP((10^(LOG(K2)-INT(LOG(K2)))),C_s2:C_f2,1),VLOOKUP((10^(LOG(K2)-INT(LOG(K2)))),C_s2:C_f2,2))</f>
        <v>1</v>
      </c>
      <c r="N19" s="30"/>
    </row>
    <row r="20" spans="1:14" ht="13.5" thickBot="1" x14ac:dyDescent="0.25">
      <c r="A20" s="53"/>
      <c r="B20" s="39"/>
      <c r="C20" s="6"/>
      <c r="D20" s="40"/>
      <c r="E20" s="34">
        <v>680</v>
      </c>
      <c r="F20" s="37">
        <v>820</v>
      </c>
      <c r="G20" s="21">
        <v>150</v>
      </c>
      <c r="H20" s="20">
        <v>154</v>
      </c>
      <c r="J20" s="30">
        <v>1.5</v>
      </c>
      <c r="K20" s="30">
        <v>2.2000000000000002</v>
      </c>
      <c r="N20" s="30"/>
    </row>
    <row r="21" spans="1:14" ht="13.5" thickBot="1" x14ac:dyDescent="0.25">
      <c r="A21" s="53"/>
      <c r="B21" s="39"/>
      <c r="C21" s="6"/>
      <c r="D21" s="40"/>
      <c r="E21" s="34">
        <v>820</v>
      </c>
      <c r="F21" s="37">
        <v>1000</v>
      </c>
      <c r="G21" s="20">
        <v>154</v>
      </c>
      <c r="H21" s="21">
        <v>158</v>
      </c>
      <c r="J21" s="30">
        <v>2.2000000000000002</v>
      </c>
      <c r="K21" s="30">
        <v>3.3</v>
      </c>
      <c r="L21" s="31"/>
      <c r="N21" s="30"/>
    </row>
    <row r="22" spans="1:14" ht="13.5" thickBot="1" x14ac:dyDescent="0.25">
      <c r="A22" s="53"/>
      <c r="B22" s="39"/>
      <c r="C22" s="6"/>
      <c r="D22" s="40"/>
      <c r="E22" s="124" t="s">
        <v>153</v>
      </c>
      <c r="F22" s="125"/>
      <c r="G22" s="21">
        <v>158</v>
      </c>
      <c r="H22" s="20">
        <v>162</v>
      </c>
      <c r="J22" s="30">
        <v>3.3</v>
      </c>
      <c r="K22" s="30">
        <v>4.7</v>
      </c>
      <c r="L22" s="31"/>
      <c r="N22" s="30"/>
    </row>
    <row r="23" spans="1:14" ht="13.5" thickBot="1" x14ac:dyDescent="0.25">
      <c r="A23" s="53"/>
      <c r="B23" s="39"/>
      <c r="C23" s="6"/>
      <c r="D23" s="40"/>
      <c r="E23" s="42">
        <v>100</v>
      </c>
      <c r="F23" s="43">
        <v>110</v>
      </c>
      <c r="G23" s="20">
        <v>162</v>
      </c>
      <c r="H23" s="21">
        <v>165</v>
      </c>
      <c r="J23" s="30">
        <v>4.7</v>
      </c>
      <c r="K23" s="30">
        <v>6.8</v>
      </c>
      <c r="L23" s="9"/>
    </row>
    <row r="24" spans="1:14" ht="13.5" thickBot="1" x14ac:dyDescent="0.25">
      <c r="A24" s="53"/>
      <c r="B24" s="39"/>
      <c r="C24" s="6"/>
      <c r="D24" s="40"/>
      <c r="E24" s="43">
        <v>110</v>
      </c>
      <c r="F24" s="43">
        <v>120</v>
      </c>
      <c r="G24" s="21">
        <v>165</v>
      </c>
      <c r="H24" s="20">
        <v>169</v>
      </c>
      <c r="J24" s="30">
        <v>6.8</v>
      </c>
      <c r="K24" s="30">
        <v>10</v>
      </c>
      <c r="L24" s="9"/>
    </row>
    <row r="25" spans="1:14" ht="13.5" thickBot="1" x14ac:dyDescent="0.25">
      <c r="A25" s="53"/>
      <c r="B25" s="39"/>
      <c r="C25" s="6"/>
      <c r="D25" s="40"/>
      <c r="E25" s="43">
        <v>120</v>
      </c>
      <c r="F25" s="43">
        <v>130</v>
      </c>
      <c r="G25" s="20">
        <v>169</v>
      </c>
      <c r="H25" s="21">
        <v>174</v>
      </c>
      <c r="J25" s="44"/>
      <c r="K25" s="44"/>
      <c r="L25" s="44"/>
    </row>
    <row r="26" spans="1:14" ht="13.5" thickBot="1" x14ac:dyDescent="0.25">
      <c r="A26" s="53"/>
      <c r="B26" s="39"/>
      <c r="C26" s="6"/>
      <c r="D26" s="40"/>
      <c r="E26" s="43">
        <v>130</v>
      </c>
      <c r="F26" s="43">
        <v>150</v>
      </c>
      <c r="G26" s="21">
        <v>174</v>
      </c>
      <c r="H26" s="20">
        <v>178</v>
      </c>
      <c r="J26" s="44"/>
      <c r="K26" s="44"/>
      <c r="L26" s="44"/>
    </row>
    <row r="27" spans="1:14" ht="13.5" thickBot="1" x14ac:dyDescent="0.25">
      <c r="A27" s="53"/>
      <c r="B27" s="39"/>
      <c r="C27" s="6"/>
      <c r="D27" s="40"/>
      <c r="E27" s="43">
        <v>150</v>
      </c>
      <c r="F27" s="43">
        <v>160</v>
      </c>
      <c r="G27" s="20">
        <v>178</v>
      </c>
      <c r="H27" s="21">
        <v>182</v>
      </c>
      <c r="I27" s="45"/>
      <c r="J27" s="44"/>
      <c r="K27" s="44"/>
      <c r="L27" s="44"/>
    </row>
    <row r="28" spans="1:14" ht="13.5" thickBot="1" x14ac:dyDescent="0.25">
      <c r="A28" s="53"/>
      <c r="B28" s="39"/>
      <c r="C28" s="6"/>
      <c r="D28" s="40"/>
      <c r="E28" s="43">
        <v>160</v>
      </c>
      <c r="F28" s="43">
        <v>180</v>
      </c>
      <c r="G28" s="21">
        <v>182</v>
      </c>
      <c r="H28" s="20">
        <v>187</v>
      </c>
      <c r="I28" s="45"/>
      <c r="J28" s="44"/>
      <c r="K28" s="44"/>
      <c r="L28" s="44"/>
    </row>
    <row r="29" spans="1:14" ht="13.5" thickBot="1" x14ac:dyDescent="0.25">
      <c r="A29" s="53"/>
      <c r="B29" s="39"/>
      <c r="C29" s="6"/>
      <c r="D29" s="40"/>
      <c r="E29" s="43">
        <v>180</v>
      </c>
      <c r="F29" s="46">
        <v>200</v>
      </c>
      <c r="G29" s="20">
        <v>187</v>
      </c>
      <c r="H29" s="21">
        <v>191</v>
      </c>
      <c r="I29" s="45"/>
      <c r="J29" s="44"/>
      <c r="K29" s="44"/>
      <c r="L29" s="44"/>
    </row>
    <row r="30" spans="1:14" ht="13.5" thickBot="1" x14ac:dyDescent="0.25">
      <c r="A30" s="53"/>
      <c r="B30" s="39"/>
      <c r="C30" s="6"/>
      <c r="D30" s="40"/>
      <c r="E30" s="46">
        <v>200</v>
      </c>
      <c r="F30" s="42">
        <v>220</v>
      </c>
      <c r="G30" s="21">
        <v>191</v>
      </c>
      <c r="H30" s="20">
        <v>196</v>
      </c>
      <c r="I30" s="45"/>
      <c r="J30" s="44"/>
      <c r="K30" s="44"/>
      <c r="L30" s="44"/>
    </row>
    <row r="31" spans="1:14" ht="13.5" thickBot="1" x14ac:dyDescent="0.25">
      <c r="A31" s="53"/>
      <c r="B31" s="39"/>
      <c r="C31" s="6"/>
      <c r="D31" s="40"/>
      <c r="E31" s="42">
        <v>220</v>
      </c>
      <c r="F31" s="43">
        <v>240</v>
      </c>
      <c r="G31" s="20">
        <v>196</v>
      </c>
      <c r="H31" s="21">
        <v>200</v>
      </c>
      <c r="I31" s="45"/>
      <c r="J31" s="44"/>
      <c r="K31" s="44"/>
      <c r="L31" s="44"/>
      <c r="N31" s="49"/>
    </row>
    <row r="32" spans="1:14" ht="13.5" thickBot="1" x14ac:dyDescent="0.25">
      <c r="A32" s="53"/>
      <c r="B32" s="39"/>
      <c r="C32" s="6"/>
      <c r="D32" s="40"/>
      <c r="E32" s="43">
        <v>240</v>
      </c>
      <c r="F32" s="43">
        <v>270</v>
      </c>
      <c r="G32" s="21">
        <v>200</v>
      </c>
      <c r="H32" s="20">
        <v>205</v>
      </c>
      <c r="I32" s="45"/>
      <c r="J32" s="44"/>
      <c r="K32" s="44"/>
      <c r="L32" s="44"/>
      <c r="N32" s="49"/>
    </row>
    <row r="33" spans="1:14" s="49" customFormat="1" ht="13.5" thickBot="1" x14ac:dyDescent="0.25">
      <c r="A33" s="53"/>
      <c r="B33" s="39"/>
      <c r="C33" s="6"/>
      <c r="D33" s="40"/>
      <c r="E33" s="43">
        <v>270</v>
      </c>
      <c r="F33" s="43">
        <v>300</v>
      </c>
      <c r="G33" s="20">
        <v>205</v>
      </c>
      <c r="H33" s="21">
        <v>210</v>
      </c>
      <c r="I33" s="47"/>
      <c r="J33" s="44"/>
      <c r="K33" s="44"/>
      <c r="L33" s="44"/>
    </row>
    <row r="34" spans="1:14" s="49" customFormat="1" ht="13.5" thickBot="1" x14ac:dyDescent="0.25">
      <c r="A34" s="48"/>
      <c r="B34" s="48"/>
      <c r="C34" s="48"/>
      <c r="D34" s="48"/>
      <c r="E34" s="43">
        <v>300</v>
      </c>
      <c r="F34" s="43">
        <v>330</v>
      </c>
      <c r="G34" s="21">
        <v>210</v>
      </c>
      <c r="H34" s="20">
        <v>215</v>
      </c>
      <c r="I34" s="10"/>
      <c r="J34" s="44"/>
      <c r="K34" s="44"/>
      <c r="L34" s="44"/>
    </row>
    <row r="35" spans="1:14" s="49" customFormat="1" ht="13.5" thickBot="1" x14ac:dyDescent="0.25">
      <c r="E35" s="43">
        <v>330</v>
      </c>
      <c r="F35" s="43">
        <v>360</v>
      </c>
      <c r="G35" s="20">
        <v>215</v>
      </c>
      <c r="H35" s="21">
        <v>221</v>
      </c>
      <c r="I35" s="10"/>
      <c r="J35" s="44"/>
      <c r="K35" s="44"/>
      <c r="L35" s="44"/>
    </row>
    <row r="36" spans="1:14" s="49" customFormat="1" ht="13.5" thickBot="1" x14ac:dyDescent="0.25">
      <c r="E36" s="43">
        <v>360</v>
      </c>
      <c r="F36" s="43">
        <v>390</v>
      </c>
      <c r="G36" s="21">
        <v>221</v>
      </c>
      <c r="H36" s="20">
        <v>226</v>
      </c>
      <c r="I36" s="10"/>
      <c r="J36" s="44"/>
      <c r="K36" s="44"/>
      <c r="L36" s="44"/>
      <c r="N36" s="7"/>
    </row>
    <row r="37" spans="1:14" s="49" customFormat="1" ht="13.5" thickBot="1" x14ac:dyDescent="0.25">
      <c r="E37" s="43">
        <v>390</v>
      </c>
      <c r="F37" s="46">
        <v>430</v>
      </c>
      <c r="G37" s="20">
        <v>226</v>
      </c>
      <c r="H37" s="21">
        <v>232</v>
      </c>
      <c r="I37" s="45"/>
      <c r="J37" s="44"/>
      <c r="K37" s="44"/>
      <c r="L37" s="44"/>
      <c r="N37" s="7"/>
    </row>
    <row r="38" spans="1:14" ht="13.5" thickBot="1" x14ac:dyDescent="0.25">
      <c r="E38" s="46">
        <v>430</v>
      </c>
      <c r="F38" s="42">
        <v>470</v>
      </c>
      <c r="G38" s="21">
        <v>232</v>
      </c>
      <c r="H38" s="20">
        <v>237</v>
      </c>
      <c r="I38" s="45"/>
      <c r="J38" s="44"/>
      <c r="K38" s="44"/>
      <c r="L38" s="44"/>
    </row>
    <row r="39" spans="1:14" ht="13.5" thickBot="1" x14ac:dyDescent="0.25">
      <c r="E39" s="42">
        <v>470</v>
      </c>
      <c r="F39" s="43">
        <v>510</v>
      </c>
      <c r="G39" s="20">
        <v>237</v>
      </c>
      <c r="H39" s="21">
        <v>243</v>
      </c>
      <c r="I39" s="45"/>
      <c r="J39" s="44"/>
      <c r="K39" s="44"/>
      <c r="L39" s="44"/>
    </row>
    <row r="40" spans="1:14" ht="13.5" thickBot="1" x14ac:dyDescent="0.25">
      <c r="E40" s="43">
        <v>510</v>
      </c>
      <c r="F40" s="43">
        <v>560</v>
      </c>
      <c r="G40" s="21">
        <v>243</v>
      </c>
      <c r="H40" s="20">
        <v>249</v>
      </c>
      <c r="I40" s="45"/>
      <c r="J40" s="44"/>
      <c r="K40" s="44"/>
      <c r="L40" s="44"/>
    </row>
    <row r="41" spans="1:14" ht="13.5" thickBot="1" x14ac:dyDescent="0.25">
      <c r="E41" s="43">
        <v>560</v>
      </c>
      <c r="F41" s="43">
        <v>620</v>
      </c>
      <c r="G41" s="20">
        <v>249</v>
      </c>
      <c r="H41" s="21">
        <v>255</v>
      </c>
      <c r="I41" s="45"/>
      <c r="J41" s="44"/>
      <c r="K41" s="44"/>
      <c r="L41" s="44"/>
    </row>
    <row r="42" spans="1:14" ht="13.5" thickBot="1" x14ac:dyDescent="0.25">
      <c r="E42" s="43">
        <v>620</v>
      </c>
      <c r="F42" s="43">
        <v>680</v>
      </c>
      <c r="G42" s="21">
        <v>255</v>
      </c>
      <c r="H42" s="20">
        <v>261</v>
      </c>
      <c r="I42" s="45"/>
      <c r="J42" s="44"/>
      <c r="K42" s="44"/>
      <c r="L42" s="44"/>
    </row>
    <row r="43" spans="1:14" ht="13.5" thickBot="1" x14ac:dyDescent="0.25">
      <c r="E43" s="43">
        <v>680</v>
      </c>
      <c r="F43" s="43">
        <v>750</v>
      </c>
      <c r="G43" s="20">
        <v>261</v>
      </c>
      <c r="H43" s="21">
        <v>267</v>
      </c>
      <c r="I43" s="45"/>
      <c r="J43" s="44"/>
      <c r="K43" s="44"/>
      <c r="L43" s="44"/>
    </row>
    <row r="44" spans="1:14" ht="13.5" thickBot="1" x14ac:dyDescent="0.25">
      <c r="E44" s="43">
        <v>750</v>
      </c>
      <c r="F44" s="43">
        <v>820</v>
      </c>
      <c r="G44" s="21">
        <v>267</v>
      </c>
      <c r="H44" s="20">
        <v>274</v>
      </c>
      <c r="J44" s="44"/>
      <c r="K44" s="44"/>
      <c r="L44" s="44"/>
    </row>
    <row r="45" spans="1:14" ht="13.5" thickBot="1" x14ac:dyDescent="0.25">
      <c r="E45" s="43">
        <v>820</v>
      </c>
      <c r="F45" s="46">
        <v>910</v>
      </c>
      <c r="G45" s="20">
        <v>274</v>
      </c>
      <c r="H45" s="21">
        <v>280</v>
      </c>
      <c r="J45" s="44"/>
      <c r="K45" s="44"/>
      <c r="L45" s="44"/>
    </row>
    <row r="46" spans="1:14" ht="13.5" thickBot="1" x14ac:dyDescent="0.25">
      <c r="E46" s="46">
        <v>910</v>
      </c>
      <c r="F46" s="46">
        <v>1000</v>
      </c>
      <c r="G46" s="21">
        <v>280</v>
      </c>
      <c r="H46" s="20">
        <v>287</v>
      </c>
      <c r="J46" s="44"/>
      <c r="K46" s="44"/>
      <c r="L46" s="44"/>
    </row>
    <row r="47" spans="1:14" ht="13.5" thickBot="1" x14ac:dyDescent="0.25">
      <c r="E47" s="117" t="s">
        <v>154</v>
      </c>
      <c r="F47" s="117"/>
      <c r="G47" s="20">
        <v>287</v>
      </c>
      <c r="H47" s="21">
        <v>294</v>
      </c>
      <c r="J47" s="44"/>
      <c r="K47" s="44"/>
      <c r="L47" s="44"/>
    </row>
    <row r="48" spans="1:14" ht="13.5" thickBot="1" x14ac:dyDescent="0.25">
      <c r="E48" s="50">
        <v>100</v>
      </c>
      <c r="F48" s="50">
        <v>105</v>
      </c>
      <c r="G48" s="21">
        <v>294</v>
      </c>
      <c r="H48" s="20">
        <v>301</v>
      </c>
      <c r="J48" s="44"/>
      <c r="K48" s="44"/>
      <c r="L48" s="44"/>
    </row>
    <row r="49" spans="5:12" ht="13.5" thickBot="1" x14ac:dyDescent="0.25">
      <c r="E49" s="50">
        <v>105</v>
      </c>
      <c r="F49" s="50">
        <v>110</v>
      </c>
      <c r="G49" s="20">
        <v>301</v>
      </c>
      <c r="H49" s="21">
        <v>309</v>
      </c>
      <c r="J49" s="44"/>
      <c r="K49" s="44"/>
      <c r="L49" s="44"/>
    </row>
    <row r="50" spans="5:12" ht="13.5" thickBot="1" x14ac:dyDescent="0.25">
      <c r="E50" s="50">
        <v>110</v>
      </c>
      <c r="F50" s="50">
        <v>115</v>
      </c>
      <c r="G50" s="21">
        <v>309</v>
      </c>
      <c r="H50" s="20">
        <v>316</v>
      </c>
      <c r="J50" s="44"/>
      <c r="K50" s="44"/>
      <c r="L50" s="44"/>
    </row>
    <row r="51" spans="5:12" ht="13.5" thickBot="1" x14ac:dyDescent="0.25">
      <c r="E51" s="50">
        <v>115</v>
      </c>
      <c r="F51" s="50">
        <v>121</v>
      </c>
      <c r="G51" s="20">
        <v>316</v>
      </c>
      <c r="H51" s="21">
        <v>324</v>
      </c>
      <c r="J51" s="44"/>
      <c r="K51" s="44"/>
      <c r="L51" s="44"/>
    </row>
    <row r="52" spans="5:12" ht="13.5" thickBot="1" x14ac:dyDescent="0.25">
      <c r="E52" s="50">
        <v>121</v>
      </c>
      <c r="F52" s="50">
        <v>127</v>
      </c>
      <c r="G52" s="21">
        <v>324</v>
      </c>
      <c r="H52" s="20">
        <v>332</v>
      </c>
      <c r="J52" s="44"/>
      <c r="K52" s="44"/>
      <c r="L52" s="44"/>
    </row>
    <row r="53" spans="5:12" ht="13.5" thickBot="1" x14ac:dyDescent="0.25">
      <c r="E53" s="50">
        <v>127</v>
      </c>
      <c r="F53" s="50">
        <v>133</v>
      </c>
      <c r="G53" s="20">
        <v>332</v>
      </c>
      <c r="H53" s="21">
        <v>340</v>
      </c>
      <c r="J53" s="44"/>
      <c r="K53" s="44"/>
      <c r="L53" s="44"/>
    </row>
    <row r="54" spans="5:12" ht="13.5" thickBot="1" x14ac:dyDescent="0.25">
      <c r="E54" s="50">
        <v>133</v>
      </c>
      <c r="F54" s="50">
        <v>140</v>
      </c>
      <c r="G54" s="21">
        <v>340</v>
      </c>
      <c r="H54" s="20">
        <v>348</v>
      </c>
      <c r="J54" s="44"/>
      <c r="K54" s="44"/>
      <c r="L54" s="44"/>
    </row>
    <row r="55" spans="5:12" ht="13.5" thickBot="1" x14ac:dyDescent="0.25">
      <c r="E55" s="50">
        <v>140</v>
      </c>
      <c r="F55" s="50">
        <v>147</v>
      </c>
      <c r="G55" s="20">
        <v>348</v>
      </c>
      <c r="H55" s="21">
        <v>357</v>
      </c>
      <c r="J55" s="44"/>
      <c r="K55" s="44"/>
      <c r="L55" s="44"/>
    </row>
    <row r="56" spans="5:12" ht="13.5" thickBot="1" x14ac:dyDescent="0.25">
      <c r="E56" s="50">
        <v>147</v>
      </c>
      <c r="F56" s="50">
        <v>154</v>
      </c>
      <c r="G56" s="21">
        <v>357</v>
      </c>
      <c r="H56" s="20">
        <v>365</v>
      </c>
      <c r="J56" s="44"/>
      <c r="K56" s="44"/>
      <c r="L56" s="44"/>
    </row>
    <row r="57" spans="5:12" ht="13.5" thickBot="1" x14ac:dyDescent="0.25">
      <c r="E57" s="50">
        <v>154</v>
      </c>
      <c r="F57" s="50">
        <v>162</v>
      </c>
      <c r="G57" s="20">
        <v>365</v>
      </c>
      <c r="H57" s="21">
        <v>374</v>
      </c>
      <c r="J57" s="44"/>
      <c r="K57" s="44"/>
      <c r="L57" s="44"/>
    </row>
    <row r="58" spans="5:12" ht="13.5" thickBot="1" x14ac:dyDescent="0.25">
      <c r="E58" s="50">
        <v>162</v>
      </c>
      <c r="F58" s="50">
        <v>169</v>
      </c>
      <c r="G58" s="21">
        <v>374</v>
      </c>
      <c r="H58" s="20">
        <v>383</v>
      </c>
      <c r="J58" s="44"/>
      <c r="K58" s="44"/>
      <c r="L58" s="44"/>
    </row>
    <row r="59" spans="5:12" ht="13.5" thickBot="1" x14ac:dyDescent="0.25">
      <c r="E59" s="50">
        <v>169</v>
      </c>
      <c r="F59" s="50">
        <v>178</v>
      </c>
      <c r="G59" s="20">
        <v>383</v>
      </c>
      <c r="H59" s="21">
        <v>392</v>
      </c>
      <c r="J59" s="44"/>
      <c r="K59" s="44"/>
      <c r="L59" s="44"/>
    </row>
    <row r="60" spans="5:12" ht="13.5" thickBot="1" x14ac:dyDescent="0.25">
      <c r="E60" s="50">
        <v>178</v>
      </c>
      <c r="F60" s="50">
        <v>187</v>
      </c>
      <c r="G60" s="21">
        <v>392</v>
      </c>
      <c r="H60" s="20">
        <v>402</v>
      </c>
      <c r="J60" s="44"/>
      <c r="K60" s="44"/>
      <c r="L60" s="44"/>
    </row>
    <row r="61" spans="5:12" ht="13.5" thickBot="1" x14ac:dyDescent="0.25">
      <c r="E61" s="50">
        <v>187</v>
      </c>
      <c r="F61" s="50">
        <v>196</v>
      </c>
      <c r="G61" s="20">
        <v>402</v>
      </c>
      <c r="H61" s="21">
        <v>412</v>
      </c>
      <c r="J61" s="44"/>
      <c r="K61" s="44"/>
      <c r="L61" s="44"/>
    </row>
    <row r="62" spans="5:12" ht="13.5" thickBot="1" x14ac:dyDescent="0.25">
      <c r="E62" s="50">
        <v>196</v>
      </c>
      <c r="F62" s="50">
        <v>205</v>
      </c>
      <c r="G62" s="21">
        <v>412</v>
      </c>
      <c r="H62" s="20">
        <v>422</v>
      </c>
      <c r="J62" s="44"/>
      <c r="K62" s="44"/>
      <c r="L62" s="44"/>
    </row>
    <row r="63" spans="5:12" ht="13.5" thickBot="1" x14ac:dyDescent="0.25">
      <c r="E63" s="50">
        <v>205</v>
      </c>
      <c r="F63" s="50">
        <v>215</v>
      </c>
      <c r="G63" s="20">
        <v>422</v>
      </c>
      <c r="H63" s="21">
        <v>432</v>
      </c>
      <c r="J63" s="44"/>
      <c r="K63" s="44"/>
      <c r="L63" s="44"/>
    </row>
    <row r="64" spans="5:12" ht="13.5" thickBot="1" x14ac:dyDescent="0.25">
      <c r="E64" s="50">
        <v>215</v>
      </c>
      <c r="F64" s="50">
        <v>226</v>
      </c>
      <c r="G64" s="21">
        <v>432</v>
      </c>
      <c r="H64" s="20">
        <v>442</v>
      </c>
      <c r="J64" s="44"/>
      <c r="K64" s="44"/>
      <c r="L64" s="44"/>
    </row>
    <row r="65" spans="5:12" ht="13.5" thickBot="1" x14ac:dyDescent="0.25">
      <c r="E65" s="50">
        <v>226</v>
      </c>
      <c r="F65" s="50">
        <v>237</v>
      </c>
      <c r="G65" s="20">
        <v>442</v>
      </c>
      <c r="H65" s="21">
        <v>453</v>
      </c>
      <c r="J65" s="44"/>
      <c r="K65" s="44"/>
      <c r="L65" s="44"/>
    </row>
    <row r="66" spans="5:12" ht="13.5" thickBot="1" x14ac:dyDescent="0.25">
      <c r="E66" s="50">
        <v>237</v>
      </c>
      <c r="F66" s="50">
        <v>249</v>
      </c>
      <c r="G66" s="21">
        <v>453</v>
      </c>
      <c r="H66" s="20">
        <v>464</v>
      </c>
      <c r="J66" s="44"/>
      <c r="K66" s="44"/>
      <c r="L66" s="44"/>
    </row>
    <row r="67" spans="5:12" ht="13.5" thickBot="1" x14ac:dyDescent="0.25">
      <c r="E67" s="50">
        <v>249</v>
      </c>
      <c r="F67" s="50">
        <v>261</v>
      </c>
      <c r="G67" s="20">
        <v>464</v>
      </c>
      <c r="H67" s="21">
        <v>475</v>
      </c>
      <c r="J67" s="44"/>
      <c r="K67" s="44"/>
      <c r="L67" s="44"/>
    </row>
    <row r="68" spans="5:12" ht="13.5" thickBot="1" x14ac:dyDescent="0.25">
      <c r="E68" s="50">
        <v>261</v>
      </c>
      <c r="F68" s="50">
        <v>274</v>
      </c>
      <c r="G68" s="21">
        <v>475</v>
      </c>
      <c r="H68" s="20">
        <v>487</v>
      </c>
      <c r="J68" s="44"/>
      <c r="K68" s="44"/>
      <c r="L68" s="44"/>
    </row>
    <row r="69" spans="5:12" ht="13.5" thickBot="1" x14ac:dyDescent="0.25">
      <c r="E69" s="50">
        <v>274</v>
      </c>
      <c r="F69" s="50">
        <v>287</v>
      </c>
      <c r="G69" s="20">
        <v>487</v>
      </c>
      <c r="H69" s="21">
        <v>499</v>
      </c>
      <c r="J69" s="44"/>
      <c r="K69" s="44"/>
      <c r="L69" s="44"/>
    </row>
    <row r="70" spans="5:12" ht="13.5" thickBot="1" x14ac:dyDescent="0.25">
      <c r="E70" s="50">
        <v>287</v>
      </c>
      <c r="F70" s="50">
        <v>301</v>
      </c>
      <c r="G70" s="21">
        <v>499</v>
      </c>
      <c r="H70" s="20">
        <v>511</v>
      </c>
      <c r="J70" s="44"/>
      <c r="K70" s="44"/>
      <c r="L70" s="44"/>
    </row>
    <row r="71" spans="5:12" ht="13.5" thickBot="1" x14ac:dyDescent="0.25">
      <c r="E71" s="50">
        <v>301</v>
      </c>
      <c r="F71" s="50">
        <v>316</v>
      </c>
      <c r="G71" s="20">
        <v>511</v>
      </c>
      <c r="H71" s="21">
        <v>523</v>
      </c>
      <c r="J71" s="44"/>
      <c r="K71" s="44"/>
      <c r="L71" s="44"/>
    </row>
    <row r="72" spans="5:12" ht="13.5" thickBot="1" x14ac:dyDescent="0.25">
      <c r="E72" s="50">
        <v>316</v>
      </c>
      <c r="F72" s="50">
        <v>332</v>
      </c>
      <c r="G72" s="21">
        <v>523</v>
      </c>
      <c r="H72" s="20">
        <v>536</v>
      </c>
      <c r="J72" s="44"/>
      <c r="K72" s="44"/>
      <c r="L72" s="44"/>
    </row>
    <row r="73" spans="5:12" ht="13.5" thickBot="1" x14ac:dyDescent="0.25">
      <c r="E73" s="50">
        <v>332</v>
      </c>
      <c r="F73" s="50">
        <v>348</v>
      </c>
      <c r="G73" s="20">
        <v>536</v>
      </c>
      <c r="H73" s="21">
        <v>549</v>
      </c>
      <c r="J73" s="44"/>
      <c r="K73" s="44"/>
      <c r="L73" s="44"/>
    </row>
    <row r="74" spans="5:12" ht="13.5" thickBot="1" x14ac:dyDescent="0.25">
      <c r="E74" s="50">
        <v>348</v>
      </c>
      <c r="F74" s="50">
        <v>365</v>
      </c>
      <c r="G74" s="21">
        <v>549</v>
      </c>
      <c r="H74" s="20">
        <v>562</v>
      </c>
      <c r="J74" s="44"/>
      <c r="K74" s="44"/>
      <c r="L74" s="44"/>
    </row>
    <row r="75" spans="5:12" ht="13.5" thickBot="1" x14ac:dyDescent="0.25">
      <c r="E75" s="50">
        <v>365</v>
      </c>
      <c r="F75" s="50">
        <v>383</v>
      </c>
      <c r="G75" s="20">
        <v>562</v>
      </c>
      <c r="H75" s="21">
        <v>576</v>
      </c>
      <c r="J75" s="51"/>
      <c r="K75" s="51"/>
      <c r="L75" s="51"/>
    </row>
    <row r="76" spans="5:12" ht="13.5" thickBot="1" x14ac:dyDescent="0.25">
      <c r="E76" s="50">
        <v>383</v>
      </c>
      <c r="F76" s="50">
        <v>402</v>
      </c>
      <c r="G76" s="21">
        <v>576</v>
      </c>
      <c r="H76" s="20">
        <v>590</v>
      </c>
      <c r="J76" s="51"/>
      <c r="K76" s="51"/>
      <c r="L76" s="51"/>
    </row>
    <row r="77" spans="5:12" ht="13.5" thickBot="1" x14ac:dyDescent="0.25">
      <c r="E77" s="50">
        <v>402</v>
      </c>
      <c r="F77" s="50">
        <v>422</v>
      </c>
      <c r="G77" s="20">
        <v>590</v>
      </c>
      <c r="H77" s="21">
        <v>604</v>
      </c>
      <c r="J77" s="51"/>
      <c r="K77" s="51"/>
      <c r="L77" s="51"/>
    </row>
    <row r="78" spans="5:12" ht="13.5" thickBot="1" x14ac:dyDescent="0.25">
      <c r="E78" s="50">
        <v>422</v>
      </c>
      <c r="F78" s="50">
        <v>442</v>
      </c>
      <c r="G78" s="21">
        <v>604</v>
      </c>
      <c r="H78" s="20">
        <v>619</v>
      </c>
      <c r="J78" s="51"/>
      <c r="K78" s="51"/>
      <c r="L78" s="51"/>
    </row>
    <row r="79" spans="5:12" ht="13.5" thickBot="1" x14ac:dyDescent="0.25">
      <c r="E79" s="50">
        <v>442</v>
      </c>
      <c r="F79" s="50">
        <v>464</v>
      </c>
      <c r="G79" s="20">
        <v>619</v>
      </c>
      <c r="H79" s="21">
        <v>634</v>
      </c>
      <c r="J79" s="51"/>
      <c r="K79" s="51"/>
      <c r="L79" s="51"/>
    </row>
    <row r="80" spans="5:12" ht="13.5" thickBot="1" x14ac:dyDescent="0.25">
      <c r="E80" s="50">
        <v>464</v>
      </c>
      <c r="F80" s="50">
        <v>487</v>
      </c>
      <c r="G80" s="21">
        <v>634</v>
      </c>
      <c r="H80" s="20">
        <v>649</v>
      </c>
      <c r="J80" s="51"/>
      <c r="K80" s="51"/>
      <c r="L80" s="51"/>
    </row>
    <row r="81" spans="5:12" ht="13.5" thickBot="1" x14ac:dyDescent="0.25">
      <c r="E81" s="50">
        <v>487</v>
      </c>
      <c r="F81" s="50">
        <v>511</v>
      </c>
      <c r="G81" s="20">
        <v>649</v>
      </c>
      <c r="H81" s="21">
        <v>665</v>
      </c>
      <c r="J81" s="51"/>
      <c r="K81" s="51"/>
      <c r="L81" s="51"/>
    </row>
    <row r="82" spans="5:12" ht="13.5" thickBot="1" x14ac:dyDescent="0.25">
      <c r="E82" s="50">
        <v>511</v>
      </c>
      <c r="F82" s="50">
        <v>536</v>
      </c>
      <c r="G82" s="21">
        <v>665</v>
      </c>
      <c r="H82" s="20">
        <v>681</v>
      </c>
      <c r="J82" s="51"/>
      <c r="K82" s="51"/>
      <c r="L82" s="51"/>
    </row>
    <row r="83" spans="5:12" ht="13.5" thickBot="1" x14ac:dyDescent="0.25">
      <c r="E83" s="50">
        <v>536</v>
      </c>
      <c r="F83" s="50">
        <v>562</v>
      </c>
      <c r="G83" s="20">
        <v>681</v>
      </c>
      <c r="H83" s="21">
        <v>698</v>
      </c>
      <c r="J83" s="51"/>
      <c r="K83" s="51"/>
      <c r="L83" s="51"/>
    </row>
    <row r="84" spans="5:12" ht="13.5" thickBot="1" x14ac:dyDescent="0.25">
      <c r="E84" s="50">
        <v>562</v>
      </c>
      <c r="F84" s="50">
        <v>590</v>
      </c>
      <c r="G84" s="21">
        <v>698</v>
      </c>
      <c r="H84" s="20">
        <v>715</v>
      </c>
      <c r="J84" s="51"/>
      <c r="K84" s="51"/>
      <c r="L84" s="51"/>
    </row>
    <row r="85" spans="5:12" ht="13.5" thickBot="1" x14ac:dyDescent="0.25">
      <c r="E85" s="50">
        <v>590</v>
      </c>
      <c r="F85" s="50">
        <v>619</v>
      </c>
      <c r="G85" s="20">
        <v>715</v>
      </c>
      <c r="H85" s="21">
        <v>732</v>
      </c>
      <c r="J85" s="51"/>
      <c r="K85" s="51"/>
      <c r="L85" s="51"/>
    </row>
    <row r="86" spans="5:12" ht="13.5" thickBot="1" x14ac:dyDescent="0.25">
      <c r="E86" s="50">
        <v>619</v>
      </c>
      <c r="F86" s="50">
        <v>649</v>
      </c>
      <c r="G86" s="21">
        <v>732</v>
      </c>
      <c r="H86" s="20">
        <v>750</v>
      </c>
      <c r="J86" s="51"/>
      <c r="K86" s="51"/>
      <c r="L86" s="51"/>
    </row>
    <row r="87" spans="5:12" ht="13.5" thickBot="1" x14ac:dyDescent="0.25">
      <c r="E87" s="50">
        <v>649</v>
      </c>
      <c r="F87" s="50">
        <v>681</v>
      </c>
      <c r="G87" s="20">
        <v>750</v>
      </c>
      <c r="H87" s="21">
        <v>768</v>
      </c>
      <c r="J87" s="51"/>
      <c r="K87" s="51"/>
      <c r="L87" s="51"/>
    </row>
    <row r="88" spans="5:12" ht="13.5" thickBot="1" x14ac:dyDescent="0.25">
      <c r="E88" s="50">
        <v>681</v>
      </c>
      <c r="F88" s="50">
        <v>715</v>
      </c>
      <c r="G88" s="21">
        <v>768</v>
      </c>
      <c r="H88" s="20">
        <v>787</v>
      </c>
      <c r="J88" s="51"/>
      <c r="K88" s="51"/>
      <c r="L88" s="51"/>
    </row>
    <row r="89" spans="5:12" ht="13.5" thickBot="1" x14ac:dyDescent="0.25">
      <c r="E89" s="50">
        <v>715</v>
      </c>
      <c r="F89" s="50">
        <v>750</v>
      </c>
      <c r="G89" s="20">
        <v>787</v>
      </c>
      <c r="H89" s="21">
        <v>806</v>
      </c>
      <c r="J89" s="51"/>
      <c r="K89" s="51"/>
      <c r="L89" s="51"/>
    </row>
    <row r="90" spans="5:12" ht="13.5" thickBot="1" x14ac:dyDescent="0.25">
      <c r="E90" s="50">
        <v>750</v>
      </c>
      <c r="F90" s="50">
        <v>787</v>
      </c>
      <c r="G90" s="21">
        <v>806</v>
      </c>
      <c r="H90" s="20">
        <v>825</v>
      </c>
      <c r="J90" s="51"/>
      <c r="K90" s="51"/>
      <c r="L90" s="51"/>
    </row>
    <row r="91" spans="5:12" ht="13.5" thickBot="1" x14ac:dyDescent="0.25">
      <c r="E91" s="50">
        <v>787</v>
      </c>
      <c r="F91" s="50">
        <v>825</v>
      </c>
      <c r="G91" s="20">
        <v>825</v>
      </c>
      <c r="H91" s="21">
        <v>845</v>
      </c>
      <c r="J91" s="51"/>
      <c r="K91" s="51"/>
      <c r="L91" s="51"/>
    </row>
    <row r="92" spans="5:12" ht="13.5" thickBot="1" x14ac:dyDescent="0.25">
      <c r="E92" s="50">
        <v>825</v>
      </c>
      <c r="F92" s="50">
        <v>866</v>
      </c>
      <c r="G92" s="21">
        <v>845</v>
      </c>
      <c r="H92" s="20">
        <v>866</v>
      </c>
      <c r="J92" s="51"/>
      <c r="K92" s="51"/>
      <c r="L92" s="51"/>
    </row>
    <row r="93" spans="5:12" ht="13.5" thickBot="1" x14ac:dyDescent="0.25">
      <c r="E93" s="50">
        <v>866</v>
      </c>
      <c r="F93" s="50">
        <v>909</v>
      </c>
      <c r="G93" s="20">
        <v>866</v>
      </c>
      <c r="H93" s="21">
        <v>887</v>
      </c>
      <c r="J93" s="51"/>
      <c r="K93" s="51"/>
      <c r="L93" s="51"/>
    </row>
    <row r="94" spans="5:12" ht="13.5" thickBot="1" x14ac:dyDescent="0.25">
      <c r="E94" s="50">
        <v>909</v>
      </c>
      <c r="F94" s="50">
        <v>953</v>
      </c>
      <c r="G94" s="21">
        <v>887</v>
      </c>
      <c r="H94" s="20">
        <v>909</v>
      </c>
      <c r="J94" s="51"/>
      <c r="K94" s="51"/>
      <c r="L94" s="51"/>
    </row>
    <row r="95" spans="5:12" ht="13.5" thickBot="1" x14ac:dyDescent="0.25">
      <c r="E95" s="50">
        <v>953</v>
      </c>
      <c r="F95" s="50">
        <v>1000</v>
      </c>
      <c r="G95" s="20">
        <v>909</v>
      </c>
      <c r="H95" s="21">
        <v>931</v>
      </c>
      <c r="J95" s="51"/>
      <c r="K95" s="51"/>
      <c r="L95" s="51"/>
    </row>
    <row r="96" spans="5:12" ht="13.5" thickBot="1" x14ac:dyDescent="0.25">
      <c r="G96" s="21">
        <v>931</v>
      </c>
      <c r="H96" s="20">
        <v>953</v>
      </c>
      <c r="J96" s="51"/>
      <c r="K96" s="51"/>
      <c r="L96" s="51"/>
    </row>
    <row r="97" spans="7:12" ht="13.5" thickBot="1" x14ac:dyDescent="0.25">
      <c r="G97" s="20">
        <v>953</v>
      </c>
      <c r="H97" s="21">
        <v>976</v>
      </c>
      <c r="J97" s="51"/>
      <c r="K97" s="51"/>
      <c r="L97" s="51"/>
    </row>
    <row r="98" spans="7:12" ht="13.5" thickBot="1" x14ac:dyDescent="0.25">
      <c r="G98" s="21">
        <v>976</v>
      </c>
      <c r="H98" s="21">
        <v>1000</v>
      </c>
      <c r="J98" s="51"/>
      <c r="K98" s="51"/>
      <c r="L98" s="51"/>
    </row>
    <row r="99" spans="7:12" x14ac:dyDescent="0.2">
      <c r="J99" s="51"/>
      <c r="K99" s="51"/>
      <c r="L99" s="51"/>
    </row>
    <row r="100" spans="7:12" x14ac:dyDescent="0.2">
      <c r="J100" s="51"/>
      <c r="K100" s="51"/>
      <c r="L100" s="51"/>
    </row>
    <row r="101" spans="7:12" x14ac:dyDescent="0.2">
      <c r="J101" s="51"/>
      <c r="K101" s="51"/>
      <c r="L101" s="51"/>
    </row>
    <row r="102" spans="7:12" x14ac:dyDescent="0.2">
      <c r="J102" s="51"/>
      <c r="K102" s="51"/>
      <c r="L102" s="51"/>
    </row>
    <row r="103" spans="7:12" x14ac:dyDescent="0.2">
      <c r="J103" s="51"/>
      <c r="K103" s="51"/>
      <c r="L103" s="51"/>
    </row>
    <row r="104" spans="7:12" x14ac:dyDescent="0.2">
      <c r="J104" s="51"/>
      <c r="K104" s="51"/>
      <c r="L104" s="51"/>
    </row>
    <row r="105" spans="7:12" x14ac:dyDescent="0.2">
      <c r="J105" s="51"/>
      <c r="K105" s="51"/>
      <c r="L105" s="51"/>
    </row>
    <row r="106" spans="7:12" x14ac:dyDescent="0.2">
      <c r="J106" s="51"/>
      <c r="K106" s="51"/>
      <c r="L106" s="51"/>
    </row>
    <row r="107" spans="7:12" x14ac:dyDescent="0.2">
      <c r="J107" s="51"/>
      <c r="K107" s="51"/>
      <c r="L107" s="51"/>
    </row>
    <row r="108" spans="7:12" x14ac:dyDescent="0.2">
      <c r="J108" s="51"/>
      <c r="K108" s="51"/>
      <c r="L108" s="51"/>
    </row>
    <row r="109" spans="7:12" x14ac:dyDescent="0.2">
      <c r="J109" s="51"/>
      <c r="K109" s="51"/>
      <c r="L109" s="51"/>
    </row>
    <row r="110" spans="7:12" x14ac:dyDescent="0.2">
      <c r="J110" s="51"/>
      <c r="K110" s="51"/>
      <c r="L110" s="51"/>
    </row>
    <row r="111" spans="7:12" x14ac:dyDescent="0.2">
      <c r="J111" s="51"/>
      <c r="K111" s="51"/>
      <c r="L111" s="51"/>
    </row>
    <row r="112" spans="7:12" x14ac:dyDescent="0.2">
      <c r="J112" s="51"/>
      <c r="K112" s="51"/>
      <c r="L112" s="51"/>
    </row>
    <row r="113" spans="10:12" x14ac:dyDescent="0.2">
      <c r="J113" s="51"/>
      <c r="K113" s="51"/>
      <c r="L113" s="51"/>
    </row>
    <row r="114" spans="10:12" x14ac:dyDescent="0.2">
      <c r="J114" s="51"/>
      <c r="K114" s="51"/>
      <c r="L114" s="51"/>
    </row>
    <row r="115" spans="10:12" x14ac:dyDescent="0.2">
      <c r="J115" s="51"/>
      <c r="K115" s="51"/>
      <c r="L115" s="51"/>
    </row>
    <row r="116" spans="10:12" x14ac:dyDescent="0.2">
      <c r="J116" s="51"/>
      <c r="K116" s="51"/>
      <c r="L116" s="51"/>
    </row>
    <row r="117" spans="10:12" x14ac:dyDescent="0.2">
      <c r="J117" s="51"/>
      <c r="K117" s="51"/>
      <c r="L117" s="51"/>
    </row>
    <row r="118" spans="10:12" x14ac:dyDescent="0.2">
      <c r="J118" s="51"/>
      <c r="K118" s="51"/>
      <c r="L118" s="51"/>
    </row>
    <row r="119" spans="10:12" x14ac:dyDescent="0.2">
      <c r="J119" s="51"/>
      <c r="K119" s="51"/>
      <c r="L119" s="51"/>
    </row>
    <row r="120" spans="10:12" x14ac:dyDescent="0.2">
      <c r="J120" s="51"/>
      <c r="K120" s="51"/>
      <c r="L120" s="51"/>
    </row>
    <row r="121" spans="10:12" x14ac:dyDescent="0.2">
      <c r="J121" s="51"/>
      <c r="K121" s="51"/>
      <c r="L121" s="51"/>
    </row>
    <row r="122" spans="10:12" x14ac:dyDescent="0.2">
      <c r="J122" s="51"/>
      <c r="K122" s="51"/>
      <c r="L122" s="51"/>
    </row>
    <row r="123" spans="10:12" x14ac:dyDescent="0.2">
      <c r="J123" s="51"/>
      <c r="K123" s="51"/>
      <c r="L123" s="51"/>
    </row>
    <row r="124" spans="10:12" x14ac:dyDescent="0.2">
      <c r="J124" s="51"/>
      <c r="K124" s="51"/>
      <c r="L124" s="51"/>
    </row>
    <row r="125" spans="10:12" x14ac:dyDescent="0.2">
      <c r="J125" s="51"/>
      <c r="K125" s="51"/>
      <c r="L125" s="51"/>
    </row>
    <row r="126" spans="10:12" x14ac:dyDescent="0.2">
      <c r="J126" s="51"/>
      <c r="K126" s="51"/>
      <c r="L126" s="51"/>
    </row>
    <row r="127" spans="10:12" x14ac:dyDescent="0.2">
      <c r="J127" s="51"/>
      <c r="K127" s="51"/>
      <c r="L127" s="51"/>
    </row>
    <row r="128" spans="10:12" x14ac:dyDescent="0.2">
      <c r="J128" s="51"/>
      <c r="K128" s="51"/>
      <c r="L128" s="51"/>
    </row>
    <row r="129" spans="10:12" x14ac:dyDescent="0.2">
      <c r="J129" s="51"/>
      <c r="K129" s="51"/>
      <c r="L129" s="51"/>
    </row>
    <row r="130" spans="10:12" x14ac:dyDescent="0.2">
      <c r="J130" s="51"/>
      <c r="K130" s="51"/>
      <c r="L130" s="51"/>
    </row>
    <row r="131" spans="10:12" x14ac:dyDescent="0.2">
      <c r="J131" s="51"/>
      <c r="K131" s="51"/>
      <c r="L131" s="51"/>
    </row>
    <row r="132" spans="10:12" x14ac:dyDescent="0.2">
      <c r="J132" s="51"/>
      <c r="K132" s="51"/>
      <c r="L132" s="51"/>
    </row>
    <row r="133" spans="10:12" x14ac:dyDescent="0.2">
      <c r="J133" s="51"/>
      <c r="K133" s="51"/>
      <c r="L133" s="51"/>
    </row>
    <row r="134" spans="10:12" x14ac:dyDescent="0.2">
      <c r="J134" s="51"/>
      <c r="K134" s="51"/>
      <c r="L134" s="51"/>
    </row>
    <row r="135" spans="10:12" x14ac:dyDescent="0.2">
      <c r="J135" s="51"/>
      <c r="K135" s="51"/>
      <c r="L135" s="51"/>
    </row>
    <row r="136" spans="10:12" x14ac:dyDescent="0.2">
      <c r="J136" s="51"/>
      <c r="K136" s="51"/>
      <c r="L136" s="51"/>
    </row>
    <row r="137" spans="10:12" x14ac:dyDescent="0.2">
      <c r="J137" s="51"/>
      <c r="K137" s="51"/>
      <c r="L137" s="51"/>
    </row>
    <row r="138" spans="10:12" x14ac:dyDescent="0.2">
      <c r="J138" s="51"/>
      <c r="K138" s="51"/>
      <c r="L138" s="51"/>
    </row>
    <row r="139" spans="10:12" x14ac:dyDescent="0.2">
      <c r="J139" s="51"/>
      <c r="K139" s="51"/>
      <c r="L139" s="51"/>
    </row>
    <row r="140" spans="10:12" x14ac:dyDescent="0.2">
      <c r="J140" s="51"/>
      <c r="K140" s="51"/>
      <c r="L140" s="51"/>
    </row>
    <row r="141" spans="10:12" x14ac:dyDescent="0.2">
      <c r="J141" s="51"/>
      <c r="K141" s="51"/>
      <c r="L141" s="51"/>
    </row>
    <row r="142" spans="10:12" x14ac:dyDescent="0.2">
      <c r="J142" s="51"/>
      <c r="K142" s="51"/>
      <c r="L142" s="51"/>
    </row>
    <row r="143" spans="10:12" x14ac:dyDescent="0.2">
      <c r="J143" s="51"/>
      <c r="K143" s="51"/>
      <c r="L143" s="51"/>
    </row>
    <row r="144" spans="10:12" x14ac:dyDescent="0.2">
      <c r="J144" s="51"/>
      <c r="K144" s="51"/>
      <c r="L144" s="51"/>
    </row>
    <row r="145" spans="10:12" x14ac:dyDescent="0.2">
      <c r="J145" s="51"/>
      <c r="K145" s="51"/>
      <c r="L145" s="51"/>
    </row>
  </sheetData>
  <mergeCells count="5">
    <mergeCell ref="E47:F47"/>
    <mergeCell ref="E2:F2"/>
    <mergeCell ref="G2:H2"/>
    <mergeCell ref="E9:F9"/>
    <mergeCell ref="E22:F2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96</vt:i4>
      </vt:variant>
    </vt:vector>
  </HeadingPairs>
  <TitlesOfParts>
    <vt:vector size="104" baseType="lpstr">
      <vt:lpstr>Instructions</vt:lpstr>
      <vt:lpstr>Functional Schematic</vt:lpstr>
      <vt:lpstr>Design Information</vt:lpstr>
      <vt:lpstr>Figure of T1 Current</vt:lpstr>
      <vt:lpstr>TABSET Valley Switching</vt:lpstr>
      <vt:lpstr>TCDSET Valley Switching</vt:lpstr>
      <vt:lpstr>Voltage Loop</vt:lpstr>
      <vt:lpstr>Standard R and C Look Up Table</vt:lpstr>
      <vt:lpstr>_imp2</vt:lpstr>
      <vt:lpstr>_ims2</vt:lpstr>
      <vt:lpstr>_ipp1</vt:lpstr>
      <vt:lpstr>_ta1</vt:lpstr>
      <vt:lpstr>_ta11</vt:lpstr>
      <vt:lpstr>_ta2</vt:lpstr>
      <vt:lpstr>_taa1</vt:lpstr>
      <vt:lpstr>_va1</vt:lpstr>
      <vt:lpstr>C_enter</vt:lpstr>
      <vt:lpstr>C_f1</vt:lpstr>
      <vt:lpstr>C_f2</vt:lpstr>
      <vt:lpstr>c_s1</vt:lpstr>
      <vt:lpstr>C_s2</vt:lpstr>
      <vt:lpstr>Center</vt:lpstr>
      <vt:lpstr>constant</vt:lpstr>
      <vt:lpstr>cossqaavg</vt:lpstr>
      <vt:lpstr>cossqaspec</vt:lpstr>
      <vt:lpstr>cossqeavg</vt:lpstr>
      <vt:lpstr>cout</vt:lpstr>
      <vt:lpstr>Cp</vt:lpstr>
      <vt:lpstr>Cstandard</vt:lpstr>
      <vt:lpstr>Cz</vt:lpstr>
      <vt:lpstr>d2a</vt:lpstr>
      <vt:lpstr>dclamp</vt:lpstr>
      <vt:lpstr>dcrlout</vt:lpstr>
      <vt:lpstr>dcrp</vt:lpstr>
      <vt:lpstr>dcrs</vt:lpstr>
      <vt:lpstr>dilmag</vt:lpstr>
      <vt:lpstr>dilout</vt:lpstr>
      <vt:lpstr>dmax</vt:lpstr>
      <vt:lpstr>dtyp</vt:lpstr>
      <vt:lpstr>E12_f</vt:lpstr>
      <vt:lpstr>E12_s</vt:lpstr>
      <vt:lpstr>E24_f</vt:lpstr>
      <vt:lpstr>E24_s</vt:lpstr>
      <vt:lpstr>E48_f</vt:lpstr>
      <vt:lpstr>E48_s</vt:lpstr>
      <vt:lpstr>E6_f</vt:lpstr>
      <vt:lpstr>E6_s</vt:lpstr>
      <vt:lpstr>E96_f</vt:lpstr>
      <vt:lpstr>E96_s</vt:lpstr>
      <vt:lpstr>Eff</vt:lpstr>
      <vt:lpstr>esrcout</vt:lpstr>
      <vt:lpstr>fc</vt:lpstr>
      <vt:lpstr>fpp</vt:lpstr>
      <vt:lpstr>fs</vt:lpstr>
      <vt:lpstr>iloutrms</vt:lpstr>
      <vt:lpstr>imp</vt:lpstr>
      <vt:lpstr>ims</vt:lpstr>
      <vt:lpstr>ipp</vt:lpstr>
      <vt:lpstr>iprms</vt:lpstr>
      <vt:lpstr>iprms1</vt:lpstr>
      <vt:lpstr>iprms2</vt:lpstr>
      <vt:lpstr>ips</vt:lpstr>
      <vt:lpstr>isrms</vt:lpstr>
      <vt:lpstr>isrms1</vt:lpstr>
      <vt:lpstr>isrms2</vt:lpstr>
      <vt:lpstr>isrms3</vt:lpstr>
      <vt:lpstr>llk</vt:lpstr>
      <vt:lpstr>lmag</vt:lpstr>
      <vt:lpstr>lmag1</vt:lpstr>
      <vt:lpstr>lmag2</vt:lpstr>
      <vt:lpstr>lout</vt:lpstr>
      <vt:lpstr>ls</vt:lpstr>
      <vt:lpstr>n1divd1</vt:lpstr>
      <vt:lpstr>pbudget</vt:lpstr>
      <vt:lpstr>pout</vt:lpstr>
      <vt:lpstr>QAg</vt:lpstr>
      <vt:lpstr>qeg</vt:lpstr>
      <vt:lpstr>rdsonqa</vt:lpstr>
      <vt:lpstr>rdsonqe</vt:lpstr>
      <vt:lpstr>rf</vt:lpstr>
      <vt:lpstr>RII</vt:lpstr>
      <vt:lpstr>rload</vt:lpstr>
      <vt:lpstr>RS</vt:lpstr>
      <vt:lpstr>sta</vt:lpstr>
      <vt:lpstr>stb</vt:lpstr>
      <vt:lpstr>tabset</vt:lpstr>
      <vt:lpstr>tafset</vt:lpstr>
      <vt:lpstr>tcdset</vt:lpstr>
      <vt:lpstr>tdelay</vt:lpstr>
      <vt:lpstr>thu</vt:lpstr>
      <vt:lpstr>tr</vt:lpstr>
      <vt:lpstr>vadel</vt:lpstr>
      <vt:lpstr>vdsqe</vt:lpstr>
      <vt:lpstr>vg</vt:lpstr>
      <vt:lpstr>vin</vt:lpstr>
      <vt:lpstr>VINMAX</vt:lpstr>
      <vt:lpstr>VINMIAX</vt:lpstr>
      <vt:lpstr>VINMIN</vt:lpstr>
      <vt:lpstr>VOUT</vt:lpstr>
      <vt:lpstr>voutmin</vt:lpstr>
      <vt:lpstr>vrdson</vt:lpstr>
      <vt:lpstr>Vslope1</vt:lpstr>
      <vt:lpstr>Vslope2</vt:lpstr>
      <vt:lpstr>VTRAN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O'Loughlin</dc:creator>
  <cp:lastModifiedBy>Scibilia, Roberto</cp:lastModifiedBy>
  <cp:lastPrinted>2010-06-11T18:34:05Z</cp:lastPrinted>
  <dcterms:created xsi:type="dcterms:W3CDTF">2010-04-19T17:22:29Z</dcterms:created>
  <dcterms:modified xsi:type="dcterms:W3CDTF">2015-12-03T11:58:39Z</dcterms:modified>
</cp:coreProperties>
</file>