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wmf" ContentType="image/x-wmf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4"/>
  </bookViews>
  <sheets>
    <sheet name="Instructions" sheetId="1" state="visible" r:id="rId2"/>
    <sheet name="Schematic" sheetId="2" state="visible" r:id="rId3"/>
    <sheet name="Calculations" sheetId="3" state="visible" r:id="rId4"/>
    <sheet name="Power Requirements" sheetId="4" state="visible" r:id="rId5"/>
    <sheet name="Calculation" sheetId="5" state="visible" r:id="rId6"/>
  </sheets>
  <definedNames>
    <definedName function="false" hidden="false" name="a" vbProcedure="false">Calculations!$A$17</definedName>
    <definedName function="false" hidden="false" name="DCR" vbProcedure="false">Calculations!$C$77</definedName>
    <definedName function="false" hidden="false" name="Dmag" vbProcedure="false">Calculations!$C$32</definedName>
    <definedName function="false" hidden="false" name="Dmax" vbProcedure="false">Calculations!$C$34</definedName>
    <definedName function="false" hidden="false" name="dtcdds" vbProcedure="false">Calculations!$C$87</definedName>
    <definedName function="false" hidden="false" name="Eff" vbProcedure="false">Calculations!$B$20</definedName>
    <definedName function="false" hidden="false" name="fmax" vbProcedure="false">Calculations!$D$19</definedName>
    <definedName function="false" hidden="false" name="Iapk" vbProcedure="false">Calculations!$C$50</definedName>
    <definedName function="false" hidden="false" name="Icarms" vbProcedure="false">Calculations!$C$69</definedName>
    <definedName function="false" hidden="false" name="Icbrms" vbProcedure="false">Calculations!$C$72</definedName>
    <definedName function="false" hidden="false" name="Icinp" vbProcedure="false">Calculations!$C$65</definedName>
    <definedName function="false" hidden="false" name="ida" vbProcedure="false">Calculations!$C$28</definedName>
    <definedName function="false" hidden="false" name="Iout" vbProcedure="false">Calculations!$D$18</definedName>
    <definedName function="false" hidden="false" name="Ippk" vbProcedure="false">Calculations!$C$35</definedName>
    <definedName function="false" hidden="false" name="Iprms" vbProcedure="false">Calculations!$C$46</definedName>
    <definedName function="false" hidden="false" name="Ispk" vbProcedure="false">Calculations!$C$47</definedName>
    <definedName function="false" hidden="false" name="Istart" vbProcedure="false">Calculations!$C$88</definedName>
    <definedName function="false" hidden="false" name="Llk" vbProcedure="false">Calculations!$C$57</definedName>
    <definedName function="false" hidden="false" name="Lpm" vbProcedure="false">Calculations!$C$56</definedName>
    <definedName function="false" hidden="false" name="NaNs" vbProcedure="false">Calculations!$C$55</definedName>
    <definedName function="false" hidden="false" name="NpNa" vbProcedure="false">Calculations!$C$54</definedName>
    <definedName function="false" hidden="false" name="NpNs" vbProcedure="false">Calculations!$C$54</definedName>
    <definedName function="false" hidden="false" name="NsNa" vbProcedure="false">Calculations!$C$55</definedName>
    <definedName function="false" hidden="false" name="Pda" vbProcedure="false">Calculations!$C$29</definedName>
    <definedName function="false" hidden="false" name="Pic" vbProcedure="false">Calculations!$C$49</definedName>
    <definedName function="false" hidden="false" name="Pout" vbProcedure="false">Calculations!$C$24</definedName>
    <definedName function="false" hidden="false" name="Prt" vbProcedure="false">Calculations!$C$84</definedName>
    <definedName function="false" hidden="false" name="Prz" vbProcedure="false">Calculations!$C$150</definedName>
    <definedName function="false" hidden="false" name="Pvdd" vbProcedure="false">Calculations!$C$157</definedName>
    <definedName function="false" hidden="false" name="Rt" vbProcedure="false">Calculations!$C$83</definedName>
    <definedName function="false" hidden="false" name="tch" vbProcedure="false">Calculations!$C$59</definedName>
    <definedName function="false" hidden="false" name="Tr" vbProcedure="false">Calculations!$C$33</definedName>
    <definedName function="false" hidden="false" name="tra" vbProcedure="false">Calculations!$C$116</definedName>
    <definedName function="false" hidden="false" name="Trl" vbProcedure="false">Calculations!$C$61</definedName>
    <definedName function="false" hidden="false" name="Vddmin" vbProcedure="false">Calculations!$C$41</definedName>
    <definedName function="false" hidden="false" name="Vddon" vbProcedure="false">Calculations!$C$89</definedName>
    <definedName function="false" hidden="false" name="Vde" vbProcedure="false">Calculations!$C$42</definedName>
    <definedName function="false" hidden="false" name="Vdg" vbProcedure="false">Calculations!$C$39</definedName>
    <definedName function="false" hidden="false" name="Vfda" vbProcedure="false">Calculations!$C$27</definedName>
    <definedName function="false" hidden="false" name="Vfly" vbProcedure="false">Calculations!$C$120</definedName>
    <definedName function="false" hidden="false" name="Vinmax" vbProcedure="false">Calculations!$D$13</definedName>
    <definedName function="false" hidden="false" name="Vinmin" vbProcedure="false">Calculations!$B$13</definedName>
    <definedName function="false" hidden="false" name="Vinripple" vbProcedure="false">Calculations!$B$62</definedName>
    <definedName function="false" hidden="false" name="Vinripple1" vbProcedure="false">Calculations!$C$62</definedName>
    <definedName function="false" hidden="false" name="Votr" vbProcedure="false">Calculations!$B$17</definedName>
    <definedName function="false" hidden="false" name="Votrm" vbProcedure="false">Calculations!$A$17</definedName>
    <definedName function="false" hidden="false" name="Votrmm" vbProcedure="false">Calculations!$A$17</definedName>
    <definedName function="false" hidden="false" name="Vout" vbProcedure="false">Calculations!$C$14</definedName>
    <definedName function="false" hidden="false" name="Vout_init" vbProcedure="false">Calculations!$C$43</definedName>
    <definedName function="false" hidden="false" name="Vqaon" vbProcedure="false">Calculations!$C$37</definedName>
    <definedName function="false" hidden="false" name="Vrcs" vbProcedure="false">Calculations!$C$38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<sst xmlns="http://schemas.openxmlformats.org/spreadsheetml/2006/main" count="557" uniqueCount="329">
  <si>
    <t>UCC28700 Design Calculator</t>
  </si>
  <si>
    <t>1. The Macros must be ENABLED.</t>
  </si>
  <si>
    <t>2. The Analysis ToolPak Add-In must be checked.</t>
  </si>
  <si>
    <t>• This feature can be found in the Tools Menu.</t>
  </si>
  <si>
    <t>• Select Add-Ins</t>
  </si>
  <si>
    <t>• Check the box next to Analysis ToolPak</t>
  </si>
  <si>
    <t>3. Enter the desired design parameters in the YELLOW shaded boxes</t>
  </si>
  <si>
    <t>4. The spreadsheet will calculate the ideal values and display the results in red type.</t>
  </si>
  <si>
    <t>5. Actual standard values must be entered for the spread sheet to calculate the gain-phase plots.</t>
  </si>
  <si>
    <t>6. Note this design tool was generated to accompany application report          SLUA653</t>
  </si>
  <si>
    <t>7. Designing a quasi resonant flyback is an iterative process.  </t>
  </si>
  <si>
    <t>       a. The Excel calculations are a starting place</t>
  </si>
  <si>
    <t>       b. The design will have to be adjusted and modified based </t>
  </si>
  <si>
    <t>           on actual circuit performance</t>
  </si>
  <si>
    <t>      </t>
  </si>
  <si>
    <t>UCC28700 Excel Design Tool</t>
  </si>
  <si>
    <t>Revision</t>
  </si>
  <si>
    <t>This design tool was generated based on the information in application report SLUA653</t>
  </si>
  <si>
    <t>It is recommended that you read this application note before using this design tool</t>
  </si>
  <si>
    <t>Enter Design Parameters and Chosen Component Values in Yellow Cells</t>
  </si>
  <si>
    <t>Warning Negative Numbers in Calculated Values Could Indicate</t>
  </si>
  <si>
    <t>&gt; Efficiency goal with selected components may not be achievable</t>
  </si>
  <si>
    <t>&gt; Invalid parameters entered in yellow cells</t>
  </si>
  <si>
    <t>&gt; Design cannot calculate realistic values for your design parameters</t>
  </si>
  <si>
    <t>Design Specifications</t>
  </si>
  <si>
    <t>Description</t>
  </si>
  <si>
    <t>Minimum </t>
  </si>
  <si>
    <t>Typical </t>
  </si>
  <si>
    <t>Maximum</t>
  </si>
  <si>
    <t>Unit</t>
  </si>
  <si>
    <t>RMS Input Voltage</t>
  </si>
  <si>
    <t>V</t>
  </si>
  <si>
    <t>Output Voltage</t>
  </si>
  <si>
    <t>Output Ripple Voltage</t>
  </si>
  <si>
    <t> </t>
  </si>
  <si>
    <t>No Load Input Power</t>
  </si>
  <si>
    <t>W</t>
  </si>
  <si>
    <t>Output Load Step
10% to 60%, 60% to 10%</t>
  </si>
  <si>
    <t>Output Current</t>
  </si>
  <si>
    <t>A</t>
  </si>
  <si>
    <t>Switching Frequency</t>
  </si>
  <si>
    <t>Hz</t>
  </si>
  <si>
    <t>Full Load Efficiency Typical</t>
  </si>
  <si>
    <t>%</t>
  </si>
  <si>
    <t>Set Initial Power Budget</t>
  </si>
  <si>
    <t>Variable</t>
  </si>
  <si>
    <t>Output Power</t>
  </si>
  <si>
    <t>POUT</t>
  </si>
  <si>
    <t>Power Budget</t>
  </si>
  <si>
    <t>PBUDGET</t>
  </si>
  <si>
    <r>
      <rPr>
        <b val="true"/>
        <sz val="12"/>
        <color rgb="FF000000"/>
        <rFont val="Arial"/>
        <family val="2"/>
        <charset val="1"/>
      </rPr>
      <t>Bridge Rectifier Selection (D</t>
    </r>
    <r>
      <rPr>
        <b val="true"/>
        <vertAlign val="subscript"/>
        <sz val="12"/>
        <color rgb="FF000000"/>
        <rFont val="Arial"/>
        <family val="2"/>
        <charset val="1"/>
      </rPr>
      <t>A</t>
    </r>
    <r>
      <rPr>
        <b val="true"/>
        <sz val="12"/>
        <color rgb="FF000000"/>
        <rFont val="Arial"/>
        <family val="2"/>
        <charset val="1"/>
      </rPr>
      <t> ..D</t>
    </r>
    <r>
      <rPr>
        <b val="true"/>
        <sz val="12"/>
        <color rgb="FF000000"/>
        <rFont val="Arial"/>
        <family val="2"/>
        <charset val="1"/>
      </rPr>
      <t>D): </t>
    </r>
  </si>
  <si>
    <r>
      <rPr>
        <b val="true"/>
        <sz val="12"/>
        <rFont val="Arial"/>
        <family val="2"/>
        <charset val="1"/>
      </rPr>
      <t>Estimated D</t>
    </r>
    <r>
      <rPr>
        <b val="true"/>
        <sz val="12"/>
        <rFont val="Arial"/>
        <family val="2"/>
        <charset val="1"/>
      </rPr>
      <t>A Forward V Drop</t>
    </r>
  </si>
  <si>
    <t>VFDA</t>
  </si>
  <si>
    <t>Average Diode Current</t>
  </si>
  <si>
    <t>IDA</t>
  </si>
  <si>
    <t>Estimated Power Dissipation</t>
  </si>
  <si>
    <t>PDA</t>
  </si>
  <si>
    <t>Recalculate Power Budget</t>
  </si>
  <si>
    <t>Transformer Calculations (T1)</t>
  </si>
  <si>
    <t>Demagnetizing Duty Cycle</t>
  </si>
  <si>
    <t>DMAG</t>
  </si>
  <si>
    <t>Estimated Period of LC Resonant Frequency </t>
  </si>
  <si>
    <t>TR</t>
  </si>
  <si>
    <t>s</t>
  </si>
  <si>
    <t>Maximum Duty Cycle</t>
  </si>
  <si>
    <t>DMAX</t>
  </si>
  <si>
    <t>T1 Primary Peak Current</t>
  </si>
  <si>
    <t>IPPK</t>
  </si>
  <si>
    <t>Primary Magnetizing L</t>
  </si>
  <si>
    <t>LPM</t>
  </si>
  <si>
    <t>H</t>
  </si>
  <si>
    <t>Estimate Voltage Drop QA </t>
  </si>
  <si>
    <t>VQAON</t>
  </si>
  <si>
    <t>Voltage Drop RCS</t>
  </si>
  <si>
    <t>VRCS</t>
  </si>
  <si>
    <r>
      <rPr>
        <b val="true"/>
        <sz val="12"/>
        <rFont val="Arial"/>
        <family val="2"/>
        <charset val="1"/>
      </rPr>
      <t>Estimated D</t>
    </r>
    <r>
      <rPr>
        <b val="true"/>
        <sz val="12"/>
        <rFont val="Arial"/>
        <family val="2"/>
        <charset val="1"/>
      </rPr>
      <t>G Forward Voltage Drop</t>
    </r>
  </si>
  <si>
    <t>VDG</t>
  </si>
  <si>
    <r>
      <rPr>
        <b val="true"/>
        <sz val="12"/>
        <rFont val="Arial"/>
        <family val="2"/>
        <charset val="1"/>
      </rPr>
      <t>Calculate N</t>
    </r>
    <r>
      <rPr>
        <b val="true"/>
        <vertAlign val="subscript"/>
        <sz val="12"/>
        <rFont val="Arial"/>
        <family val="2"/>
        <charset val="1"/>
      </rPr>
      <t>P</t>
    </r>
    <r>
      <rPr>
        <b val="true"/>
        <sz val="12"/>
        <rFont val="Arial"/>
        <family val="2"/>
        <charset val="1"/>
      </rPr>
      <t>/N</t>
    </r>
    <r>
      <rPr>
        <b val="true"/>
        <sz val="12"/>
        <rFont val="Arial"/>
        <family val="2"/>
        <charset val="1"/>
      </rPr>
      <t>S Turns Ratio</t>
    </r>
  </si>
  <si>
    <t>a1</t>
  </si>
  <si>
    <r>
      <rPr>
        <b val="true"/>
        <sz val="12"/>
        <rFont val="Arial"/>
        <family val="2"/>
        <charset val="1"/>
      </rPr>
      <t>Minimum V</t>
    </r>
    <r>
      <rPr>
        <b val="true"/>
        <sz val="12"/>
        <rFont val="Arial"/>
        <family val="2"/>
        <charset val="1"/>
      </rPr>
      <t>DD Voltage</t>
    </r>
  </si>
  <si>
    <t>VDDMIN</t>
  </si>
  <si>
    <r>
      <rPr>
        <b val="true"/>
        <sz val="12"/>
        <rFont val="Arial"/>
        <family val="2"/>
        <charset val="1"/>
      </rPr>
      <t>Estimated D</t>
    </r>
    <r>
      <rPr>
        <b val="true"/>
        <sz val="12"/>
        <rFont val="Arial"/>
        <family val="2"/>
        <charset val="1"/>
      </rPr>
      <t>E Forward Voltage Drop</t>
    </r>
  </si>
  <si>
    <t>VDE</t>
  </si>
  <si>
    <t>Voltage on Output at Initial Turn on</t>
  </si>
  <si>
    <t>VOUT_INT</t>
  </si>
  <si>
    <r>
      <rPr>
        <b val="true"/>
        <sz val="12"/>
        <rFont val="Arial"/>
        <family val="2"/>
        <charset val="1"/>
      </rPr>
      <t>Calculate N</t>
    </r>
    <r>
      <rPr>
        <b val="true"/>
        <vertAlign val="subscript"/>
        <sz val="12"/>
        <rFont val="Arial"/>
        <family val="2"/>
        <charset val="1"/>
      </rPr>
      <t>A</t>
    </r>
    <r>
      <rPr>
        <b val="true"/>
        <sz val="12"/>
        <rFont val="Arial"/>
        <family val="2"/>
        <charset val="1"/>
      </rPr>
      <t>/N</t>
    </r>
    <r>
      <rPr>
        <b val="true"/>
        <sz val="12"/>
        <rFont val="Arial"/>
        <family val="2"/>
        <charset val="1"/>
      </rPr>
      <t>S Turns Ratio</t>
    </r>
  </si>
  <si>
    <t>a2</t>
  </si>
  <si>
    <t>T1 Primary RMS Current</t>
  </si>
  <si>
    <t>IPRMS</t>
  </si>
  <si>
    <t>T1 Secondary Peak Current</t>
  </si>
  <si>
    <t>ISPK</t>
  </si>
  <si>
    <t>T1 Secondary RMS Current</t>
  </si>
  <si>
    <t>ISRMS</t>
  </si>
  <si>
    <t>Estimated IC Power Dissipation</t>
  </si>
  <si>
    <t>PIC</t>
  </si>
  <si>
    <t>T1 Auxiliary Peak Current</t>
  </si>
  <si>
    <t>IAPK</t>
  </si>
  <si>
    <t>T1 Auxiliary RMS Current</t>
  </si>
  <si>
    <t>IARMS</t>
  </si>
  <si>
    <t>Allowable Power Dissipation for T1</t>
  </si>
  <si>
    <t>PT1</t>
  </si>
  <si>
    <r>
      <rPr>
        <b val="true"/>
        <sz val="12"/>
        <rFont val="Arial"/>
        <family val="2"/>
        <charset val="1"/>
      </rPr>
      <t>Enter Actual N</t>
    </r>
    <r>
      <rPr>
        <b val="true"/>
        <vertAlign val="subscript"/>
        <sz val="12"/>
        <rFont val="Arial"/>
        <family val="2"/>
        <charset val="1"/>
      </rPr>
      <t>P</t>
    </r>
    <r>
      <rPr>
        <b val="true"/>
        <sz val="12"/>
        <rFont val="Arial"/>
        <family val="2"/>
        <charset val="1"/>
      </rPr>
      <t>/N</t>
    </r>
    <r>
      <rPr>
        <b val="true"/>
        <sz val="12"/>
        <rFont val="Arial"/>
        <family val="2"/>
        <charset val="1"/>
      </rPr>
      <t>S Turns Ratio</t>
    </r>
  </si>
  <si>
    <r>
      <rPr>
        <b val="true"/>
        <sz val="12"/>
        <rFont val="Arial"/>
        <family val="2"/>
        <charset val="1"/>
      </rPr>
      <t>Enter Actual N</t>
    </r>
    <r>
      <rPr>
        <b val="true"/>
        <vertAlign val="subscript"/>
        <sz val="12"/>
        <rFont val="Arial"/>
        <family val="2"/>
        <charset val="1"/>
      </rPr>
      <t>A</t>
    </r>
    <r>
      <rPr>
        <b val="true"/>
        <sz val="12"/>
        <rFont val="Arial"/>
        <family val="2"/>
        <charset val="1"/>
      </rPr>
      <t>/N</t>
    </r>
    <r>
      <rPr>
        <b val="true"/>
        <sz val="12"/>
        <rFont val="Arial"/>
        <family val="2"/>
        <charset val="1"/>
      </rPr>
      <t>S Turns Ratio</t>
    </r>
  </si>
  <si>
    <t>Enter Primary Magnetizing L</t>
  </si>
  <si>
    <t>Enter Primary Leakage L</t>
  </si>
  <si>
    <t>LLK</t>
  </si>
  <si>
    <r>
      <rPr>
        <b val="true"/>
        <sz val="12"/>
        <color rgb="FF000000"/>
        <rFont val="Arial"/>
        <family val="2"/>
        <charset val="1"/>
      </rPr>
      <t>Input Capacitor Selection (C</t>
    </r>
    <r>
      <rPr>
        <b val="true"/>
        <vertAlign val="subscript"/>
        <sz val="12"/>
        <color rgb="FF000000"/>
        <rFont val="Arial"/>
        <family val="2"/>
        <charset val="1"/>
      </rPr>
      <t>IN</t>
    </r>
    <r>
      <rPr>
        <b val="true"/>
        <sz val="12"/>
        <color rgb="FF000000"/>
        <rFont val="Arial"/>
        <family val="2"/>
        <charset val="1"/>
      </rPr>
      <t> = C</t>
    </r>
    <r>
      <rPr>
        <b val="true"/>
        <vertAlign val="subscript"/>
        <sz val="12"/>
        <color rgb="FF000000"/>
        <rFont val="Arial"/>
        <family val="2"/>
        <charset val="1"/>
      </rPr>
      <t>A</t>
    </r>
    <r>
      <rPr>
        <b val="true"/>
        <sz val="12"/>
        <color rgb="FF000000"/>
        <rFont val="Arial"/>
        <family val="2"/>
        <charset val="1"/>
      </rPr>
      <t> +C</t>
    </r>
    <r>
      <rPr>
        <b val="true"/>
        <sz val="12"/>
        <color rgb="FF000000"/>
        <rFont val="Arial"/>
        <family val="2"/>
        <charset val="1"/>
      </rPr>
      <t>B)</t>
    </r>
  </si>
  <si>
    <t>Enter Input Capacitor Charge t</t>
  </si>
  <si>
    <t>tCH</t>
  </si>
  <si>
    <t>T1 average input Current</t>
  </si>
  <si>
    <t>IPT1</t>
  </si>
  <si>
    <t>Enter Longest Rectified Line Period</t>
  </si>
  <si>
    <t>TRL</t>
  </si>
  <si>
    <t>Input Ripple</t>
  </si>
  <si>
    <t>VINRIPPLE</t>
  </si>
  <si>
    <t>Input Capacitance</t>
  </si>
  <si>
    <t>CIN</t>
  </si>
  <si>
    <t>F</t>
  </si>
  <si>
    <r>
      <rPr>
        <b val="true"/>
        <sz val="12"/>
        <color rgb="FF000000"/>
        <rFont val="Arial"/>
        <family val="2"/>
        <charset val="1"/>
      </rPr>
      <t>C</t>
    </r>
    <r>
      <rPr>
        <b val="true"/>
        <vertAlign val="subscript"/>
        <sz val="12"/>
        <color rgb="FF000000"/>
        <rFont val="Arial"/>
        <family val="2"/>
        <charset val="1"/>
      </rPr>
      <t>A</t>
    </r>
    <r>
      <rPr>
        <b val="true"/>
        <vertAlign val="subscript"/>
        <sz val="12"/>
        <color rgb="FF000000"/>
        <rFont val="Arial"/>
        <family val="2"/>
        <charset val="1"/>
      </rPr>
      <t>=CB</t>
    </r>
  </si>
  <si>
    <t>Peak Input Current</t>
  </si>
  <si>
    <t>ICINP</t>
  </si>
  <si>
    <t>Ica1</t>
  </si>
  <si>
    <t>Ica2</t>
  </si>
  <si>
    <t>Ica3</t>
  </si>
  <si>
    <r>
      <rPr>
        <b val="true"/>
        <sz val="12"/>
        <color rgb="FF000000"/>
        <rFont val="Arial"/>
        <family val="2"/>
        <charset val="1"/>
      </rPr>
      <t>C</t>
    </r>
    <r>
      <rPr>
        <b val="true"/>
        <sz val="12"/>
        <color rgb="FF000000"/>
        <rFont val="Arial"/>
        <family val="2"/>
        <charset val="1"/>
      </rPr>
      <t>A RMS Current</t>
    </r>
  </si>
  <si>
    <t>ICARMS</t>
  </si>
  <si>
    <r>
      <rPr>
        <b val="true"/>
        <sz val="12"/>
        <color rgb="FF000000"/>
        <rFont val="Arial"/>
        <family val="2"/>
        <charset val="1"/>
      </rPr>
      <t>C</t>
    </r>
    <r>
      <rPr>
        <b val="true"/>
        <sz val="12"/>
        <color rgb="FF000000"/>
        <rFont val="Arial"/>
        <family val="2"/>
        <charset val="1"/>
      </rPr>
      <t>B Low Frequency RMS Current</t>
    </r>
  </si>
  <si>
    <t>ICB_LFRMS</t>
  </si>
  <si>
    <r>
      <rPr>
        <b val="true"/>
        <sz val="12"/>
        <color rgb="FF000000"/>
        <rFont val="Arial"/>
        <family val="2"/>
        <charset val="1"/>
      </rPr>
      <t>C</t>
    </r>
    <r>
      <rPr>
        <b val="true"/>
        <sz val="12"/>
        <color rgb="FF000000"/>
        <rFont val="Arial"/>
        <family val="2"/>
        <charset val="1"/>
      </rPr>
      <t>B High Frequency RMS Current</t>
    </r>
  </si>
  <si>
    <t>ICB_HFRMS</t>
  </si>
  <si>
    <r>
      <rPr>
        <b val="true"/>
        <sz val="12"/>
        <color rgb="FF000000"/>
        <rFont val="Arial"/>
        <family val="2"/>
        <charset val="1"/>
      </rPr>
      <t>C</t>
    </r>
    <r>
      <rPr>
        <b val="true"/>
        <sz val="12"/>
        <color rgb="FF000000"/>
        <rFont val="Arial"/>
        <family val="2"/>
        <charset val="1"/>
      </rPr>
      <t>B Total RMS Current</t>
    </r>
  </si>
  <si>
    <t>ICB_RMS</t>
  </si>
  <si>
    <r>
      <rPr>
        <b val="true"/>
        <sz val="12"/>
        <color rgb="FF000000"/>
        <rFont val="Arial"/>
        <family val="2"/>
        <charset val="1"/>
      </rPr>
      <t>Capacitance Used for C</t>
    </r>
    <r>
      <rPr>
        <b val="true"/>
        <vertAlign val="subscript"/>
        <sz val="12"/>
        <color rgb="FF000000"/>
        <rFont val="Arial"/>
        <family val="2"/>
        <charset val="1"/>
      </rPr>
      <t>A</t>
    </r>
    <r>
      <rPr>
        <b val="true"/>
        <vertAlign val="subscript"/>
        <sz val="12"/>
        <color rgb="FF000000"/>
        <rFont val="Arial"/>
        <family val="2"/>
        <charset val="1"/>
      </rPr>
      <t> and CB</t>
    </r>
  </si>
  <si>
    <r>
      <rPr>
        <b val="true"/>
        <sz val="12"/>
        <color rgb="FF000000"/>
        <rFont val="Arial"/>
        <family val="2"/>
        <charset val="1"/>
      </rPr>
      <t>ESR C</t>
    </r>
    <r>
      <rPr>
        <b val="true"/>
        <vertAlign val="subscript"/>
        <sz val="12"/>
        <color rgb="FF000000"/>
        <rFont val="Arial"/>
        <family val="2"/>
        <charset val="1"/>
      </rPr>
      <t>A</t>
    </r>
    <r>
      <rPr>
        <b val="true"/>
        <vertAlign val="subscript"/>
        <sz val="12"/>
        <color rgb="FF000000"/>
        <rFont val="Arial"/>
        <family val="2"/>
        <charset val="1"/>
      </rPr>
      <t> and CB</t>
    </r>
  </si>
  <si>
    <r>
      <rPr>
        <b val="true"/>
        <sz val="12"/>
        <color rgb="FF000000"/>
        <rFont val="Arial"/>
        <family val="2"/>
        <charset val="1"/>
      </rPr>
      <t>ESR</t>
    </r>
    <r>
      <rPr>
        <b val="true"/>
        <vertAlign val="subscript"/>
        <sz val="12"/>
        <color rgb="FF000000"/>
        <rFont val="Arial"/>
        <family val="2"/>
        <charset val="1"/>
      </rPr>
      <t>CA</t>
    </r>
    <r>
      <rPr>
        <b val="true"/>
        <vertAlign val="subscript"/>
        <sz val="12"/>
        <color rgb="FF000000"/>
        <rFont val="Arial"/>
        <family val="2"/>
        <charset val="1"/>
      </rPr>
      <t>=ESRCB</t>
    </r>
  </si>
  <si>
    <t>ohm</t>
  </si>
  <si>
    <r>
      <rPr>
        <b val="true"/>
        <sz val="12"/>
        <color rgb="FF000000"/>
        <rFont val="Arial"/>
        <family val="2"/>
        <charset val="1"/>
      </rPr>
      <t>Filter Inductor (L</t>
    </r>
    <r>
      <rPr>
        <b val="true"/>
        <sz val="12"/>
        <color rgb="FF000000"/>
        <rFont val="Arial"/>
        <family val="2"/>
        <charset val="1"/>
      </rPr>
      <t>1 ) </t>
    </r>
  </si>
  <si>
    <t>Equivalent DC Resistance</t>
  </si>
  <si>
    <t>DCR</t>
  </si>
  <si>
    <t>Fusable Resistor (RL)</t>
  </si>
  <si>
    <t>Select Standard Value</t>
  </si>
  <si>
    <t>RL</t>
  </si>
  <si>
    <r>
      <rPr>
        <b val="true"/>
        <sz val="12"/>
        <color rgb="FF000000"/>
        <rFont val="Arial"/>
        <family val="2"/>
        <charset val="1"/>
      </rPr>
      <t>Trickle Charge Resistor (R</t>
    </r>
    <r>
      <rPr>
        <b val="true"/>
        <sz val="12"/>
        <color rgb="FF000000"/>
        <rFont val="Arial"/>
        <family val="2"/>
        <charset val="1"/>
      </rPr>
      <t>T)</t>
    </r>
  </si>
  <si>
    <t>RT</t>
  </si>
  <si>
    <t>Calculate Power Dissipation</t>
  </si>
  <si>
    <t>PRT</t>
  </si>
  <si>
    <r>
      <rPr>
        <b val="true"/>
        <sz val="12"/>
        <color rgb="FF000000"/>
        <rFont val="Arial"/>
        <family val="2"/>
        <charset val="1"/>
      </rPr>
      <t>VDD Capacitor Selection (C</t>
    </r>
    <r>
      <rPr>
        <b val="true"/>
        <sz val="12"/>
        <color rgb="FF000000"/>
        <rFont val="Arial"/>
        <family val="2"/>
        <charset val="1"/>
      </rPr>
      <t>DD)</t>
    </r>
  </si>
  <si>
    <t>Desired Startup Time</t>
  </si>
  <si>
    <t>dtCDDS</t>
  </si>
  <si>
    <t>UCC28700 Start Current</t>
  </si>
  <si>
    <t>ISTART</t>
  </si>
  <si>
    <t>Voltage on VDD</t>
  </si>
  <si>
    <t>VVDD(on)</t>
  </si>
  <si>
    <t>Calculate </t>
  </si>
  <si>
    <t>CDD</t>
  </si>
  <si>
    <r>
      <rPr>
        <b val="true"/>
        <sz val="12"/>
        <color rgb="FF000000"/>
        <rFont val="Arial"/>
        <family val="2"/>
        <charset val="1"/>
      </rPr>
      <t>Current Sense Selection (R</t>
    </r>
    <r>
      <rPr>
        <b val="true"/>
        <sz val="12"/>
        <color rgb="FF000000"/>
        <rFont val="Arial"/>
        <family val="2"/>
        <charset val="1"/>
      </rPr>
      <t>CS)</t>
    </r>
  </si>
  <si>
    <t>Calculated</t>
  </si>
  <si>
    <t>RCS</t>
  </si>
  <si>
    <t>PRCS</t>
  </si>
  <si>
    <r>
      <rPr>
        <b val="true"/>
        <sz val="12"/>
        <color rgb="FF000000"/>
        <rFont val="Arial"/>
        <family val="2"/>
        <charset val="1"/>
      </rPr>
      <t>Select Output Diode (D</t>
    </r>
    <r>
      <rPr>
        <b val="true"/>
        <sz val="12"/>
        <color rgb="FF000000"/>
        <rFont val="Arial"/>
        <family val="2"/>
        <charset val="1"/>
      </rPr>
      <t>G)</t>
    </r>
  </si>
  <si>
    <t>Calculate Reverse Diode Voltage</t>
  </si>
  <si>
    <t>VRDG</t>
  </si>
  <si>
    <t>Peak Diode Current</t>
  </si>
  <si>
    <t>IDGPK</t>
  </si>
  <si>
    <t>Diode Forward Voltage Drop</t>
  </si>
  <si>
    <t>VFDG</t>
  </si>
  <si>
    <t>Diode Power Dissipation</t>
  </si>
  <si>
    <t>PDG</t>
  </si>
  <si>
    <r>
      <rPr>
        <b val="true"/>
        <sz val="12"/>
        <color rgb="FF000000"/>
        <rFont val="Arial"/>
        <family val="2"/>
        <charset val="1"/>
      </rPr>
      <t>Select Output Capacitor (C</t>
    </r>
    <r>
      <rPr>
        <b val="true"/>
        <sz val="12"/>
        <color rgb="FF000000"/>
        <rFont val="Arial"/>
        <family val="2"/>
        <charset val="1"/>
      </rPr>
      <t>OUT)</t>
    </r>
  </si>
  <si>
    <t>Minimum Output Capacitance</t>
  </si>
  <si>
    <t>COUT</t>
  </si>
  <si>
    <t>Output Capacitance ESR</t>
  </si>
  <si>
    <t>ESRCOUT</t>
  </si>
  <si>
    <t>Output Capacitor RMS Current</t>
  </si>
  <si>
    <t>ICOUT_RMS</t>
  </si>
  <si>
    <t>PCOUT</t>
  </si>
  <si>
    <t>Select FET (QA)</t>
  </si>
  <si>
    <t>FET on Resistance</t>
  </si>
  <si>
    <t>RDSON</t>
  </si>
  <si>
    <t>Average COSS</t>
  </si>
  <si>
    <t>COSS</t>
  </si>
  <si>
    <t>Maximum Drain Voltage</t>
  </si>
  <si>
    <t>VDSMAX</t>
  </si>
  <si>
    <t>FET Drive Current</t>
  </si>
  <si>
    <t>IDRV</t>
  </si>
  <si>
    <t>Gate Charge</t>
  </si>
  <si>
    <t>Qg</t>
  </si>
  <si>
    <t>C</t>
  </si>
  <si>
    <t>Drain to Source Rise Time</t>
  </si>
  <si>
    <t>tr</t>
  </si>
  <si>
    <t>Voltage Driving the FET's Gate</t>
  </si>
  <si>
    <t>Vg</t>
  </si>
  <si>
    <t>Gate Charge @ Vg</t>
  </si>
  <si>
    <t>Qg1</t>
  </si>
  <si>
    <t>Power Dissipated by the Gate</t>
  </si>
  <si>
    <t>Pg</t>
  </si>
  <si>
    <t>Average Input to the Flyback</t>
  </si>
  <si>
    <t>VFLY</t>
  </si>
  <si>
    <t>Estimate FET Switching Loss</t>
  </si>
  <si>
    <t>PSW</t>
  </si>
  <si>
    <t>Effective Coss</t>
  </si>
  <si>
    <t>Coss Power Dissipation</t>
  </si>
  <si>
    <t>Pcoss</t>
  </si>
  <si>
    <r>
      <rPr>
        <b val="true"/>
        <sz val="12"/>
        <rFont val="Arial"/>
        <family val="2"/>
        <charset val="1"/>
      </rPr>
      <t>R</t>
    </r>
    <r>
      <rPr>
        <b val="true"/>
        <sz val="12"/>
        <rFont val="Arial"/>
        <family val="2"/>
        <charset val="1"/>
      </rPr>
      <t>DSON Loss</t>
    </r>
  </si>
  <si>
    <t>PRDSON</t>
  </si>
  <si>
    <t>Estimated Total FET Loss</t>
  </si>
  <si>
    <t>PQA</t>
  </si>
  <si>
    <t>Setup Zener Clamp</t>
  </si>
  <si>
    <t>Zener Diode Voltage</t>
  </si>
  <si>
    <t>VZ</t>
  </si>
  <si>
    <t>Clamp Voltage</t>
  </si>
  <si>
    <t>VCLAMP</t>
  </si>
  <si>
    <t>Clamp Resistor</t>
  </si>
  <si>
    <t>RS</t>
  </si>
  <si>
    <t>Estimate Zener Clamp/Leakage Dissipation</t>
  </si>
  <si>
    <t>PLLK</t>
  </si>
  <si>
    <t>Select VS Voltage Divider</t>
  </si>
  <si>
    <t>VS Line Sense Run Current</t>
  </si>
  <si>
    <t>IVSL(run)</t>
  </si>
  <si>
    <t>RS1</t>
  </si>
  <si>
    <t>Select Standard Resistor</t>
  </si>
  <si>
    <t>RS2</t>
  </si>
  <si>
    <t>  </t>
  </si>
  <si>
    <t>Calculate VS Power Dissipation</t>
  </si>
  <si>
    <t>PVS</t>
  </si>
  <si>
    <r>
      <rPr>
        <b val="true"/>
        <sz val="12"/>
        <color rgb="FF000000"/>
        <rFont val="Arial"/>
        <family val="2"/>
        <charset val="1"/>
      </rPr>
      <t>Select Auxiliary Diode (D</t>
    </r>
    <r>
      <rPr>
        <b val="true"/>
        <sz val="12"/>
        <color rgb="FF000000"/>
        <rFont val="Arial"/>
        <family val="2"/>
        <charset val="1"/>
      </rPr>
      <t>E)</t>
    </r>
  </si>
  <si>
    <t>Forward Voltage Drop</t>
  </si>
  <si>
    <t>VDD</t>
  </si>
  <si>
    <t>Diode Reverse Voltage</t>
  </si>
  <si>
    <t>VRDE</t>
  </si>
  <si>
    <t>Estimated UCC28700 VDD Current</t>
  </si>
  <si>
    <t>IDD</t>
  </si>
  <si>
    <r>
      <rPr>
        <b val="true"/>
        <sz val="12"/>
        <color rgb="FF000000"/>
        <rFont val="Arial"/>
        <family val="2"/>
        <charset val="1"/>
      </rPr>
      <t>Calculate D</t>
    </r>
    <r>
      <rPr>
        <b val="true"/>
        <sz val="12"/>
        <color rgb="FF000000"/>
        <rFont val="Arial"/>
        <family val="2"/>
        <charset val="1"/>
      </rPr>
      <t>E Power Dissipation</t>
    </r>
  </si>
  <si>
    <t>PDE</t>
  </si>
  <si>
    <r>
      <rPr>
        <b val="true"/>
        <sz val="12"/>
        <color rgb="FF000000"/>
        <rFont val="Arial"/>
        <family val="2"/>
        <charset val="1"/>
      </rPr>
      <t>Preload Resistance Selection (R</t>
    </r>
    <r>
      <rPr>
        <b val="true"/>
        <sz val="12"/>
        <color rgb="FF000000"/>
        <rFont val="Arial"/>
        <family val="2"/>
        <charset val="1"/>
      </rPr>
      <t>LC)</t>
    </r>
  </si>
  <si>
    <t>RZ</t>
  </si>
  <si>
    <t>Power Dissipated by RZ</t>
  </si>
  <si>
    <t>PRZ</t>
  </si>
  <si>
    <t>Select RLC</t>
  </si>
  <si>
    <t>RLC</t>
  </si>
  <si>
    <t>Select/Adjust with Standard Values</t>
  </si>
  <si>
    <t>Estimate No Load Input Power</t>
  </si>
  <si>
    <t>Estimated Gate Losses</t>
  </si>
  <si>
    <t>PVDD</t>
  </si>
  <si>
    <t>Estimated Switching Losses</t>
  </si>
  <si>
    <t>Estimated Coss Losses</t>
  </si>
  <si>
    <t>PCOSS</t>
  </si>
  <si>
    <t>Estimated Loss From Clamp</t>
  </si>
  <si>
    <t>PLK</t>
  </si>
  <si>
    <t>PNL</t>
  </si>
  <si>
    <t>Power Supply Specifications (Requirements)</t>
  </si>
  <si>
    <t>Minimum Input Voltage</t>
  </si>
  <si>
    <t>Maximum Input Voltage</t>
  </si>
  <si>
    <t>SMPS Outputs</t>
  </si>
  <si>
    <t>SMPS IC Supply (24VSMPS)</t>
  </si>
  <si>
    <t>3mA+</t>
  </si>
  <si>
    <t>Isolated Supply for SPM (18.0VSPM)</t>
  </si>
  <si>
    <t>Isolated Supply for 24V logic (27.0VE)</t>
  </si>
  <si>
    <t>Isolated Supply for 5V logic (8.0VE)</t>
  </si>
  <si>
    <t>how much required</t>
  </si>
  <si>
    <t>Isolated Supply for 12V relay and fan (12.0VD)</t>
  </si>
  <si>
    <t>Isolated Supply for controller (8.0VD)</t>
  </si>
  <si>
    <t>Total Power</t>
  </si>
  <si>
    <t>Round Off Power</t>
  </si>
  <si>
    <t>Ref. SLUA653B from Texas Instruments </t>
  </si>
  <si>
    <t>Inputs</t>
  </si>
  <si>
    <t>Parameters</t>
  </si>
  <si>
    <t>Value</t>
  </si>
  <si>
    <t>Minimum Input Voltage (Vinmin)</t>
  </si>
  <si>
    <t>VDC</t>
  </si>
  <si>
    <t>Maximum Input Voltage (Vinmax)</t>
  </si>
  <si>
    <t>Power Output (Po)</t>
  </si>
  <si>
    <t>Watts</t>
  </si>
  <si>
    <t>Efficiency (ƞ)</t>
  </si>
  <si>
    <t>-</t>
  </si>
  <si>
    <t>Maximum Switching Freq. (Fs)</t>
  </si>
  <si>
    <t>Calculations</t>
  </si>
  <si>
    <t>Transformer Demagnetizing duty cycle (Dmag)</t>
  </si>
  <si>
    <t>Value provided in UCC28700 datasheet</t>
  </si>
  <si>
    <t>Estimated Resonant Period (Tr)</t>
  </si>
  <si>
    <t>sec</t>
  </si>
  <si>
    <t>Maximum Duty Cycle (Dmax)</t>
  </si>
  <si>
    <t>Peak Primary Current (Ippk)</t>
  </si>
  <si>
    <t>Ampere</t>
  </si>
  <si>
    <t>Primary RMS current (Iprms)</t>
  </si>
  <si>
    <t>Current sense pin max. voltage</t>
  </si>
  <si>
    <t>Volts</t>
  </si>
  <si>
    <t>Current sense resistor required</t>
  </si>
  <si>
    <t>Ω</t>
  </si>
  <si>
    <t>Current sense resistor selected (Rcs)</t>
  </si>
  <si>
    <t>Power dissipation in Rcs</t>
  </si>
  <si>
    <t>Primary Magnetizing inductance (Lpm)</t>
  </si>
  <si>
    <t>Henry</t>
  </si>
  <si>
    <t>Output / Auxiliary voltage</t>
  </si>
  <si>
    <t>Rectifier diode drop (Vd)</t>
  </si>
  <si>
    <t>Turns ration b/w primary and auxiliary (a1)</t>
  </si>
  <si>
    <t>Transformer Winding</t>
  </si>
  <si>
    <t>Core ETD 34x17x11</t>
  </si>
  <si>
    <t>Core cross-sectional area (Ac)</t>
  </si>
  <si>
    <t>sq.mm</t>
  </si>
  <si>
    <t>Saturation Flux Density (Bsat)</t>
  </si>
  <si>
    <t>Tesla</t>
  </si>
  <si>
    <t>Minimum primary turns (Npmin)</t>
  </si>
  <si>
    <t>Selected Primary turns (Np)</t>
  </si>
  <si>
    <t>Air gap required on each cut (Lg)</t>
  </si>
  <si>
    <t>mm</t>
  </si>
  <si>
    <t>Reflected output voltage (Vro)</t>
  </si>
  <si>
    <t>Turns in auxiliary winding (Ns1)</t>
  </si>
  <si>
    <t>Turns for secondary at 27V</t>
  </si>
  <si>
    <t>Selected turns for secondary at 27V</t>
  </si>
  <si>
    <t>Selected turns for secondary at 18</t>
  </si>
  <si>
    <t>Selected turns for secondary at 12</t>
  </si>
  <si>
    <t>Selected turns for secondary at 15</t>
  </si>
  <si>
    <t>K = Iprms*Vro*sqrt((1-Dmax)/Dmax)</t>
  </si>
  <si>
    <t>Isec(n)_rms = K * KL(n)/(Vo(n)+Vf)</t>
  </si>
  <si>
    <t>Cross-sectional area of SWG30</t>
  </si>
  <si>
    <t>Parameter</t>
  </si>
  <si>
    <t>Voltage</t>
  </si>
  <si>
    <t>Current</t>
  </si>
  <si>
    <t>Power</t>
  </si>
  <si>
    <t>Load occupying factor KL(n)</t>
  </si>
  <si>
    <t>Isec_rms</t>
  </si>
  <si>
    <t>Cond. Area</t>
  </si>
  <si>
    <t>Turns</t>
  </si>
  <si>
    <t>Turns *Area</t>
  </si>
  <si>
    <t>Strands</t>
  </si>
  <si>
    <t>Isolated Supply for 5V logic (15.0VE)</t>
  </si>
  <si>
    <t>Primary Winding</t>
  </si>
  <si>
    <t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</si>
</sst>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/D/YYYY"/>
    <numFmt numFmtId="166" formatCode="0.00E+00"/>
    <numFmt numFmtId="167" formatCode="0.0"/>
    <numFmt numFmtId="168" formatCode="0%"/>
    <numFmt numFmtId="169" formatCode="0.00"/>
    <numFmt numFmtId="170" formatCode="0.000"/>
    <numFmt numFmtId="171" formatCode="0.0%"/>
    <numFmt numFmtId="172" formatCode="0"/>
    <numFmt numFmtId="173" formatCode="0.000E+00"/>
    <numFmt numFmtId="174" formatCode="#,##0.00"/>
    <numFmt numFmtId="175" formatCode="#,##0.000"/>
    <numFmt numFmtId="176" formatCode="0.0E+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0000"/>
      <name val="Arial"/>
      <family val="2"/>
      <charset val="1"/>
    </font>
    <font>
      <sz val="2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vertAlign val="subscript"/>
      <sz val="12"/>
      <color rgb="FF000000"/>
      <name val="Arial"/>
      <family val="2"/>
      <charset val="1"/>
    </font>
    <font>
      <b val="true"/>
      <vertAlign val="subscript"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333399"/>
        <bgColor rgb="FF00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6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273960</xdr:colOff>
      <xdr:row>0</xdr:row>
      <xdr:rowOff>153360</xdr:rowOff>
    </xdr:from>
    <xdr:to>
      <xdr:col>21</xdr:col>
      <xdr:colOff>196200</xdr:colOff>
      <xdr:row>36</xdr:row>
      <xdr:rowOff>76320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273960" y="153360"/>
          <a:ext cx="12523680" cy="6780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113040</xdr:colOff>
      <xdr:row>92</xdr:row>
      <xdr:rowOff>203040</xdr:rowOff>
    </xdr:from>
    <xdr:to>
      <xdr:col>16</xdr:col>
      <xdr:colOff>591120</xdr:colOff>
      <xdr:row>115</xdr:row>
      <xdr:rowOff>172440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523200" y="20738880"/>
          <a:ext cx="8412480" cy="5398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RowHeight="15"/>
  <cols>
    <col collapsed="false" hidden="false" max="1025" min="1" style="0" width="8.50510204081633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25.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25.5" hidden="false" customHeight="true" outlineLevel="0" collapsed="false">
      <c r="A6" s="4"/>
      <c r="B6" s="3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25.5" hidden="false" customHeight="true" outlineLevel="0" collapsed="false">
      <c r="A7" s="4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25.5" hidden="false" customHeight="true" outlineLevel="0" collapsed="false">
      <c r="A8" s="4"/>
      <c r="B8" s="3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5.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5.5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25.5" hidden="false" customHeight="true" outlineLevel="0" collapsed="false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5.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customFormat="false" ht="25.5" hidden="false" customHeight="true" outlineLevel="0" collapsed="false">
      <c r="A13" s="5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Format="false" ht="25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customFormat="false" ht="47.25" hidden="false" customHeight="true" outlineLevel="0" collapsed="false">
      <c r="A15" s="5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customFormat="false" ht="25.5" hidden="false" customHeight="true" outlineLevel="0" collapsed="false">
      <c r="A16" s="5" t="s">
        <v>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customFormat="false" ht="25.5" hidden="false" customHeight="true" outlineLevel="0" collapsed="false">
      <c r="A17" s="5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customFormat="false" ht="25.5" hidden="false" customHeight="true" outlineLevel="0" collapsed="false">
      <c r="A18" s="5" t="s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customFormat="false" ht="25.5" hidden="false" customHeight="true" outlineLevel="0" collapsed="false">
      <c r="A19" s="5" t="s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customFormat="false" ht="25.5" hidden="false" customHeight="true" outlineLevel="0" collapsed="false">
      <c r="A20" s="5" t="s">
        <v>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</sheetData>
  <mergeCells count="15">
    <mergeCell ref="A1:N1"/>
    <mergeCell ref="A2:N2"/>
    <mergeCell ref="A3:N3"/>
    <mergeCell ref="A4:N4"/>
    <mergeCell ref="B6:N6"/>
    <mergeCell ref="B7:N7"/>
    <mergeCell ref="B8:N8"/>
    <mergeCell ref="A11:N11"/>
    <mergeCell ref="A13:N13"/>
    <mergeCell ref="A15:N15"/>
    <mergeCell ref="A16:N16"/>
    <mergeCell ref="A17:N17"/>
    <mergeCell ref="A18:N18"/>
    <mergeCell ref="A19:N19"/>
    <mergeCell ref="A20:N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W20" activeCellId="0" sqref="W20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1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58" activeCellId="0" sqref="C58"/>
    </sheetView>
  </sheetViews>
  <sheetFormatPr defaultRowHeight="15.75"/>
  <cols>
    <col collapsed="false" hidden="false" max="1" min="1" style="7" width="50.3520408163265"/>
    <col collapsed="false" hidden="false" max="2" min="2" style="7" width="16.0663265306122"/>
    <col collapsed="false" hidden="false" max="3" min="3" style="7" width="12.2857142857143"/>
    <col collapsed="false" hidden="false" max="4" min="4" style="7" width="12.1479591836735"/>
    <col collapsed="false" hidden="false" max="5" min="5" style="7" width="12.9591836734694"/>
    <col collapsed="false" hidden="false" max="257" min="6" style="7" width="9.04591836734694"/>
    <col collapsed="false" hidden="false" max="1025" min="258" style="0" width="9.04591836734694"/>
  </cols>
  <sheetData>
    <row r="1" customFormat="false" ht="15.75" hidden="false" customHeight="true" outlineLevel="0" collapsed="false">
      <c r="A1" s="8" t="s">
        <v>15</v>
      </c>
      <c r="B1" s="8"/>
      <c r="C1" s="8"/>
      <c r="D1" s="8"/>
      <c r="E1" s="8"/>
    </row>
    <row r="2" customFormat="false" ht="15.75" hidden="false" customHeight="true" outlineLevel="0" collapsed="false">
      <c r="A2" s="8" t="s">
        <v>16</v>
      </c>
      <c r="B2" s="9" t="n">
        <v>41239</v>
      </c>
      <c r="C2" s="8"/>
      <c r="D2" s="8"/>
      <c r="E2" s="8"/>
    </row>
    <row r="3" customFormat="false" ht="15.75" hidden="false" customHeight="true" outlineLevel="0" collapsed="false">
      <c r="A3" s="8"/>
      <c r="B3" s="9"/>
      <c r="C3" s="8"/>
      <c r="D3" s="8"/>
      <c r="E3" s="8"/>
    </row>
    <row r="4" customFormat="false" ht="15.75" hidden="false" customHeight="true" outlineLevel="0" collapsed="false">
      <c r="A4" s="10" t="s">
        <v>17</v>
      </c>
      <c r="B4" s="11"/>
      <c r="C4" s="10"/>
      <c r="D4" s="10"/>
      <c r="E4" s="10"/>
    </row>
    <row r="5" customFormat="false" ht="15.75" hidden="false" customHeight="true" outlineLevel="0" collapsed="false">
      <c r="A5" s="10" t="s">
        <v>18</v>
      </c>
      <c r="B5" s="11"/>
      <c r="C5" s="10"/>
      <c r="D5" s="10"/>
      <c r="E5" s="10"/>
    </row>
    <row r="6" customFormat="false" ht="15.75" hidden="false" customHeight="true" outlineLevel="0" collapsed="false">
      <c r="A6" s="12" t="s">
        <v>19</v>
      </c>
      <c r="B6" s="13"/>
      <c r="C6" s="12"/>
      <c r="D6" s="12"/>
      <c r="E6" s="12"/>
    </row>
    <row r="7" customFormat="false" ht="15.75" hidden="false" customHeight="true" outlineLevel="0" collapsed="false">
      <c r="A7" s="14" t="s">
        <v>20</v>
      </c>
      <c r="B7" s="15"/>
      <c r="C7" s="14"/>
      <c r="D7" s="14"/>
      <c r="E7" s="14"/>
    </row>
    <row r="8" customFormat="false" ht="15.75" hidden="false" customHeight="true" outlineLevel="0" collapsed="false">
      <c r="A8" s="14" t="s">
        <v>21</v>
      </c>
      <c r="B8" s="15"/>
      <c r="C8" s="14"/>
      <c r="D8" s="14"/>
      <c r="E8" s="14"/>
    </row>
    <row r="9" customFormat="false" ht="15.75" hidden="false" customHeight="true" outlineLevel="0" collapsed="false">
      <c r="A9" s="14" t="s">
        <v>22</v>
      </c>
      <c r="B9" s="15"/>
      <c r="C9" s="14"/>
      <c r="D9" s="14"/>
      <c r="E9" s="14"/>
    </row>
    <row r="10" customFormat="false" ht="15.75" hidden="false" customHeight="true" outlineLevel="0" collapsed="false">
      <c r="A10" s="14" t="s">
        <v>23</v>
      </c>
      <c r="B10" s="15"/>
      <c r="C10" s="14"/>
      <c r="D10" s="14"/>
      <c r="E10" s="14"/>
    </row>
    <row r="11" customFormat="false" ht="15.75" hidden="false" customHeight="true" outlineLevel="0" collapsed="false">
      <c r="A11" s="8" t="s">
        <v>24</v>
      </c>
      <c r="B11" s="8"/>
      <c r="C11" s="8"/>
      <c r="D11" s="8"/>
      <c r="E11" s="8"/>
    </row>
    <row r="12" customFormat="false" ht="15.75" hidden="false" customHeight="true" outlineLevel="0" collapsed="false">
      <c r="A12" s="8" t="s">
        <v>25</v>
      </c>
      <c r="B12" s="8" t="s">
        <v>26</v>
      </c>
      <c r="C12" s="8" t="s">
        <v>27</v>
      </c>
      <c r="D12" s="8" t="s">
        <v>28</v>
      </c>
      <c r="E12" s="8" t="s">
        <v>29</v>
      </c>
    </row>
    <row r="13" customFormat="false" ht="15.75" hidden="false" customHeight="true" outlineLevel="0" collapsed="false">
      <c r="A13" s="8" t="s">
        <v>30</v>
      </c>
      <c r="B13" s="16" t="n">
        <v>300</v>
      </c>
      <c r="C13" s="16" t="n">
        <v>560</v>
      </c>
      <c r="D13" s="16" t="n">
        <v>900</v>
      </c>
      <c r="E13" s="8" t="s">
        <v>31</v>
      </c>
    </row>
    <row r="14" customFormat="false" ht="15.75" hidden="false" customHeight="true" outlineLevel="0" collapsed="false">
      <c r="A14" s="8" t="s">
        <v>32</v>
      </c>
      <c r="B14" s="16" t="n">
        <v>24</v>
      </c>
      <c r="C14" s="16" t="n">
        <v>25</v>
      </c>
      <c r="D14" s="16" t="n">
        <v>26</v>
      </c>
      <c r="E14" s="8" t="s">
        <v>31</v>
      </c>
    </row>
    <row r="15" customFormat="false" ht="15.75" hidden="false" customHeight="true" outlineLevel="0" collapsed="false">
      <c r="A15" s="8" t="s">
        <v>33</v>
      </c>
      <c r="B15" s="17" t="s">
        <v>34</v>
      </c>
      <c r="C15" s="17" t="s">
        <v>34</v>
      </c>
      <c r="D15" s="18" t="n">
        <v>0.1</v>
      </c>
      <c r="E15" s="8" t="s">
        <v>31</v>
      </c>
    </row>
    <row r="16" customFormat="false" ht="15.75" hidden="false" customHeight="true" outlineLevel="0" collapsed="false">
      <c r="A16" s="19" t="s">
        <v>35</v>
      </c>
      <c r="B16" s="8"/>
      <c r="C16" s="8"/>
      <c r="D16" s="18" t="n">
        <v>0.24</v>
      </c>
      <c r="E16" s="8" t="s">
        <v>36</v>
      </c>
    </row>
    <row r="17" customFormat="false" ht="38.25" hidden="false" customHeight="true" outlineLevel="0" collapsed="false">
      <c r="A17" s="19" t="s">
        <v>37</v>
      </c>
      <c r="B17" s="16" t="n">
        <v>24</v>
      </c>
      <c r="C17" s="8"/>
      <c r="D17" s="20" t="n">
        <v>26</v>
      </c>
      <c r="E17" s="8" t="s">
        <v>31</v>
      </c>
    </row>
    <row r="18" customFormat="false" ht="15.75" hidden="false" customHeight="true" outlineLevel="0" collapsed="false">
      <c r="A18" s="19" t="s">
        <v>38</v>
      </c>
      <c r="B18" s="8"/>
      <c r="C18" s="8"/>
      <c r="D18" s="16" t="n">
        <v>0.6</v>
      </c>
      <c r="E18" s="8" t="s">
        <v>39</v>
      </c>
    </row>
    <row r="19" customFormat="false" ht="15.75" hidden="false" customHeight="true" outlineLevel="0" collapsed="false">
      <c r="A19" s="19" t="s">
        <v>40</v>
      </c>
      <c r="B19" s="8"/>
      <c r="C19" s="8"/>
      <c r="D19" s="18" t="n">
        <v>100000</v>
      </c>
      <c r="E19" s="8" t="s">
        <v>41</v>
      </c>
    </row>
    <row r="20" customFormat="false" ht="15.75" hidden="false" customHeight="true" outlineLevel="0" collapsed="false">
      <c r="A20" s="19" t="s">
        <v>42</v>
      </c>
      <c r="B20" s="21" t="n">
        <v>0.8</v>
      </c>
      <c r="C20" s="22"/>
      <c r="D20" s="23" t="s">
        <v>34</v>
      </c>
      <c r="E20" s="8" t="s">
        <v>43</v>
      </c>
    </row>
    <row r="21" customFormat="false" ht="15.75" hidden="false" customHeight="true" outlineLevel="0" collapsed="false">
      <c r="A21" s="24"/>
      <c r="B21" s="24"/>
      <c r="C21" s="24"/>
      <c r="D21" s="24"/>
      <c r="E21" s="24"/>
    </row>
    <row r="22" customFormat="false" ht="15.75" hidden="false" customHeight="true" outlineLevel="0" collapsed="false">
      <c r="A22" s="25" t="s">
        <v>44</v>
      </c>
      <c r="B22" s="25"/>
      <c r="C22" s="25"/>
      <c r="D22" s="25"/>
      <c r="E22" s="0"/>
    </row>
    <row r="23" customFormat="false" ht="15.75" hidden="false" customHeight="true" outlineLevel="0" collapsed="false">
      <c r="A23" s="8" t="s">
        <v>25</v>
      </c>
      <c r="B23" s="8" t="s">
        <v>45</v>
      </c>
      <c r="C23" s="8"/>
      <c r="D23" s="8" t="s">
        <v>29</v>
      </c>
      <c r="E23" s="0"/>
    </row>
    <row r="24" customFormat="false" ht="18.75" hidden="false" customHeight="true" outlineLevel="0" collapsed="false">
      <c r="A24" s="8" t="s">
        <v>46</v>
      </c>
      <c r="B24" s="26" t="s">
        <v>47</v>
      </c>
      <c r="C24" s="27" t="n">
        <f aca="false">Vout*Iout</f>
        <v>15</v>
      </c>
      <c r="D24" s="28" t="s">
        <v>36</v>
      </c>
      <c r="E24" s="0"/>
    </row>
    <row r="25" customFormat="false" ht="18.75" hidden="false" customHeight="true" outlineLevel="0" collapsed="false">
      <c r="A25" s="8" t="s">
        <v>48</v>
      </c>
      <c r="B25" s="26" t="s">
        <v>49</v>
      </c>
      <c r="C25" s="27" t="n">
        <f aca="false">(Pout/Eff)-Pout</f>
        <v>3.75</v>
      </c>
      <c r="D25" s="28" t="s">
        <v>36</v>
      </c>
      <c r="E25" s="0"/>
    </row>
    <row r="26" customFormat="false" ht="18.75" hidden="false" customHeight="true" outlineLevel="0" collapsed="false">
      <c r="A26" s="29" t="s">
        <v>50</v>
      </c>
      <c r="B26" s="25"/>
      <c r="C26" s="25"/>
      <c r="D26" s="25"/>
      <c r="E26" s="0"/>
    </row>
    <row r="27" customFormat="false" ht="38.25" hidden="false" customHeight="true" outlineLevel="0" collapsed="false">
      <c r="A27" s="30" t="s">
        <v>51</v>
      </c>
      <c r="B27" s="26" t="s">
        <v>52</v>
      </c>
      <c r="C27" s="31" t="n">
        <v>1</v>
      </c>
      <c r="D27" s="28" t="s">
        <v>31</v>
      </c>
      <c r="E27" s="0"/>
    </row>
    <row r="28" customFormat="false" ht="18.75" hidden="false" customHeight="true" outlineLevel="0" collapsed="false">
      <c r="A28" s="8" t="s">
        <v>53</v>
      </c>
      <c r="B28" s="26" t="s">
        <v>54</v>
      </c>
      <c r="C28" s="32" t="n">
        <f aca="false">(Pout/Eff)*(1/(Vinmin*(2/PI())*(2^0.5)))</f>
        <v>0.0694200459087245</v>
      </c>
      <c r="D28" s="28" t="s">
        <v>39</v>
      </c>
      <c r="E28" s="0"/>
    </row>
    <row r="29" customFormat="false" ht="18.75" hidden="false" customHeight="true" outlineLevel="0" collapsed="false">
      <c r="A29" s="8" t="s">
        <v>55</v>
      </c>
      <c r="B29" s="26" t="s">
        <v>56</v>
      </c>
      <c r="C29" s="32" t="n">
        <f aca="false">Vfda*ida</f>
        <v>0.0694200459087245</v>
      </c>
      <c r="D29" s="28" t="s">
        <v>36</v>
      </c>
      <c r="E29" s="0"/>
    </row>
    <row r="30" customFormat="false" ht="18.75" hidden="false" customHeight="true" outlineLevel="0" collapsed="false">
      <c r="A30" s="8" t="s">
        <v>57</v>
      </c>
      <c r="B30" s="26" t="s">
        <v>49</v>
      </c>
      <c r="C30" s="27" t="n">
        <f aca="false">C25-2*Pda</f>
        <v>3.61115990818255</v>
      </c>
      <c r="D30" s="28" t="s">
        <v>36</v>
      </c>
      <c r="E30" s="0"/>
    </row>
    <row r="31" customFormat="false" ht="15.75" hidden="false" customHeight="true" outlineLevel="0" collapsed="false">
      <c r="A31" s="33" t="s">
        <v>58</v>
      </c>
      <c r="B31" s="25"/>
      <c r="C31" s="25"/>
      <c r="D31" s="25"/>
      <c r="E31" s="0"/>
    </row>
    <row r="32" customFormat="false" ht="18.75" hidden="false" customHeight="true" outlineLevel="0" collapsed="false">
      <c r="A32" s="8" t="s">
        <v>59</v>
      </c>
      <c r="B32" s="26" t="s">
        <v>60</v>
      </c>
      <c r="C32" s="34" t="n">
        <v>0.425</v>
      </c>
      <c r="D32" s="28" t="s">
        <v>34</v>
      </c>
      <c r="E32" s="0"/>
    </row>
    <row r="33" customFormat="false" ht="18.75" hidden="false" customHeight="true" outlineLevel="0" collapsed="false">
      <c r="A33" s="28" t="s">
        <v>61</v>
      </c>
      <c r="B33" s="26" t="s">
        <v>62</v>
      </c>
      <c r="C33" s="35" t="n">
        <v>2E-006</v>
      </c>
      <c r="D33" s="28" t="s">
        <v>63</v>
      </c>
      <c r="E33" s="0"/>
    </row>
    <row r="34" customFormat="false" ht="18.75" hidden="false" customHeight="true" outlineLevel="0" collapsed="false">
      <c r="A34" s="8" t="s">
        <v>64</v>
      </c>
      <c r="B34" s="26" t="s">
        <v>65</v>
      </c>
      <c r="C34" s="34" t="n">
        <f aca="false">1-Dmag-fmax*Tr/2</f>
        <v>0.475</v>
      </c>
      <c r="D34" s="28" t="s">
        <v>34</v>
      </c>
      <c r="E34" s="0"/>
    </row>
    <row r="35" customFormat="false" ht="18.75" hidden="false" customHeight="true" outlineLevel="0" collapsed="false">
      <c r="A35" s="8" t="s">
        <v>66</v>
      </c>
      <c r="B35" s="26" t="s">
        <v>67</v>
      </c>
      <c r="C35" s="35" t="n">
        <f aca="false">(Pout*2/(Eff*Vinmin*1.414*0.6*Dmax))</f>
        <v>0.310181394079258</v>
      </c>
      <c r="D35" s="28" t="s">
        <v>39</v>
      </c>
      <c r="E35" s="36" t="s">
        <v>34</v>
      </c>
    </row>
    <row r="36" customFormat="false" ht="18.75" hidden="false" customHeight="true" outlineLevel="0" collapsed="false">
      <c r="A36" s="8" t="s">
        <v>68</v>
      </c>
      <c r="B36" s="26" t="s">
        <v>69</v>
      </c>
      <c r="C36" s="35" t="n">
        <f aca="false">2*(Pout/(Eff*Ippk^2*fmax))</f>
        <v>0.0038976225624</v>
      </c>
      <c r="D36" s="28" t="s">
        <v>70</v>
      </c>
      <c r="E36" s="0"/>
    </row>
    <row r="37" customFormat="false" ht="18.75" hidden="false" customHeight="true" outlineLevel="0" collapsed="false">
      <c r="A37" s="8" t="s">
        <v>71</v>
      </c>
      <c r="B37" s="26" t="s">
        <v>72</v>
      </c>
      <c r="C37" s="31" t="n">
        <v>0.3</v>
      </c>
      <c r="D37" s="28" t="s">
        <v>31</v>
      </c>
      <c r="E37" s="0"/>
    </row>
    <row r="38" customFormat="false" ht="18.75" hidden="false" customHeight="true" outlineLevel="0" collapsed="false">
      <c r="A38" s="37" t="s">
        <v>73</v>
      </c>
      <c r="B38" s="26" t="s">
        <v>74</v>
      </c>
      <c r="C38" s="38" t="n">
        <v>0.75</v>
      </c>
      <c r="D38" s="28" t="s">
        <v>31</v>
      </c>
      <c r="E38" s="0"/>
    </row>
    <row r="39" customFormat="false" ht="18.75" hidden="false" customHeight="true" outlineLevel="0" collapsed="false">
      <c r="A39" s="37" t="s">
        <v>75</v>
      </c>
      <c r="B39" s="26" t="s">
        <v>76</v>
      </c>
      <c r="C39" s="31" t="n">
        <v>1</v>
      </c>
      <c r="D39" s="28" t="s">
        <v>31</v>
      </c>
      <c r="E39" s="0"/>
    </row>
    <row r="40" customFormat="false" ht="18.75" hidden="false" customHeight="true" outlineLevel="0" collapsed="false">
      <c r="A40" s="37" t="s">
        <v>77</v>
      </c>
      <c r="B40" s="28" t="s">
        <v>78</v>
      </c>
      <c r="C40" s="27" t="n">
        <f aca="false">(Dmax*(Vinmin*(2^0.5)*0.6-Vqaon-Vrcs))/(Dmag*(Vout+Vdg))</f>
        <v>10.8974216817104</v>
      </c>
      <c r="D40" s="28" t="s">
        <v>34</v>
      </c>
      <c r="E40" s="0"/>
    </row>
    <row r="41" customFormat="false" ht="18.75" hidden="false" customHeight="true" outlineLevel="0" collapsed="false">
      <c r="A41" s="37" t="s">
        <v>79</v>
      </c>
      <c r="B41" s="26" t="s">
        <v>80</v>
      </c>
      <c r="C41" s="39" t="n">
        <v>8</v>
      </c>
      <c r="D41" s="28" t="s">
        <v>31</v>
      </c>
      <c r="E41" s="0"/>
    </row>
    <row r="42" customFormat="false" ht="18.75" hidden="false" customHeight="true" outlineLevel="0" collapsed="false">
      <c r="A42" s="37" t="s">
        <v>81</v>
      </c>
      <c r="B42" s="26" t="s">
        <v>82</v>
      </c>
      <c r="C42" s="31" t="n">
        <v>0.3</v>
      </c>
      <c r="D42" s="28" t="s">
        <v>31</v>
      </c>
      <c r="E42" s="0"/>
    </row>
    <row r="43" customFormat="false" ht="18.75" hidden="false" customHeight="true" outlineLevel="0" collapsed="false">
      <c r="A43" s="8" t="s">
        <v>83</v>
      </c>
      <c r="B43" s="26" t="s">
        <v>84</v>
      </c>
      <c r="C43" s="31" t="n">
        <v>15</v>
      </c>
      <c r="D43" s="28" t="s">
        <v>31</v>
      </c>
      <c r="E43" s="0"/>
    </row>
    <row r="44" customFormat="false" ht="18.75" hidden="true" customHeight="true" outlineLevel="0" collapsed="false">
      <c r="A44" s="8" t="s">
        <v>46</v>
      </c>
      <c r="B44" s="26" t="s">
        <v>47</v>
      </c>
      <c r="C44" s="27" t="n">
        <f aca="false">Vout*Iout</f>
        <v>15</v>
      </c>
      <c r="D44" s="28" t="s">
        <v>36</v>
      </c>
      <c r="E44" s="0"/>
    </row>
    <row r="45" customFormat="false" ht="18.75" hidden="false" customHeight="true" outlineLevel="0" collapsed="false">
      <c r="A45" s="37" t="s">
        <v>85</v>
      </c>
      <c r="B45" s="28" t="s">
        <v>86</v>
      </c>
      <c r="C45" s="27" t="n">
        <f aca="false">(Vddmin+Vde)/(Vout_init+Vdg)</f>
        <v>0.51875</v>
      </c>
      <c r="D45" s="28" t="s">
        <v>34</v>
      </c>
      <c r="E45" s="0"/>
    </row>
    <row r="46" customFormat="false" ht="18.75" hidden="false" customHeight="true" outlineLevel="0" collapsed="false">
      <c r="A46" s="8" t="s">
        <v>87</v>
      </c>
      <c r="B46" s="26" t="s">
        <v>88</v>
      </c>
      <c r="C46" s="40" t="n">
        <f aca="false">Ippk*(Dmax/3)^0.5</f>
        <v>0.12342465472999</v>
      </c>
      <c r="D46" s="28" t="s">
        <v>39</v>
      </c>
      <c r="E46" s="0"/>
    </row>
    <row r="47" customFormat="false" ht="18.75" hidden="false" customHeight="true" outlineLevel="0" collapsed="false">
      <c r="A47" s="8" t="s">
        <v>89</v>
      </c>
      <c r="B47" s="26" t="s">
        <v>90</v>
      </c>
      <c r="C47" s="41" t="n">
        <f aca="false">(Pout*2)/(Vout*Dmag)</f>
        <v>2.82352941176471</v>
      </c>
      <c r="D47" s="28" t="s">
        <v>39</v>
      </c>
      <c r="E47" s="0"/>
    </row>
    <row r="48" customFormat="false" ht="18.75" hidden="false" customHeight="true" outlineLevel="0" collapsed="false">
      <c r="A48" s="8" t="s">
        <v>91</v>
      </c>
      <c r="B48" s="26" t="s">
        <v>92</v>
      </c>
      <c r="C48" s="27" t="n">
        <f aca="false">Ispk*(Dmag/3)^0.5</f>
        <v>1.06273786264811</v>
      </c>
      <c r="D48" s="28" t="s">
        <v>39</v>
      </c>
      <c r="E48" s="0"/>
    </row>
    <row r="49" customFormat="false" ht="18.75" hidden="false" customHeight="true" outlineLevel="0" collapsed="false">
      <c r="A49" s="8" t="s">
        <v>93</v>
      </c>
      <c r="B49" s="26" t="s">
        <v>94</v>
      </c>
      <c r="C49" s="42" t="n">
        <v>0.05</v>
      </c>
      <c r="D49" s="28" t="s">
        <v>36</v>
      </c>
      <c r="E49" s="0"/>
    </row>
    <row r="50" customFormat="false" ht="18.75" hidden="false" customHeight="true" outlineLevel="0" collapsed="false">
      <c r="A50" s="8" t="s">
        <v>95</v>
      </c>
      <c r="B50" s="26" t="s">
        <v>96</v>
      </c>
      <c r="C50" s="43" t="n">
        <f aca="false">(Pic*2)/((Vout+Vdg)*C45*Dmag)</f>
        <v>0.0174453469988552</v>
      </c>
      <c r="D50" s="28" t="s">
        <v>39</v>
      </c>
      <c r="E50" s="0"/>
    </row>
    <row r="51" customFormat="false" ht="18.75" hidden="false" customHeight="true" outlineLevel="0" collapsed="false">
      <c r="A51" s="8" t="s">
        <v>97</v>
      </c>
      <c r="B51" s="26" t="s">
        <v>98</v>
      </c>
      <c r="C51" s="32" t="n">
        <f aca="false">Iapk*(Dmag/3)^0.5</f>
        <v>0.0065661900688793</v>
      </c>
      <c r="D51" s="28" t="s">
        <v>39</v>
      </c>
      <c r="E51" s="0"/>
    </row>
    <row r="52" customFormat="false" ht="18.75" hidden="false" customHeight="true" outlineLevel="0" collapsed="false">
      <c r="A52" s="8" t="s">
        <v>99</v>
      </c>
      <c r="B52" s="26" t="s">
        <v>100</v>
      </c>
      <c r="C52" s="32" t="n">
        <f aca="false">Pout*0.03</f>
        <v>0.45</v>
      </c>
      <c r="D52" s="28" t="s">
        <v>36</v>
      </c>
      <c r="E52" s="0"/>
    </row>
    <row r="53" customFormat="false" ht="18.75" hidden="false" customHeight="true" outlineLevel="0" collapsed="false">
      <c r="A53" s="8" t="s">
        <v>57</v>
      </c>
      <c r="B53" s="26" t="s">
        <v>49</v>
      </c>
      <c r="C53" s="27" t="n">
        <f aca="false">C30-C52</f>
        <v>3.16115990818255</v>
      </c>
      <c r="D53" s="28" t="s">
        <v>36</v>
      </c>
      <c r="E53" s="0"/>
    </row>
    <row r="54" customFormat="false" ht="18.75" hidden="false" customHeight="true" outlineLevel="0" collapsed="false">
      <c r="A54" s="37" t="s">
        <v>101</v>
      </c>
      <c r="B54" s="28" t="s">
        <v>78</v>
      </c>
      <c r="C54" s="31" t="n">
        <v>11</v>
      </c>
      <c r="D54" s="28" t="s">
        <v>34</v>
      </c>
      <c r="E54" s="0"/>
    </row>
    <row r="55" customFormat="false" ht="18.75" hidden="false" customHeight="true" outlineLevel="0" collapsed="false">
      <c r="A55" s="37" t="s">
        <v>102</v>
      </c>
      <c r="B55" s="28" t="s">
        <v>86</v>
      </c>
      <c r="C55" s="31" t="n">
        <v>0.5</v>
      </c>
      <c r="D55" s="28" t="s">
        <v>34</v>
      </c>
      <c r="E55" s="0"/>
    </row>
    <row r="56" customFormat="false" ht="18.75" hidden="false" customHeight="true" outlineLevel="0" collapsed="false">
      <c r="A56" s="8" t="s">
        <v>103</v>
      </c>
      <c r="B56" s="26" t="s">
        <v>69</v>
      </c>
      <c r="C56" s="42" t="n">
        <v>0.0039</v>
      </c>
      <c r="D56" s="28" t="s">
        <v>70</v>
      </c>
      <c r="E56" s="0"/>
    </row>
    <row r="57" customFormat="false" ht="18.75" hidden="false" customHeight="true" outlineLevel="0" collapsed="false">
      <c r="A57" s="8" t="s">
        <v>104</v>
      </c>
      <c r="B57" s="26" t="s">
        <v>105</v>
      </c>
      <c r="C57" s="42" t="n">
        <v>4E-005</v>
      </c>
      <c r="D57" s="28" t="s">
        <v>70</v>
      </c>
      <c r="E57" s="0"/>
    </row>
    <row r="58" customFormat="false" ht="18.75" hidden="false" customHeight="true" outlineLevel="0" collapsed="false">
      <c r="A58" s="29" t="s">
        <v>106</v>
      </c>
      <c r="B58" s="25"/>
      <c r="C58" s="25"/>
      <c r="D58" s="25"/>
      <c r="E58" s="0"/>
    </row>
    <row r="59" customFormat="false" ht="18.75" hidden="false" customHeight="true" outlineLevel="0" collapsed="false">
      <c r="A59" s="8" t="s">
        <v>107</v>
      </c>
      <c r="B59" s="26" t="s">
        <v>108</v>
      </c>
      <c r="C59" s="42" t="n">
        <v>0.003356</v>
      </c>
      <c r="D59" s="28" t="s">
        <v>63</v>
      </c>
      <c r="E59" s="0"/>
    </row>
    <row r="60" customFormat="false" ht="18.75" hidden="false" customHeight="true" outlineLevel="0" collapsed="false">
      <c r="A60" s="8" t="s">
        <v>109</v>
      </c>
      <c r="B60" s="26" t="s">
        <v>110</v>
      </c>
      <c r="C60" s="44" t="n">
        <f aca="false">((Pout/(Eff*Vinmin*(2^0.5)))+(Pout/(Eff*Vinmin*(2^0.5)*0.6)))*0.5</f>
        <v>0.058925565098879</v>
      </c>
      <c r="D60" s="28" t="s">
        <v>39</v>
      </c>
      <c r="E60" s="45" t="s">
        <v>34</v>
      </c>
    </row>
    <row r="61" customFormat="false" ht="18.75" hidden="false" customHeight="true" outlineLevel="0" collapsed="false">
      <c r="A61" s="28" t="s">
        <v>111</v>
      </c>
      <c r="B61" s="26" t="s">
        <v>112</v>
      </c>
      <c r="C61" s="44" t="n">
        <f aca="false">1/(2*47)</f>
        <v>0.0106382978723404</v>
      </c>
      <c r="D61" s="28" t="s">
        <v>63</v>
      </c>
      <c r="E61" s="0"/>
    </row>
    <row r="62" customFormat="false" ht="18.75" hidden="false" customHeight="true" outlineLevel="0" collapsed="false">
      <c r="A62" s="28" t="s">
        <v>113</v>
      </c>
      <c r="B62" s="26" t="s">
        <v>114</v>
      </c>
      <c r="C62" s="32" t="n">
        <f aca="false">Vinmin*(2^0.5)*0.4</f>
        <v>169.705627484771</v>
      </c>
      <c r="D62" s="28" t="s">
        <v>31</v>
      </c>
      <c r="E62" s="0"/>
    </row>
    <row r="63" customFormat="false" ht="18.75" hidden="false" customHeight="true" outlineLevel="0" collapsed="false">
      <c r="A63" s="28" t="s">
        <v>115</v>
      </c>
      <c r="B63" s="26" t="s">
        <v>116</v>
      </c>
      <c r="C63" s="40" t="n">
        <f aca="false">C60*(C61-C59)/C62</f>
        <v>2.5285756501182E-006</v>
      </c>
      <c r="D63" s="28" t="s">
        <v>117</v>
      </c>
      <c r="E63" s="0"/>
    </row>
    <row r="64" customFormat="false" ht="18.75" hidden="false" customHeight="true" outlineLevel="0" collapsed="false">
      <c r="A64" s="28" t="s">
        <v>115</v>
      </c>
      <c r="B64" s="26" t="s">
        <v>118</v>
      </c>
      <c r="C64" s="35" t="n">
        <f aca="false">C63/2</f>
        <v>1.2642878250591E-006</v>
      </c>
      <c r="D64" s="28" t="s">
        <v>117</v>
      </c>
      <c r="E64" s="0"/>
    </row>
    <row r="65" customFormat="false" ht="18.75" hidden="false" customHeight="true" outlineLevel="0" collapsed="false">
      <c r="A65" s="28" t="s">
        <v>119</v>
      </c>
      <c r="B65" s="26" t="s">
        <v>120</v>
      </c>
      <c r="C65" s="35" t="n">
        <f aca="false">2*(2*C64)*Vinmin*(2^0.5)*0.4/C59</f>
        <v>0.255729152172839</v>
      </c>
      <c r="D65" s="28" t="s">
        <v>39</v>
      </c>
      <c r="E65" s="0"/>
    </row>
    <row r="66" customFormat="false" ht="15.75" hidden="true" customHeight="true" outlineLevel="0" collapsed="false">
      <c r="A66" s="26"/>
      <c r="B66" s="28" t="s">
        <v>121</v>
      </c>
      <c r="C66" s="35" t="n">
        <f aca="false">(Icinp/2)*(tch/(3*Trl))^0.5</f>
        <v>0.0414633625059914</v>
      </c>
      <c r="D66" s="28" t="s">
        <v>39</v>
      </c>
      <c r="E66" s="0"/>
    </row>
    <row r="67" customFormat="false" ht="15.75" hidden="true" customHeight="true" outlineLevel="0" collapsed="false">
      <c r="A67" s="26"/>
      <c r="B67" s="28" t="s">
        <v>122</v>
      </c>
      <c r="C67" s="35" t="n">
        <f aca="false">(Icinp/2)*((Trl-tch)/(3*Trl))^0.5</f>
        <v>0.0610784155187684</v>
      </c>
      <c r="D67" s="28" t="s">
        <v>39</v>
      </c>
      <c r="E67" s="36" t="s">
        <v>34</v>
      </c>
    </row>
    <row r="68" customFormat="false" ht="15.75" hidden="true" customHeight="true" outlineLevel="0" collapsed="false">
      <c r="A68" s="26"/>
      <c r="B68" s="28" t="s">
        <v>123</v>
      </c>
      <c r="C68" s="35" t="n">
        <f aca="false">C60/2</f>
        <v>0.0294627825494395</v>
      </c>
      <c r="D68" s="28" t="s">
        <v>39</v>
      </c>
      <c r="E68" s="0"/>
    </row>
    <row r="69" customFormat="false" ht="18.75" hidden="false" customHeight="true" outlineLevel="0" collapsed="false">
      <c r="A69" s="26" t="s">
        <v>124</v>
      </c>
      <c r="B69" s="26" t="s">
        <v>125</v>
      </c>
      <c r="C69" s="35" t="n">
        <f aca="false">(C66^2+C67^2-C68^2)^0.5</f>
        <v>0.0676884607376399</v>
      </c>
      <c r="D69" s="28" t="s">
        <v>39</v>
      </c>
      <c r="E69" s="0"/>
    </row>
    <row r="70" customFormat="false" ht="18.75" hidden="false" customHeight="true" outlineLevel="0" collapsed="false">
      <c r="A70" s="26" t="s">
        <v>126</v>
      </c>
      <c r="B70" s="26" t="s">
        <v>127</v>
      </c>
      <c r="C70" s="35" t="n">
        <f aca="false">C69</f>
        <v>0.0676884607376399</v>
      </c>
      <c r="D70" s="28" t="s">
        <v>39</v>
      </c>
      <c r="E70" s="0"/>
    </row>
    <row r="71" customFormat="false" ht="18.75" hidden="false" customHeight="true" outlineLevel="0" collapsed="false">
      <c r="A71" s="26" t="s">
        <v>128</v>
      </c>
      <c r="B71" s="26" t="s">
        <v>129</v>
      </c>
      <c r="C71" s="35" t="n">
        <f aca="false">((Ippk*(Dmax/3)^0.5)^2-(Ippk*(Dmax/2))^2)^0.5</f>
        <v>0.0990285778105046</v>
      </c>
      <c r="D71" s="28" t="s">
        <v>39</v>
      </c>
      <c r="E71" s="36" t="s">
        <v>34</v>
      </c>
    </row>
    <row r="72" customFormat="false" ht="18.75" hidden="false" customHeight="true" outlineLevel="0" collapsed="false">
      <c r="A72" s="26" t="s">
        <v>130</v>
      </c>
      <c r="B72" s="26" t="s">
        <v>131</v>
      </c>
      <c r="C72" s="35" t="n">
        <f aca="false">((C70)^2+(C71)^2)^0.5</f>
        <v>0.119951602491181</v>
      </c>
      <c r="D72" s="28" t="s">
        <v>39</v>
      </c>
      <c r="E72" s="0"/>
    </row>
    <row r="73" customFormat="false" ht="18.75" hidden="false" customHeight="true" outlineLevel="0" collapsed="false">
      <c r="A73" s="26" t="s">
        <v>132</v>
      </c>
      <c r="B73" s="26" t="s">
        <v>118</v>
      </c>
      <c r="C73" s="42" t="n">
        <v>4.7E-006</v>
      </c>
      <c r="D73" s="28" t="s">
        <v>117</v>
      </c>
      <c r="E73" s="0"/>
    </row>
    <row r="74" customFormat="false" ht="18.75" hidden="false" customHeight="true" outlineLevel="0" collapsed="false">
      <c r="A74" s="26" t="s">
        <v>133</v>
      </c>
      <c r="B74" s="26" t="s">
        <v>134</v>
      </c>
      <c r="C74" s="46" t="n">
        <v>6</v>
      </c>
      <c r="D74" s="28" t="s">
        <v>135</v>
      </c>
      <c r="E74" s="0"/>
    </row>
    <row r="75" customFormat="false" ht="18.75" hidden="false" customHeight="true" outlineLevel="0" collapsed="false">
      <c r="A75" s="8" t="s">
        <v>57</v>
      </c>
      <c r="B75" s="26" t="s">
        <v>49</v>
      </c>
      <c r="C75" s="32" t="n">
        <f aca="false">C53-C74*(Icarms^2+Icbrms^2)</f>
        <v>3.04733922023915</v>
      </c>
      <c r="D75" s="28" t="s">
        <v>36</v>
      </c>
      <c r="E75" s="0"/>
    </row>
    <row r="76" customFormat="false" ht="18.75" hidden="false" customHeight="true" outlineLevel="0" collapsed="false">
      <c r="A76" s="29" t="s">
        <v>136</v>
      </c>
      <c r="B76" s="25"/>
      <c r="C76" s="25"/>
      <c r="D76" s="25"/>
      <c r="E76" s="0"/>
    </row>
    <row r="77" customFormat="false" ht="15.75" hidden="false" customHeight="true" outlineLevel="0" collapsed="false">
      <c r="A77" s="47" t="s">
        <v>137</v>
      </c>
      <c r="B77" s="17" t="s">
        <v>138</v>
      </c>
      <c r="C77" s="16" t="n">
        <v>6.5</v>
      </c>
      <c r="D77" s="17" t="s">
        <v>135</v>
      </c>
      <c r="E77" s="36" t="s">
        <v>34</v>
      </c>
    </row>
    <row r="78" customFormat="false" ht="18.75" hidden="false" customHeight="true" outlineLevel="0" collapsed="false">
      <c r="A78" s="8" t="s">
        <v>57</v>
      </c>
      <c r="B78" s="26" t="s">
        <v>49</v>
      </c>
      <c r="C78" s="32" t="n">
        <f aca="false">C75-(Iprms^2)*DCR</f>
        <v>2.94832052517024</v>
      </c>
      <c r="D78" s="28" t="s">
        <v>36</v>
      </c>
      <c r="E78" s="0"/>
    </row>
    <row r="79" customFormat="false" ht="18.75" hidden="false" customHeight="true" outlineLevel="0" collapsed="false">
      <c r="A79" s="29" t="s">
        <v>139</v>
      </c>
      <c r="B79" s="25"/>
      <c r="C79" s="25"/>
      <c r="D79" s="25"/>
      <c r="E79" s="0"/>
    </row>
    <row r="80" customFormat="false" ht="18.75" hidden="false" customHeight="true" outlineLevel="0" collapsed="false">
      <c r="A80" s="28" t="s">
        <v>140</v>
      </c>
      <c r="B80" s="26" t="s">
        <v>141</v>
      </c>
      <c r="C80" s="48" t="n">
        <v>10</v>
      </c>
      <c r="D80" s="28" t="s">
        <v>135</v>
      </c>
      <c r="E80" s="0"/>
    </row>
    <row r="81" customFormat="false" ht="18.75" hidden="false" customHeight="true" outlineLevel="0" collapsed="false">
      <c r="A81" s="8" t="s">
        <v>57</v>
      </c>
      <c r="B81" s="26" t="s">
        <v>49</v>
      </c>
      <c r="C81" s="32" t="n">
        <f aca="false">C78-(Iprms^2)*C80</f>
        <v>2.79598407121807</v>
      </c>
      <c r="D81" s="28" t="s">
        <v>36</v>
      </c>
      <c r="E81" s="0"/>
    </row>
    <row r="82" customFormat="false" ht="18.75" hidden="false" customHeight="true" outlineLevel="0" collapsed="false">
      <c r="A82" s="29" t="s">
        <v>142</v>
      </c>
      <c r="B82" s="25"/>
      <c r="C82" s="25"/>
      <c r="D82" s="25"/>
      <c r="E82" s="0"/>
    </row>
    <row r="83" customFormat="false" ht="18.75" hidden="false" customHeight="true" outlineLevel="0" collapsed="false">
      <c r="A83" s="28" t="s">
        <v>140</v>
      </c>
      <c r="B83" s="26" t="s">
        <v>143</v>
      </c>
      <c r="C83" s="42" t="n">
        <v>15330000</v>
      </c>
      <c r="D83" s="28" t="s">
        <v>135</v>
      </c>
      <c r="E83" s="0"/>
    </row>
    <row r="84" customFormat="false" ht="18.75" hidden="false" customHeight="true" outlineLevel="0" collapsed="false">
      <c r="A84" s="28" t="s">
        <v>144</v>
      </c>
      <c r="B84" s="26" t="s">
        <v>145</v>
      </c>
      <c r="C84" s="35" t="n">
        <f aca="false">(Vinmax*(2^0.5))^2/Rt</f>
        <v>0.105675146771037</v>
      </c>
      <c r="D84" s="28" t="s">
        <v>36</v>
      </c>
      <c r="E84" s="0"/>
    </row>
    <row r="85" customFormat="false" ht="18.75" hidden="false" customHeight="true" outlineLevel="0" collapsed="false">
      <c r="A85" s="8" t="s">
        <v>57</v>
      </c>
      <c r="B85" s="26" t="s">
        <v>49</v>
      </c>
      <c r="C85" s="32" t="n">
        <f aca="false">C81-(((Vinmax*2^0.5)^2)/C83)</f>
        <v>2.69030892444703</v>
      </c>
      <c r="D85" s="28" t="s">
        <v>36</v>
      </c>
      <c r="E85" s="45" t="s">
        <v>34</v>
      </c>
    </row>
    <row r="86" customFormat="false" ht="18.75" hidden="false" customHeight="true" outlineLevel="0" collapsed="false">
      <c r="A86" s="29" t="s">
        <v>146</v>
      </c>
      <c r="B86" s="25"/>
      <c r="C86" s="25"/>
      <c r="D86" s="25"/>
      <c r="E86" s="0"/>
    </row>
    <row r="87" customFormat="false" ht="18.75" hidden="false" customHeight="true" outlineLevel="0" collapsed="false">
      <c r="A87" s="28" t="s">
        <v>147</v>
      </c>
      <c r="B87" s="26" t="s">
        <v>148</v>
      </c>
      <c r="C87" s="49" t="n">
        <v>1</v>
      </c>
      <c r="D87" s="28" t="s">
        <v>63</v>
      </c>
      <c r="E87" s="0"/>
    </row>
    <row r="88" customFormat="false" ht="18.75" hidden="false" customHeight="true" outlineLevel="0" collapsed="false">
      <c r="A88" s="8" t="s">
        <v>149</v>
      </c>
      <c r="B88" s="26" t="s">
        <v>150</v>
      </c>
      <c r="C88" s="35" t="n">
        <v>1.5E-006</v>
      </c>
      <c r="D88" s="28" t="s">
        <v>39</v>
      </c>
      <c r="E88" s="0"/>
    </row>
    <row r="89" customFormat="false" ht="18.75" hidden="false" customHeight="true" outlineLevel="0" collapsed="false">
      <c r="A89" s="37" t="s">
        <v>151</v>
      </c>
      <c r="B89" s="26" t="s">
        <v>152</v>
      </c>
      <c r="C89" s="50" t="n">
        <v>21</v>
      </c>
      <c r="D89" s="28" t="s">
        <v>31</v>
      </c>
      <c r="E89" s="0"/>
    </row>
    <row r="90" customFormat="false" ht="18.75" hidden="false" customHeight="true" outlineLevel="0" collapsed="false">
      <c r="A90" s="8" t="s">
        <v>153</v>
      </c>
      <c r="B90" s="26" t="s">
        <v>154</v>
      </c>
      <c r="C90" s="35" t="n">
        <f aca="false">(((Vinmin*2^0.5)/Rt)-Istart)*dtcdds/Vddon</f>
        <v>1.24644819902441E-006</v>
      </c>
      <c r="D90" s="28" t="s">
        <v>117</v>
      </c>
      <c r="E90" s="0"/>
    </row>
    <row r="91" customFormat="false" ht="18.75" hidden="false" customHeight="true" outlineLevel="0" collapsed="false">
      <c r="A91" s="8" t="s">
        <v>140</v>
      </c>
      <c r="B91" s="26" t="s">
        <v>154</v>
      </c>
      <c r="C91" s="42" t="n">
        <v>3.3E-007</v>
      </c>
      <c r="D91" s="28" t="s">
        <v>117</v>
      </c>
      <c r="E91" s="0"/>
    </row>
    <row r="92" customFormat="false" ht="18.75" hidden="false" customHeight="true" outlineLevel="0" collapsed="false">
      <c r="A92" s="29" t="s">
        <v>155</v>
      </c>
      <c r="B92" s="25"/>
      <c r="C92" s="25"/>
      <c r="D92" s="25"/>
      <c r="E92" s="0"/>
    </row>
    <row r="93" customFormat="false" ht="18.75" hidden="false" customHeight="true" outlineLevel="0" collapsed="false">
      <c r="A93" s="8" t="s">
        <v>156</v>
      </c>
      <c r="B93" s="26" t="s">
        <v>157</v>
      </c>
      <c r="C93" s="27" t="n">
        <f aca="false">0.75/Ippk</f>
        <v>2.41794</v>
      </c>
      <c r="D93" s="28" t="s">
        <v>135</v>
      </c>
      <c r="E93" s="0"/>
    </row>
    <row r="94" customFormat="false" ht="18.75" hidden="false" customHeight="true" outlineLevel="0" collapsed="false">
      <c r="A94" s="8" t="s">
        <v>140</v>
      </c>
      <c r="B94" s="26" t="s">
        <v>157</v>
      </c>
      <c r="C94" s="31" t="n">
        <v>2.05</v>
      </c>
      <c r="D94" s="28" t="s">
        <v>135</v>
      </c>
      <c r="E94" s="0"/>
    </row>
    <row r="95" customFormat="false" ht="18.75" hidden="false" customHeight="true" outlineLevel="0" collapsed="false">
      <c r="A95" s="8" t="s">
        <v>144</v>
      </c>
      <c r="B95" s="26" t="s">
        <v>158</v>
      </c>
      <c r="C95" s="27" t="n">
        <f aca="false">(Iprms^2)*C94</f>
        <v>0.0312289730601956</v>
      </c>
      <c r="D95" s="28" t="s">
        <v>36</v>
      </c>
      <c r="E95" s="0"/>
    </row>
    <row r="96" customFormat="false" ht="18.75" hidden="false" customHeight="true" outlineLevel="0" collapsed="false">
      <c r="A96" s="8" t="s">
        <v>57</v>
      </c>
      <c r="B96" s="26" t="s">
        <v>49</v>
      </c>
      <c r="C96" s="32" t="n">
        <f aca="false">C85-C95</f>
        <v>2.65907995138683</v>
      </c>
      <c r="D96" s="28" t="s">
        <v>36</v>
      </c>
      <c r="E96" s="0"/>
    </row>
    <row r="97" customFormat="false" ht="18.75" hidden="false" customHeight="true" outlineLevel="0" collapsed="false">
      <c r="A97" s="29" t="s">
        <v>159</v>
      </c>
      <c r="B97" s="25"/>
      <c r="C97" s="25"/>
      <c r="D97" s="25"/>
      <c r="E97" s="0"/>
    </row>
    <row r="98" customFormat="false" ht="18.75" hidden="false" customHeight="true" outlineLevel="0" collapsed="false">
      <c r="A98" s="8" t="s">
        <v>160</v>
      </c>
      <c r="B98" s="26" t="s">
        <v>161</v>
      </c>
      <c r="C98" s="27" t="n">
        <f aca="false">Vout+Vinmax*1.414/C54</f>
        <v>140.690909090909</v>
      </c>
      <c r="D98" s="28" t="s">
        <v>31</v>
      </c>
      <c r="E98" s="0"/>
    </row>
    <row r="99" customFormat="false" ht="18.75" hidden="false" customHeight="true" outlineLevel="0" collapsed="false">
      <c r="A99" s="8" t="s">
        <v>162</v>
      </c>
      <c r="B99" s="26" t="s">
        <v>163</v>
      </c>
      <c r="C99" s="38" t="n">
        <f aca="false">Ispk</f>
        <v>2.82352941176471</v>
      </c>
      <c r="D99" s="28" t="s">
        <v>39</v>
      </c>
      <c r="E99" s="0"/>
    </row>
    <row r="100" customFormat="false" ht="18.75" hidden="false" customHeight="true" outlineLevel="0" collapsed="false">
      <c r="A100" s="8" t="s">
        <v>164</v>
      </c>
      <c r="B100" s="26" t="s">
        <v>165</v>
      </c>
      <c r="C100" s="51" t="n">
        <v>0.31</v>
      </c>
      <c r="D100" s="28" t="s">
        <v>31</v>
      </c>
      <c r="E100" s="0"/>
    </row>
    <row r="101" customFormat="false" ht="18.75" hidden="false" customHeight="true" outlineLevel="0" collapsed="false">
      <c r="A101" s="8" t="s">
        <v>166</v>
      </c>
      <c r="B101" s="26" t="s">
        <v>167</v>
      </c>
      <c r="C101" s="32" t="n">
        <f aca="false">Pout*C100/Vout</f>
        <v>0.186</v>
      </c>
      <c r="D101" s="28" t="s">
        <v>36</v>
      </c>
      <c r="E101" s="0"/>
    </row>
    <row r="102" customFormat="false" ht="18.75" hidden="false" customHeight="true" outlineLevel="0" collapsed="false">
      <c r="A102" s="8" t="s">
        <v>57</v>
      </c>
      <c r="B102" s="26" t="s">
        <v>49</v>
      </c>
      <c r="C102" s="32" t="n">
        <f aca="false">C96-C101</f>
        <v>2.47307995138683</v>
      </c>
      <c r="D102" s="28" t="s">
        <v>36</v>
      </c>
      <c r="E102" s="0"/>
    </row>
    <row r="103" customFormat="false" ht="18.75" hidden="false" customHeight="true" outlineLevel="0" collapsed="false">
      <c r="A103" s="29" t="s">
        <v>168</v>
      </c>
      <c r="B103" s="25"/>
      <c r="C103" s="25"/>
      <c r="D103" s="25"/>
      <c r="E103" s="0"/>
    </row>
    <row r="104" customFormat="false" ht="18.75" hidden="false" customHeight="true" outlineLevel="0" collapsed="false">
      <c r="A104" s="8" t="s">
        <v>169</v>
      </c>
      <c r="B104" s="26" t="s">
        <v>170</v>
      </c>
      <c r="C104" s="35" t="n">
        <f aca="false">0.002*Pout/(Vout*2*(Vout-Votr))</f>
        <v>0.0006</v>
      </c>
      <c r="D104" s="28" t="s">
        <v>117</v>
      </c>
      <c r="E104" s="36" t="s">
        <v>34</v>
      </c>
    </row>
    <row r="105" customFormat="false" ht="18.75" hidden="false" customHeight="true" outlineLevel="0" collapsed="false">
      <c r="A105" s="8" t="s">
        <v>140</v>
      </c>
      <c r="B105" s="26" t="s">
        <v>170</v>
      </c>
      <c r="C105" s="42" t="n">
        <v>0.00112</v>
      </c>
      <c r="D105" s="28" t="s">
        <v>117</v>
      </c>
      <c r="E105" s="0"/>
    </row>
    <row r="106" customFormat="false" ht="18.75" hidden="false" customHeight="true" outlineLevel="0" collapsed="false">
      <c r="A106" s="8" t="s">
        <v>171</v>
      </c>
      <c r="B106" s="26" t="s">
        <v>172</v>
      </c>
      <c r="C106" s="44" t="n">
        <v>0.0065</v>
      </c>
      <c r="D106" s="28" t="s">
        <v>135</v>
      </c>
      <c r="E106" s="0"/>
    </row>
    <row r="107" customFormat="false" ht="18.75" hidden="false" customHeight="true" outlineLevel="0" collapsed="false">
      <c r="A107" s="8" t="s">
        <v>173</v>
      </c>
      <c r="B107" s="26" t="s">
        <v>174</v>
      </c>
      <c r="C107" s="32" t="n">
        <f aca="false">((Ispk*((Dmag/3)^0.5))^2-((Pout/Vout)^2))^0.5</f>
        <v>0.877161196534527</v>
      </c>
      <c r="D107" s="28" t="s">
        <v>39</v>
      </c>
      <c r="E107" s="0"/>
    </row>
    <row r="108" customFormat="false" ht="18.75" hidden="false" customHeight="true" outlineLevel="0" collapsed="false">
      <c r="A108" s="8" t="s">
        <v>144</v>
      </c>
      <c r="B108" s="26" t="s">
        <v>175</v>
      </c>
      <c r="C108" s="32" t="n">
        <f aca="false">(C107^2)*C106</f>
        <v>0.00500117647058824</v>
      </c>
      <c r="D108" s="28" t="s">
        <v>36</v>
      </c>
      <c r="E108" s="0"/>
    </row>
    <row r="109" customFormat="false" ht="18.75" hidden="false" customHeight="true" outlineLevel="0" collapsed="false">
      <c r="A109" s="8" t="s">
        <v>57</v>
      </c>
      <c r="B109" s="26" t="s">
        <v>49</v>
      </c>
      <c r="C109" s="32" t="n">
        <f aca="false">C102-C108</f>
        <v>2.46807877491624</v>
      </c>
      <c r="D109" s="28" t="s">
        <v>36</v>
      </c>
      <c r="E109" s="0"/>
    </row>
    <row r="110" customFormat="false" ht="15.75" hidden="false" customHeight="true" outlineLevel="0" collapsed="false">
      <c r="A110" s="33" t="s">
        <v>176</v>
      </c>
      <c r="B110" s="25"/>
      <c r="C110" s="25"/>
      <c r="D110" s="25"/>
      <c r="E110" s="0"/>
    </row>
    <row r="111" customFormat="false" ht="18.75" hidden="false" customHeight="true" outlineLevel="0" collapsed="false">
      <c r="A111" s="8" t="s">
        <v>177</v>
      </c>
      <c r="B111" s="26" t="s">
        <v>178</v>
      </c>
      <c r="C111" s="31" t="n">
        <v>4.5</v>
      </c>
      <c r="D111" s="28" t="s">
        <v>135</v>
      </c>
      <c r="E111" s="0"/>
    </row>
    <row r="112" customFormat="false" ht="18" hidden="false" customHeight="true" outlineLevel="0" collapsed="false">
      <c r="A112" s="30" t="s">
        <v>179</v>
      </c>
      <c r="B112" s="26" t="s">
        <v>180</v>
      </c>
      <c r="C112" s="42" t="n">
        <v>8.5E-012</v>
      </c>
      <c r="D112" s="28" t="s">
        <v>117</v>
      </c>
      <c r="E112" s="0"/>
    </row>
    <row r="113" customFormat="false" ht="18.75" hidden="false" customHeight="true" outlineLevel="0" collapsed="false">
      <c r="A113" s="8" t="s">
        <v>181</v>
      </c>
      <c r="B113" s="26" t="s">
        <v>182</v>
      </c>
      <c r="C113" s="52" t="n">
        <v>600</v>
      </c>
      <c r="D113" s="28" t="s">
        <v>31</v>
      </c>
      <c r="E113" s="0"/>
    </row>
    <row r="114" customFormat="false" ht="18.75" hidden="false" customHeight="true" outlineLevel="0" collapsed="false">
      <c r="A114" s="8" t="s">
        <v>183</v>
      </c>
      <c r="B114" s="26" t="s">
        <v>184</v>
      </c>
      <c r="C114" s="32" t="n">
        <v>0.35</v>
      </c>
      <c r="D114" s="28" t="s">
        <v>39</v>
      </c>
      <c r="E114" s="0"/>
    </row>
    <row r="115" customFormat="false" ht="18.75" hidden="false" customHeight="true" outlineLevel="0" collapsed="false">
      <c r="A115" s="8" t="s">
        <v>185</v>
      </c>
      <c r="B115" s="26" t="s">
        <v>186</v>
      </c>
      <c r="C115" s="42" t="n">
        <v>9E-009</v>
      </c>
      <c r="D115" s="28" t="s">
        <v>187</v>
      </c>
      <c r="E115" s="0"/>
    </row>
    <row r="116" customFormat="false" ht="18.75" hidden="false" customHeight="true" outlineLevel="0" collapsed="false">
      <c r="A116" s="8" t="s">
        <v>188</v>
      </c>
      <c r="B116" s="26" t="s">
        <v>189</v>
      </c>
      <c r="C116" s="35" t="n">
        <f aca="false">C115*2/C114</f>
        <v>5.14285714285714E-008</v>
      </c>
      <c r="D116" s="28" t="s">
        <v>63</v>
      </c>
      <c r="E116" s="0"/>
    </row>
    <row r="117" customFormat="false" ht="18.75" hidden="false" customHeight="true" outlineLevel="0" collapsed="false">
      <c r="A117" s="8" t="s">
        <v>190</v>
      </c>
      <c r="B117" s="26" t="s">
        <v>191</v>
      </c>
      <c r="C117" s="53" t="n">
        <v>12</v>
      </c>
      <c r="D117" s="28" t="s">
        <v>31</v>
      </c>
      <c r="E117" s="0"/>
    </row>
    <row r="118" customFormat="false" ht="18.75" hidden="false" customHeight="true" outlineLevel="0" collapsed="false">
      <c r="A118" s="37" t="s">
        <v>192</v>
      </c>
      <c r="B118" s="26" t="s">
        <v>193</v>
      </c>
      <c r="C118" s="42" t="n">
        <v>1.2E-008</v>
      </c>
      <c r="D118" s="28" t="s">
        <v>187</v>
      </c>
      <c r="E118" s="0"/>
    </row>
    <row r="119" customFormat="false" ht="18.75" hidden="false" customHeight="true" outlineLevel="0" collapsed="false">
      <c r="A119" s="8" t="s">
        <v>194</v>
      </c>
      <c r="B119" s="26" t="s">
        <v>195</v>
      </c>
      <c r="C119" s="32" t="n">
        <f aca="false">C117*C118*fmax</f>
        <v>0.0144</v>
      </c>
      <c r="D119" s="28" t="s">
        <v>36</v>
      </c>
      <c r="E119" s="36" t="s">
        <v>34</v>
      </c>
    </row>
    <row r="120" customFormat="false" ht="18.75" hidden="false" customHeight="true" outlineLevel="0" collapsed="false">
      <c r="A120" s="8" t="s">
        <v>196</v>
      </c>
      <c r="B120" s="26" t="s">
        <v>197</v>
      </c>
      <c r="C120" s="50" t="n">
        <f aca="false">Vinmax*1.414-(Vinripple1/2)-2*Vfda</f>
        <v>1185.74718625761</v>
      </c>
      <c r="D120" s="28" t="s">
        <v>31</v>
      </c>
      <c r="E120" s="36" t="s">
        <v>34</v>
      </c>
    </row>
    <row r="121" customFormat="false" ht="18.75" hidden="false" customHeight="true" outlineLevel="0" collapsed="false">
      <c r="A121" s="8" t="s">
        <v>198</v>
      </c>
      <c r="B121" s="26" t="s">
        <v>199</v>
      </c>
      <c r="C121" s="32" t="n">
        <f aca="false">(Vfly-(Vout+Vdg)*NpNs)*Ippk*C116*fmax/2</f>
        <v>0.717646722562996</v>
      </c>
      <c r="D121" s="28" t="s">
        <v>36</v>
      </c>
      <c r="E121" s="0"/>
    </row>
    <row r="122" customFormat="false" ht="18.75" hidden="false" customHeight="true" outlineLevel="0" collapsed="false">
      <c r="A122" s="8" t="s">
        <v>200</v>
      </c>
      <c r="B122" s="26" t="s">
        <v>180</v>
      </c>
      <c r="C122" s="42" t="n">
        <v>8.5E-012</v>
      </c>
      <c r="D122" s="28" t="s">
        <v>117</v>
      </c>
      <c r="E122" s="0"/>
    </row>
    <row r="123" customFormat="false" ht="15.75" hidden="false" customHeight="true" outlineLevel="0" collapsed="false">
      <c r="A123" s="8" t="s">
        <v>201</v>
      </c>
      <c r="B123" s="28" t="s">
        <v>202</v>
      </c>
      <c r="C123" s="32" t="n">
        <f aca="false">C122*(Vfly^2)*fmax/2</f>
        <v>0.597548465630086</v>
      </c>
      <c r="D123" s="28" t="s">
        <v>36</v>
      </c>
      <c r="E123" s="0"/>
    </row>
    <row r="124" customFormat="false" ht="18.75" hidden="false" customHeight="true" outlineLevel="0" collapsed="false">
      <c r="A124" s="37" t="s">
        <v>203</v>
      </c>
      <c r="B124" s="26" t="s">
        <v>204</v>
      </c>
      <c r="C124" s="32" t="n">
        <f aca="false">(Iprms^2)*C111</f>
        <v>0.0685514042784781</v>
      </c>
      <c r="D124" s="28" t="s">
        <v>36</v>
      </c>
      <c r="E124" s="0"/>
    </row>
    <row r="125" customFormat="false" ht="18.75" hidden="false" customHeight="true" outlineLevel="0" collapsed="false">
      <c r="A125" s="8" t="s">
        <v>205</v>
      </c>
      <c r="B125" s="26" t="s">
        <v>206</v>
      </c>
      <c r="C125" s="32" t="n">
        <f aca="false">C119+C121+C123+C124</f>
        <v>1.39814659247156</v>
      </c>
      <c r="D125" s="28" t="s">
        <v>36</v>
      </c>
      <c r="E125" s="0"/>
    </row>
    <row r="126" customFormat="false" ht="18.75" hidden="false" customHeight="true" outlineLevel="0" collapsed="false">
      <c r="A126" s="8" t="s">
        <v>57</v>
      </c>
      <c r="B126" s="26" t="s">
        <v>49</v>
      </c>
      <c r="C126" s="32" t="n">
        <f aca="false">C109-C125</f>
        <v>1.06993218244468</v>
      </c>
      <c r="D126" s="28" t="s">
        <v>36</v>
      </c>
      <c r="E126" s="0"/>
    </row>
    <row r="127" customFormat="false" ht="15.75" hidden="false" customHeight="true" outlineLevel="0" collapsed="false">
      <c r="A127" s="33" t="s">
        <v>207</v>
      </c>
      <c r="B127" s="25"/>
      <c r="C127" s="25"/>
      <c r="D127" s="25"/>
      <c r="E127" s="0"/>
    </row>
    <row r="128" customFormat="false" ht="18.75" hidden="false" customHeight="true" outlineLevel="0" collapsed="false">
      <c r="A128" s="8" t="s">
        <v>208</v>
      </c>
      <c r="B128" s="26" t="s">
        <v>209</v>
      </c>
      <c r="C128" s="50" t="n">
        <v>82</v>
      </c>
      <c r="D128" s="28" t="s">
        <v>31</v>
      </c>
      <c r="E128" s="0"/>
    </row>
    <row r="129" customFormat="false" ht="18.75" hidden="false" customHeight="true" outlineLevel="0" collapsed="false">
      <c r="A129" s="8" t="s">
        <v>210</v>
      </c>
      <c r="B129" s="26" t="s">
        <v>211</v>
      </c>
      <c r="C129" s="50" t="n">
        <f aca="false">C113*0.9-Vinmax*2^0.5</f>
        <v>-732.792206135786</v>
      </c>
      <c r="D129" s="28" t="s">
        <v>31</v>
      </c>
      <c r="E129" s="0"/>
    </row>
    <row r="130" customFormat="false" ht="18.75" hidden="false" customHeight="true" outlineLevel="0" collapsed="false">
      <c r="A130" s="8" t="s">
        <v>212</v>
      </c>
      <c r="B130" s="26" t="s">
        <v>213</v>
      </c>
      <c r="C130" s="50" t="n">
        <f aca="false">(C129-0.6-C128)/Ippk</f>
        <v>-2628.75924120528</v>
      </c>
      <c r="D130" s="28" t="s">
        <v>135</v>
      </c>
      <c r="E130" s="0"/>
    </row>
    <row r="131" customFormat="false" ht="18.75" hidden="false" customHeight="true" outlineLevel="0" collapsed="false">
      <c r="A131" s="28" t="s">
        <v>140</v>
      </c>
      <c r="B131" s="26" t="s">
        <v>213</v>
      </c>
      <c r="C131" s="46" t="n">
        <v>215</v>
      </c>
      <c r="D131" s="48" t="s">
        <v>135</v>
      </c>
      <c r="E131" s="0"/>
    </row>
    <row r="132" customFormat="false" ht="18.75" hidden="false" customHeight="true" outlineLevel="0" collapsed="false">
      <c r="A132" s="48" t="s">
        <v>214</v>
      </c>
      <c r="B132" s="54" t="s">
        <v>215</v>
      </c>
      <c r="C132" s="32" t="n">
        <f aca="false">Llk*Ippk^2*fmax/2</f>
        <v>0.192424994465903</v>
      </c>
      <c r="D132" s="48" t="s">
        <v>36</v>
      </c>
      <c r="E132" s="0"/>
    </row>
    <row r="133" customFormat="false" ht="18.75" hidden="false" customHeight="true" outlineLevel="0" collapsed="false">
      <c r="A133" s="8" t="s">
        <v>57</v>
      </c>
      <c r="B133" s="26" t="s">
        <v>49</v>
      </c>
      <c r="C133" s="32" t="n">
        <f aca="false">C126-C132</f>
        <v>0.877507187978781</v>
      </c>
      <c r="D133" s="28" t="s">
        <v>36</v>
      </c>
      <c r="E133" s="0"/>
    </row>
    <row r="134" customFormat="false" ht="15.75" hidden="false" customHeight="true" outlineLevel="0" collapsed="false">
      <c r="A134" s="33" t="s">
        <v>216</v>
      </c>
      <c r="B134" s="25"/>
      <c r="C134" s="25"/>
      <c r="D134" s="25"/>
      <c r="E134" s="0"/>
    </row>
    <row r="135" customFormat="false" ht="18.75" hidden="false" customHeight="true" outlineLevel="0" collapsed="false">
      <c r="A135" s="8" t="s">
        <v>217</v>
      </c>
      <c r="B135" s="26" t="s">
        <v>218</v>
      </c>
      <c r="C135" s="55" t="n">
        <v>0.00022</v>
      </c>
      <c r="D135" s="28" t="s">
        <v>39</v>
      </c>
      <c r="E135" s="0"/>
    </row>
    <row r="136" customFormat="false" ht="18.75" hidden="false" customHeight="true" outlineLevel="0" collapsed="false">
      <c r="A136" s="8" t="s">
        <v>156</v>
      </c>
      <c r="B136" s="26" t="s">
        <v>219</v>
      </c>
      <c r="C136" s="40" t="n">
        <f aca="false">(NaNs/NpNs)*Vinmin*(2^0.5)*0.8/C135</f>
        <v>70126.2923490791</v>
      </c>
      <c r="D136" s="28" t="s">
        <v>135</v>
      </c>
      <c r="E136" s="36" t="s">
        <v>34</v>
      </c>
    </row>
    <row r="137" customFormat="false" ht="18.75" hidden="false" customHeight="true" outlineLevel="0" collapsed="false">
      <c r="A137" s="28" t="s">
        <v>220</v>
      </c>
      <c r="B137" s="26" t="s">
        <v>219</v>
      </c>
      <c r="C137" s="42" t="n">
        <v>121000</v>
      </c>
      <c r="D137" s="48" t="s">
        <v>135</v>
      </c>
      <c r="E137" s="36" t="s">
        <v>34</v>
      </c>
    </row>
    <row r="138" customFormat="false" ht="18.75" hidden="false" customHeight="true" outlineLevel="0" collapsed="false">
      <c r="A138" s="48" t="s">
        <v>156</v>
      </c>
      <c r="B138" s="26" t="s">
        <v>221</v>
      </c>
      <c r="C138" s="35" t="n">
        <f aca="false">(4*C137)/((Vout+Vdg)*NaNs-4)</f>
        <v>53777.7777777778</v>
      </c>
      <c r="D138" s="48" t="s">
        <v>135</v>
      </c>
      <c r="E138" s="56" t="s">
        <v>222</v>
      </c>
    </row>
    <row r="139" customFormat="false" ht="18.75" hidden="false" customHeight="true" outlineLevel="0" collapsed="false">
      <c r="A139" s="28" t="s">
        <v>220</v>
      </c>
      <c r="B139" s="26" t="s">
        <v>221</v>
      </c>
      <c r="C139" s="42" t="n">
        <v>30100</v>
      </c>
      <c r="D139" s="48" t="s">
        <v>135</v>
      </c>
      <c r="E139" s="0"/>
    </row>
    <row r="140" customFormat="false" ht="18.75" hidden="false" customHeight="true" outlineLevel="0" collapsed="false">
      <c r="A140" s="28" t="s">
        <v>223</v>
      </c>
      <c r="B140" s="26" t="s">
        <v>224</v>
      </c>
      <c r="C140" s="35" t="n">
        <f aca="false">(((Dmag^0.5)*(Vout+Vdg)*NaNs)^2)/(C137+C139)</f>
        <v>0.000475347452018531</v>
      </c>
      <c r="D140" s="28" t="s">
        <v>36</v>
      </c>
      <c r="E140" s="0"/>
    </row>
    <row r="141" customFormat="false" ht="18.75" hidden="false" customHeight="true" outlineLevel="0" collapsed="false">
      <c r="A141" s="29" t="s">
        <v>225</v>
      </c>
      <c r="B141" s="25"/>
      <c r="C141" s="25"/>
      <c r="D141" s="25"/>
      <c r="E141" s="0"/>
    </row>
    <row r="142" customFormat="false" ht="18.75" hidden="false" customHeight="true" outlineLevel="0" collapsed="false">
      <c r="A142" s="8" t="s">
        <v>226</v>
      </c>
      <c r="B142" s="26" t="s">
        <v>82</v>
      </c>
      <c r="C142" s="49" t="n">
        <v>0.6</v>
      </c>
      <c r="D142" s="28" t="s">
        <v>31</v>
      </c>
      <c r="E142" s="0"/>
    </row>
    <row r="143" customFormat="false" ht="18.75" hidden="false" customHeight="true" outlineLevel="0" collapsed="false">
      <c r="A143" s="8"/>
      <c r="B143" s="26" t="s">
        <v>227</v>
      </c>
      <c r="C143" s="50" t="n">
        <f aca="false">(Vout+Vdg)*NaNs-C142</f>
        <v>12.4</v>
      </c>
      <c r="D143" s="28" t="s">
        <v>31</v>
      </c>
      <c r="E143" s="0"/>
    </row>
    <row r="144" customFormat="false" ht="18.75" hidden="false" customHeight="true" outlineLevel="0" collapsed="false">
      <c r="A144" s="28" t="s">
        <v>228</v>
      </c>
      <c r="B144" s="26" t="s">
        <v>229</v>
      </c>
      <c r="C144" s="57" t="n">
        <f aca="false">C143+Vinmax*(2^0.5)*(NaNs/NpNs)</f>
        <v>70.2541911879903</v>
      </c>
      <c r="D144" s="48" t="s">
        <v>31</v>
      </c>
      <c r="E144" s="0"/>
    </row>
    <row r="145" customFormat="false" ht="18.75" hidden="false" customHeight="true" outlineLevel="0" collapsed="false">
      <c r="A145" s="28" t="s">
        <v>230</v>
      </c>
      <c r="B145" s="26" t="s">
        <v>231</v>
      </c>
      <c r="C145" s="35" t="n">
        <f aca="false">(C119+0.0021*C143)/C143</f>
        <v>0.00326129032258064</v>
      </c>
      <c r="D145" s="28" t="s">
        <v>39</v>
      </c>
      <c r="E145" s="0"/>
    </row>
    <row r="146" customFormat="false" ht="18.75" hidden="false" customHeight="true" outlineLevel="0" collapsed="false">
      <c r="A146" s="26" t="s">
        <v>232</v>
      </c>
      <c r="B146" s="26" t="s">
        <v>233</v>
      </c>
      <c r="C146" s="35" t="n">
        <f aca="false">C145*C142</f>
        <v>0.00195677419354839</v>
      </c>
      <c r="D146" s="28" t="s">
        <v>36</v>
      </c>
      <c r="E146" s="0"/>
    </row>
    <row r="147" customFormat="false" ht="18.75" hidden="false" customHeight="true" outlineLevel="0" collapsed="false">
      <c r="A147" s="8" t="s">
        <v>57</v>
      </c>
      <c r="B147" s="26" t="s">
        <v>49</v>
      </c>
      <c r="C147" s="32" t="n">
        <f aca="false">C133-C140-C146</f>
        <v>0.875075066333214</v>
      </c>
      <c r="D147" s="28" t="s">
        <v>36</v>
      </c>
      <c r="E147" s="0"/>
    </row>
    <row r="148" customFormat="false" ht="18.75" hidden="false" customHeight="true" outlineLevel="0" collapsed="false">
      <c r="A148" s="29" t="s">
        <v>234</v>
      </c>
      <c r="B148" s="25"/>
      <c r="C148" s="25"/>
      <c r="D148" s="25"/>
      <c r="E148" s="0"/>
    </row>
    <row r="149" customFormat="false" ht="18.75" hidden="false" customHeight="true" outlineLevel="0" collapsed="false">
      <c r="A149" s="8" t="s">
        <v>140</v>
      </c>
      <c r="B149" s="26" t="s">
        <v>235</v>
      </c>
      <c r="C149" s="58" t="n">
        <v>3010</v>
      </c>
      <c r="D149" s="28" t="s">
        <v>135</v>
      </c>
      <c r="E149" s="0"/>
    </row>
    <row r="150" customFormat="false" ht="18.75" hidden="false" customHeight="true" outlineLevel="0" collapsed="false">
      <c r="A150" s="37" t="s">
        <v>236</v>
      </c>
      <c r="B150" s="26" t="s">
        <v>237</v>
      </c>
      <c r="C150" s="55" t="n">
        <f aca="false">(Vout^2)/C149</f>
        <v>0.207641196013289</v>
      </c>
      <c r="D150" s="28" t="s">
        <v>36</v>
      </c>
      <c r="E150" s="0"/>
    </row>
    <row r="151" customFormat="false" ht="18.75" hidden="false" customHeight="true" outlineLevel="0" collapsed="false">
      <c r="A151" s="8" t="s">
        <v>57</v>
      </c>
      <c r="B151" s="26" t="s">
        <v>49</v>
      </c>
      <c r="C151" s="32" t="n">
        <f aca="false">C147-C150</f>
        <v>0.667433870319925</v>
      </c>
      <c r="D151" s="28" t="s">
        <v>36</v>
      </c>
      <c r="E151" s="0"/>
    </row>
    <row r="152" customFormat="false" ht="18.75" hidden="false" customHeight="true" outlineLevel="0" collapsed="false">
      <c r="A152" s="29" t="s">
        <v>238</v>
      </c>
      <c r="B152" s="25"/>
      <c r="C152" s="25"/>
      <c r="D152" s="25"/>
      <c r="E152" s="0"/>
    </row>
    <row r="153" customFormat="false" ht="18.75" hidden="false" customHeight="true" outlineLevel="0" collapsed="false">
      <c r="A153" s="8" t="s">
        <v>156</v>
      </c>
      <c r="B153" s="26" t="s">
        <v>239</v>
      </c>
      <c r="C153" s="59" t="n">
        <f aca="false">(25*C137*C94*C116*NpNs/NaNs)/Lpm</f>
        <v>1799.04395604396</v>
      </c>
      <c r="D153" s="28" t="s">
        <v>135</v>
      </c>
      <c r="E153" s="45" t="s">
        <v>34</v>
      </c>
    </row>
    <row r="154" customFormat="false" ht="18.75" hidden="false" customHeight="true" outlineLevel="0" collapsed="false">
      <c r="A154" s="8" t="s">
        <v>240</v>
      </c>
      <c r="B154" s="26" t="s">
        <v>239</v>
      </c>
      <c r="C154" s="42" t="n">
        <v>4640</v>
      </c>
      <c r="D154" s="28" t="s">
        <v>135</v>
      </c>
      <c r="E154" s="56" t="s">
        <v>34</v>
      </c>
    </row>
    <row r="155" customFormat="false" ht="15.75" hidden="false" customHeight="true" outlineLevel="0" collapsed="false">
      <c r="A155" s="33" t="s">
        <v>241</v>
      </c>
      <c r="B155" s="25"/>
      <c r="C155" s="25"/>
      <c r="D155" s="25"/>
      <c r="E155" s="36" t="s">
        <v>34</v>
      </c>
    </row>
    <row r="156" customFormat="false" ht="18.75" hidden="false" customHeight="true" outlineLevel="0" collapsed="false">
      <c r="A156" s="8" t="s">
        <v>242</v>
      </c>
      <c r="B156" s="26" t="s">
        <v>195</v>
      </c>
      <c r="C156" s="59" t="n">
        <f aca="false">12*C118*1000</f>
        <v>0.000144</v>
      </c>
      <c r="D156" s="28" t="s">
        <v>36</v>
      </c>
      <c r="E156" s="36" t="s">
        <v>34</v>
      </c>
    </row>
    <row r="157" customFormat="false" ht="18.75" hidden="false" customHeight="true" outlineLevel="0" collapsed="false">
      <c r="A157" s="8" t="s">
        <v>93</v>
      </c>
      <c r="B157" s="26" t="s">
        <v>243</v>
      </c>
      <c r="C157" s="59" t="n">
        <f aca="false">C156+(0.000085)*C143</f>
        <v>0.001198</v>
      </c>
      <c r="D157" s="28" t="s">
        <v>36</v>
      </c>
      <c r="E157" s="0"/>
    </row>
    <row r="158" customFormat="false" ht="18.75" hidden="false" customHeight="true" outlineLevel="0" collapsed="false">
      <c r="A158" s="8" t="s">
        <v>244</v>
      </c>
      <c r="B158" s="26" t="s">
        <v>199</v>
      </c>
      <c r="C158" s="59" t="n">
        <f aca="false">(Vinmax*1.414-((Vout+Vdg)*NpNs))*(Ippk/3)*tra*1000/2</f>
        <v>0.0026230711148451</v>
      </c>
      <c r="D158" s="28" t="s">
        <v>36</v>
      </c>
      <c r="E158" s="36" t="s">
        <v>34</v>
      </c>
    </row>
    <row r="159" customFormat="false" ht="18.75" hidden="false" customHeight="true" outlineLevel="0" collapsed="false">
      <c r="A159" s="8" t="s">
        <v>245</v>
      </c>
      <c r="B159" s="26" t="s">
        <v>246</v>
      </c>
      <c r="C159" s="59" t="n">
        <f aca="false">C122*Vfly^2*1000/2</f>
        <v>0.00597548465630086</v>
      </c>
      <c r="D159" s="28" t="s">
        <v>36</v>
      </c>
    </row>
    <row r="160" customFormat="false" ht="18.75" hidden="false" customHeight="true" outlineLevel="0" collapsed="false">
      <c r="A160" s="8" t="s">
        <v>247</v>
      </c>
      <c r="B160" s="26" t="s">
        <v>248</v>
      </c>
      <c r="C160" s="35" t="n">
        <f aca="false">Llk*((Ippk/3)^2)*1000/2</f>
        <v>0.000213805549406559</v>
      </c>
      <c r="D160" s="28" t="s">
        <v>36</v>
      </c>
    </row>
    <row r="161" customFormat="false" ht="18.75" hidden="false" customHeight="true" outlineLevel="0" collapsed="false">
      <c r="A161" s="28" t="s">
        <v>241</v>
      </c>
      <c r="B161" s="26" t="s">
        <v>249</v>
      </c>
      <c r="C161" s="35" t="n">
        <f aca="false">Pvdd+C156+C158+C159+C160+Prt+Prz</f>
        <v>0.323470704104879</v>
      </c>
      <c r="D161" s="28" t="s">
        <v>36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5"/>
  <cols>
    <col collapsed="false" hidden="false" max="1" min="1" style="0" width="8.50510204081633"/>
    <col collapsed="false" hidden="false" max="2" min="2" style="0" width="51.4336734693878"/>
    <col collapsed="false" hidden="false" max="1025" min="3" style="0" width="8.50510204081633"/>
  </cols>
  <sheetData>
    <row r="2" customFormat="false" ht="15" hidden="false" customHeight="true" outlineLevel="0" collapsed="false">
      <c r="B2" s="60" t="s">
        <v>250</v>
      </c>
    </row>
    <row r="4" customFormat="false" ht="15" hidden="false" customHeight="true" outlineLevel="0" collapsed="false">
      <c r="B4" s="0" t="s">
        <v>251</v>
      </c>
      <c r="C4" s="61" t="n">
        <v>300</v>
      </c>
    </row>
    <row r="5" customFormat="false" ht="15" hidden="false" customHeight="true" outlineLevel="0" collapsed="false">
      <c r="B5" s="0" t="s">
        <v>252</v>
      </c>
      <c r="C5" s="61" t="n">
        <v>900</v>
      </c>
    </row>
    <row r="6" customFormat="false" ht="15" hidden="false" customHeight="true" outlineLevel="0" collapsed="false">
      <c r="B6" s="60" t="s">
        <v>253</v>
      </c>
    </row>
    <row r="7" customFormat="false" ht="15" hidden="false" customHeight="true" outlineLevel="0" collapsed="false">
      <c r="A7" s="0" t="n">
        <v>1</v>
      </c>
      <c r="B7" s="0" t="s">
        <v>254</v>
      </c>
      <c r="C7" s="62" t="n">
        <v>24</v>
      </c>
      <c r="D7" s="62" t="n">
        <v>0.01</v>
      </c>
      <c r="E7" s="62" t="n">
        <f aca="false">C7*D7</f>
        <v>0.24</v>
      </c>
      <c r="G7" s="0" t="s">
        <v>255</v>
      </c>
    </row>
    <row r="8" customFormat="false" ht="15" hidden="false" customHeight="true" outlineLevel="0" collapsed="false">
      <c r="A8" s="0" t="n">
        <v>2</v>
      </c>
      <c r="B8" s="0" t="s">
        <v>256</v>
      </c>
      <c r="C8" s="62" t="n">
        <v>18</v>
      </c>
      <c r="D8" s="62" t="n">
        <v>0.1</v>
      </c>
      <c r="E8" s="62" t="n">
        <f aca="false">C8*D8</f>
        <v>1.8</v>
      </c>
      <c r="G8" s="0" t="n">
        <v>0.1</v>
      </c>
    </row>
    <row r="9" customFormat="false" ht="15" hidden="false" customHeight="true" outlineLevel="0" collapsed="false">
      <c r="A9" s="0" t="n">
        <v>3</v>
      </c>
      <c r="B9" s="0" t="s">
        <v>257</v>
      </c>
      <c r="C9" s="62" t="n">
        <v>27</v>
      </c>
      <c r="D9" s="62" t="n">
        <v>0.1</v>
      </c>
      <c r="E9" s="62" t="n">
        <f aca="false">C9*D9</f>
        <v>2.7</v>
      </c>
    </row>
    <row r="10" customFormat="false" ht="15" hidden="false" customHeight="true" outlineLevel="0" collapsed="false">
      <c r="A10" s="0" t="n">
        <v>4</v>
      </c>
      <c r="B10" s="0" t="s">
        <v>258</v>
      </c>
      <c r="C10" s="62" t="n">
        <v>8</v>
      </c>
      <c r="D10" s="62" t="n">
        <v>0.06</v>
      </c>
      <c r="E10" s="62" t="n">
        <f aca="false">C10*D10</f>
        <v>0.48</v>
      </c>
      <c r="G10" s="0" t="s">
        <v>259</v>
      </c>
    </row>
    <row r="11" customFormat="false" ht="15" hidden="false" customHeight="true" outlineLevel="0" collapsed="false">
      <c r="A11" s="0" t="n">
        <v>5</v>
      </c>
      <c r="B11" s="0" t="s">
        <v>260</v>
      </c>
      <c r="C11" s="62" t="n">
        <v>12</v>
      </c>
      <c r="D11" s="62" t="n">
        <v>0.3</v>
      </c>
      <c r="E11" s="62" t="n">
        <f aca="false">C11*D11</f>
        <v>3.6</v>
      </c>
    </row>
    <row r="12" customFormat="false" ht="15" hidden="false" customHeight="true" outlineLevel="0" collapsed="false">
      <c r="A12" s="0" t="n">
        <v>6</v>
      </c>
      <c r="B12" s="0" t="s">
        <v>261</v>
      </c>
      <c r="C12" s="62" t="n">
        <v>8</v>
      </c>
      <c r="D12" s="62" t="n">
        <v>0.5</v>
      </c>
      <c r="E12" s="62" t="n">
        <f aca="false">C12*D12</f>
        <v>4</v>
      </c>
    </row>
    <row r="14" customFormat="false" ht="15" hidden="false" customHeight="true" outlineLevel="0" collapsed="false">
      <c r="B14" s="0" t="s">
        <v>262</v>
      </c>
      <c r="C14" s="61"/>
      <c r="E14" s="62" t="n">
        <f aca="false">SUM(E7:E12)</f>
        <v>12.82</v>
      </c>
    </row>
    <row r="15" customFormat="false" ht="15" hidden="false" customHeight="true" outlineLevel="0" collapsed="false">
      <c r="B15" s="0" t="s">
        <v>263</v>
      </c>
      <c r="C15" s="61"/>
      <c r="E15" s="62" t="n">
        <v>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59"/>
  <sheetViews>
    <sheetView windowProtection="false"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37" activeCellId="0" sqref="C37"/>
    </sheetView>
  </sheetViews>
  <sheetFormatPr defaultRowHeight="15"/>
  <cols>
    <col collapsed="false" hidden="false" max="1" min="1" style="0" width="8.50510204081633"/>
    <col collapsed="false" hidden="false" max="2" min="2" style="0" width="45.4897959183674"/>
    <col collapsed="false" hidden="false" max="3" min="3" style="62" width="16.0663265306122"/>
    <col collapsed="false" hidden="false" max="4" min="4" style="62" width="12.4183673469388"/>
    <col collapsed="false" hidden="false" max="5" min="5" style="0" width="10.9336734693878"/>
    <col collapsed="false" hidden="false" max="6" min="6" style="0" width="15.5255102040816"/>
    <col collapsed="false" hidden="false" max="9" min="7" style="0" width="8.50510204081633"/>
    <col collapsed="false" hidden="false" max="10" min="10" style="0" width="10.1224489795918"/>
    <col collapsed="false" hidden="false" max="1025" min="11" style="0" width="8.50510204081633"/>
  </cols>
  <sheetData>
    <row r="1" customFormat="false" ht="15" hidden="false" customHeight="false" outlineLevel="0" collapsed="false">
      <c r="C1" s="0"/>
      <c r="D1" s="0"/>
    </row>
    <row r="3" customFormat="false" ht="15" hidden="false" customHeight="true" outlineLevel="0" collapsed="false">
      <c r="B3" s="0" t="s">
        <v>264</v>
      </c>
      <c r="C3" s="0"/>
      <c r="D3" s="0"/>
    </row>
    <row r="5" customFormat="false" ht="15" hidden="false" customHeight="true" outlineLevel="0" collapsed="false">
      <c r="B5" s="63" t="s">
        <v>265</v>
      </c>
      <c r="C5" s="63"/>
      <c r="D5" s="63"/>
    </row>
    <row r="6" customFormat="false" ht="15" hidden="false" customHeight="true" outlineLevel="0" collapsed="false">
      <c r="B6" s="63" t="s">
        <v>266</v>
      </c>
      <c r="C6" s="63" t="s">
        <v>267</v>
      </c>
      <c r="D6" s="63" t="s">
        <v>29</v>
      </c>
    </row>
    <row r="7" customFormat="false" ht="15" hidden="false" customHeight="true" outlineLevel="0" collapsed="false">
      <c r="B7" s="64" t="s">
        <v>268</v>
      </c>
      <c r="C7" s="65" t="n">
        <v>300</v>
      </c>
      <c r="D7" s="65" t="s">
        <v>269</v>
      </c>
    </row>
    <row r="8" customFormat="false" ht="15" hidden="false" customHeight="true" outlineLevel="0" collapsed="false">
      <c r="B8" s="64" t="s">
        <v>270</v>
      </c>
      <c r="C8" s="65" t="n">
        <v>900</v>
      </c>
      <c r="D8" s="65" t="s">
        <v>269</v>
      </c>
    </row>
    <row r="9" customFormat="false" ht="15" hidden="false" customHeight="true" outlineLevel="0" collapsed="false">
      <c r="B9" s="64" t="s">
        <v>271</v>
      </c>
      <c r="C9" s="65" t="n">
        <v>22</v>
      </c>
      <c r="D9" s="65" t="s">
        <v>272</v>
      </c>
    </row>
    <row r="10" customFormat="false" ht="15" hidden="false" customHeight="true" outlineLevel="0" collapsed="false">
      <c r="B10" s="64" t="s">
        <v>273</v>
      </c>
      <c r="C10" s="65" t="n">
        <v>0.8</v>
      </c>
      <c r="D10" s="65" t="s">
        <v>274</v>
      </c>
    </row>
    <row r="11" customFormat="false" ht="15" hidden="false" customHeight="true" outlineLevel="0" collapsed="false">
      <c r="B11" s="64" t="s">
        <v>275</v>
      </c>
      <c r="C11" s="65" t="n">
        <v>105000</v>
      </c>
      <c r="D11" s="65" t="s">
        <v>41</v>
      </c>
    </row>
    <row r="12" customFormat="false" ht="15" hidden="false" customHeight="true" outlineLevel="0" collapsed="false">
      <c r="B12" s="66"/>
      <c r="C12" s="67"/>
      <c r="D12" s="67"/>
    </row>
    <row r="14" customFormat="false" ht="15" hidden="false" customHeight="true" outlineLevel="0" collapsed="false">
      <c r="B14" s="63" t="s">
        <v>276</v>
      </c>
      <c r="C14" s="63"/>
      <c r="D14" s="63"/>
    </row>
    <row r="15" customFormat="false" ht="15" hidden="false" customHeight="true" outlineLevel="0" collapsed="false">
      <c r="B15" s="63" t="s">
        <v>266</v>
      </c>
      <c r="C15" s="63" t="s">
        <v>267</v>
      </c>
      <c r="D15" s="63" t="s">
        <v>29</v>
      </c>
    </row>
    <row r="16" customFormat="false" ht="15" hidden="false" customHeight="true" outlineLevel="0" collapsed="false">
      <c r="B16" s="64" t="s">
        <v>277</v>
      </c>
      <c r="C16" s="65" t="n">
        <v>0.425</v>
      </c>
      <c r="D16" s="65" t="s">
        <v>274</v>
      </c>
      <c r="E16" s="68" t="s">
        <v>278</v>
      </c>
    </row>
    <row r="17" customFormat="false" ht="15" hidden="false" customHeight="true" outlineLevel="0" collapsed="false">
      <c r="B17" s="64" t="s">
        <v>279</v>
      </c>
      <c r="C17" s="69" t="n">
        <v>2E-006</v>
      </c>
      <c r="D17" s="65" t="s">
        <v>280</v>
      </c>
    </row>
    <row r="18" customFormat="false" ht="15.8" hidden="false" customHeight="true" outlineLevel="0" collapsed="false">
      <c r="B18" s="64" t="s">
        <v>281</v>
      </c>
      <c r="C18" s="69" t="n">
        <f aca="false">1-C16-(C11*C17/2)</f>
        <v>0.47</v>
      </c>
      <c r="D18" s="65" t="s">
        <v>274</v>
      </c>
    </row>
    <row r="19" customFormat="false" ht="15" hidden="false" customHeight="true" outlineLevel="0" collapsed="false">
      <c r="B19" s="64" t="s">
        <v>282</v>
      </c>
      <c r="C19" s="69" t="n">
        <f aca="false">2*C9/(C10*C7*0.6*C18)</f>
        <v>0.650118203309693</v>
      </c>
      <c r="D19" s="65" t="s">
        <v>283</v>
      </c>
    </row>
    <row r="20" customFormat="false" ht="15" hidden="false" customHeight="true" outlineLevel="0" collapsed="false">
      <c r="B20" s="64" t="s">
        <v>284</v>
      </c>
      <c r="C20" s="69" t="n">
        <f aca="false">C19*SQRT(C18/3)</f>
        <v>0.257324198103659</v>
      </c>
      <c r="D20" s="65" t="s">
        <v>283</v>
      </c>
    </row>
    <row r="21" customFormat="false" ht="15" hidden="false" customHeight="true" outlineLevel="0" collapsed="false">
      <c r="B21" s="64" t="s">
        <v>285</v>
      </c>
      <c r="C21" s="65" t="n">
        <v>0.75</v>
      </c>
      <c r="D21" s="65" t="s">
        <v>286</v>
      </c>
    </row>
    <row r="22" customFormat="false" ht="15" hidden="false" customHeight="true" outlineLevel="0" collapsed="false">
      <c r="B22" s="64" t="s">
        <v>287</v>
      </c>
      <c r="C22" s="69" t="n">
        <f aca="false">C21/C19</f>
        <v>1.15363636363636</v>
      </c>
      <c r="D22" s="70" t="s">
        <v>288</v>
      </c>
    </row>
    <row r="23" customFormat="false" ht="15" hidden="false" customHeight="true" outlineLevel="0" collapsed="false">
      <c r="B23" s="64" t="s">
        <v>289</v>
      </c>
      <c r="C23" s="65" t="n">
        <v>1</v>
      </c>
      <c r="D23" s="70" t="s">
        <v>288</v>
      </c>
    </row>
    <row r="24" customFormat="false" ht="15" hidden="false" customHeight="true" outlineLevel="0" collapsed="false">
      <c r="B24" s="64" t="s">
        <v>290</v>
      </c>
      <c r="C24" s="69" t="n">
        <f aca="false">C20*C20*C23</f>
        <v>0.0662157429296909</v>
      </c>
      <c r="D24" s="65" t="s">
        <v>272</v>
      </c>
    </row>
    <row r="25" customFormat="false" ht="15" hidden="false" customHeight="true" outlineLevel="0" collapsed="false">
      <c r="B25" s="64" t="s">
        <v>291</v>
      </c>
      <c r="C25" s="69" t="n">
        <f aca="false">2*C9/(C10*C19*C19*C11)</f>
        <v>0.00123933506493507</v>
      </c>
      <c r="D25" s="65" t="s">
        <v>292</v>
      </c>
    </row>
    <row r="26" customFormat="false" ht="15" hidden="false" customHeight="true" outlineLevel="0" collapsed="false">
      <c r="B26" s="64" t="s">
        <v>293</v>
      </c>
      <c r="C26" s="65" t="n">
        <v>24</v>
      </c>
      <c r="D26" s="65" t="s">
        <v>286</v>
      </c>
    </row>
    <row r="27" customFormat="false" ht="15" hidden="false" customHeight="true" outlineLevel="0" collapsed="false">
      <c r="B27" s="64" t="s">
        <v>294</v>
      </c>
      <c r="C27" s="65" t="n">
        <v>1</v>
      </c>
      <c r="D27" s="65" t="s">
        <v>286</v>
      </c>
    </row>
    <row r="28" customFormat="false" ht="15" hidden="false" customHeight="true" outlineLevel="0" collapsed="false">
      <c r="B28" s="64" t="s">
        <v>295</v>
      </c>
      <c r="C28" s="71" t="n">
        <f aca="false">C18*C7/(C16*(C26+C27))</f>
        <v>13.2705882352941</v>
      </c>
      <c r="D28" s="65" t="s">
        <v>274</v>
      </c>
    </row>
    <row r="31" customFormat="false" ht="15" hidden="false" customHeight="true" outlineLevel="0" collapsed="false">
      <c r="B31" s="63" t="s">
        <v>296</v>
      </c>
      <c r="C31" s="63"/>
      <c r="D31" s="63"/>
    </row>
    <row r="32" customFormat="false" ht="15" hidden="false" customHeight="true" outlineLevel="0" collapsed="false">
      <c r="B32" s="63" t="s">
        <v>297</v>
      </c>
      <c r="C32" s="63"/>
      <c r="D32" s="63"/>
    </row>
    <row r="33" customFormat="false" ht="15" hidden="false" customHeight="true" outlineLevel="0" collapsed="false">
      <c r="B33" s="63" t="s">
        <v>266</v>
      </c>
      <c r="C33" s="63" t="s">
        <v>267</v>
      </c>
      <c r="D33" s="63" t="s">
        <v>29</v>
      </c>
    </row>
    <row r="34" customFormat="false" ht="15" hidden="false" customHeight="true" outlineLevel="0" collapsed="false">
      <c r="B34" s="64" t="s">
        <v>298</v>
      </c>
      <c r="C34" s="65" t="n">
        <v>97</v>
      </c>
      <c r="D34" s="65" t="s">
        <v>299</v>
      </c>
    </row>
    <row r="35" customFormat="false" ht="15" hidden="false" customHeight="true" outlineLevel="0" collapsed="false">
      <c r="B35" s="64" t="s">
        <v>300</v>
      </c>
      <c r="C35" s="65" t="n">
        <v>0.15</v>
      </c>
      <c r="D35" s="65" t="s">
        <v>301</v>
      </c>
    </row>
    <row r="36" customFormat="false" ht="15" hidden="false" customHeight="true" outlineLevel="0" collapsed="false">
      <c r="B36" s="64" t="s">
        <v>302</v>
      </c>
      <c r="C36" s="65" t="n">
        <f aca="false">C25*C19/(C35*C34*0.000001)</f>
        <v>55.3755522827688</v>
      </c>
      <c r="D36" s="65" t="s">
        <v>274</v>
      </c>
    </row>
    <row r="37" customFormat="false" ht="15" hidden="false" customHeight="true" outlineLevel="0" collapsed="false">
      <c r="B37" s="64" t="s">
        <v>303</v>
      </c>
      <c r="C37" s="65" t="n">
        <v>100</v>
      </c>
      <c r="D37" s="65" t="s">
        <v>274</v>
      </c>
    </row>
    <row r="38" customFormat="false" ht="15" hidden="false" customHeight="true" outlineLevel="0" collapsed="false">
      <c r="B38" s="64" t="s">
        <v>304</v>
      </c>
      <c r="C38" s="69" t="n">
        <f aca="false">(1000/3)*4*3.141*0.000001*C37*C37*C34*0.000001/C25</f>
        <v>3.27785448418088</v>
      </c>
      <c r="D38" s="65" t="s">
        <v>305</v>
      </c>
    </row>
    <row r="39" customFormat="false" ht="15" hidden="false" customHeight="true" outlineLevel="0" collapsed="false">
      <c r="B39" s="64" t="s">
        <v>306</v>
      </c>
      <c r="C39" s="69" t="n">
        <f aca="false">C18*C7/(1-C18)</f>
        <v>266.037735849057</v>
      </c>
      <c r="D39" s="65" t="s">
        <v>286</v>
      </c>
    </row>
    <row r="40" customFormat="false" ht="15" hidden="false" customHeight="true" outlineLevel="0" collapsed="false">
      <c r="B40" s="64" t="s">
        <v>307</v>
      </c>
      <c r="C40" s="65" t="n">
        <f aca="false">CEILING(C37/C28,1)</f>
        <v>8</v>
      </c>
      <c r="D40" s="65" t="s">
        <v>274</v>
      </c>
    </row>
    <row r="41" customFormat="false" ht="15" hidden="false" customHeight="true" outlineLevel="0" collapsed="false">
      <c r="B41" s="64" t="s">
        <v>308</v>
      </c>
      <c r="C41" s="65" t="n">
        <f aca="false">(27+C27)*C40/(C26+C27)</f>
        <v>8.96</v>
      </c>
      <c r="D41" s="65" t="s">
        <v>274</v>
      </c>
    </row>
    <row r="42" customFormat="false" ht="15" hidden="false" customHeight="true" outlineLevel="0" collapsed="false">
      <c r="B42" s="64" t="s">
        <v>309</v>
      </c>
      <c r="C42" s="65" t="n">
        <v>8</v>
      </c>
      <c r="D42" s="65" t="s">
        <v>274</v>
      </c>
    </row>
    <row r="43" customFormat="false" ht="15" hidden="false" customHeight="true" outlineLevel="0" collapsed="false">
      <c r="B43" s="64" t="s">
        <v>310</v>
      </c>
      <c r="C43" s="65" t="n">
        <f aca="false">(18+C27)*C40/(C26+C27)</f>
        <v>6.08</v>
      </c>
      <c r="D43" s="65" t="s">
        <v>274</v>
      </c>
    </row>
    <row r="44" customFormat="false" ht="15" hidden="false" customHeight="true" outlineLevel="0" collapsed="false">
      <c r="B44" s="64" t="s">
        <v>311</v>
      </c>
      <c r="C44" s="65" t="n">
        <f aca="false">(12+C27)*C40/(C26+C27)</f>
        <v>4.16</v>
      </c>
      <c r="D44" s="65" t="s">
        <v>274</v>
      </c>
    </row>
    <row r="45" customFormat="false" ht="15" hidden="false" customHeight="true" outlineLevel="0" collapsed="false">
      <c r="B45" s="64" t="s">
        <v>312</v>
      </c>
      <c r="C45" s="65" t="n">
        <f aca="false">(15+C27)*C40/(C26+C27)</f>
        <v>5.12</v>
      </c>
      <c r="D45" s="65" t="s">
        <v>274</v>
      </c>
    </row>
    <row r="46" customFormat="false" ht="15" hidden="false" customHeight="true" outlineLevel="0" collapsed="false">
      <c r="B46" s="64" t="s">
        <v>313</v>
      </c>
      <c r="C46" s="69" t="n">
        <f aca="false">C20*C39*SQRT((1-C18)/C18)</f>
        <v>72.6963953574965</v>
      </c>
      <c r="D46" s="65"/>
    </row>
    <row r="47" customFormat="false" ht="15" hidden="false" customHeight="true" outlineLevel="0" collapsed="false">
      <c r="B47" s="64" t="s">
        <v>314</v>
      </c>
      <c r="C47" s="65"/>
      <c r="D47" s="65"/>
    </row>
    <row r="48" customFormat="false" ht="15" hidden="false" customHeight="true" outlineLevel="0" collapsed="false">
      <c r="B48" s="64" t="s">
        <v>315</v>
      </c>
      <c r="C48" s="65" t="n">
        <v>0.078</v>
      </c>
      <c r="D48" s="65" t="s">
        <v>299</v>
      </c>
    </row>
    <row r="49" customFormat="false" ht="15" hidden="false" customHeight="true" outlineLevel="0" collapsed="false">
      <c r="B49" s="66"/>
      <c r="C49" s="67"/>
      <c r="D49" s="67"/>
    </row>
    <row r="51" customFormat="false" ht="30" hidden="false" customHeight="true" outlineLevel="0" collapsed="false">
      <c r="B51" s="72" t="s">
        <v>316</v>
      </c>
      <c r="C51" s="72" t="s">
        <v>317</v>
      </c>
      <c r="D51" s="72" t="s">
        <v>318</v>
      </c>
      <c r="E51" s="72" t="s">
        <v>319</v>
      </c>
      <c r="F51" s="73" t="s">
        <v>320</v>
      </c>
      <c r="G51" s="72" t="s">
        <v>321</v>
      </c>
      <c r="H51" s="73" t="s">
        <v>322</v>
      </c>
      <c r="I51" s="72" t="s">
        <v>323</v>
      </c>
      <c r="J51" s="73" t="s">
        <v>324</v>
      </c>
      <c r="L51" s="74" t="s">
        <v>325</v>
      </c>
    </row>
    <row r="52" customFormat="false" ht="15" hidden="false" customHeight="true" outlineLevel="0" collapsed="false">
      <c r="B52" s="64" t="s">
        <v>254</v>
      </c>
      <c r="C52" s="65" t="n">
        <v>24</v>
      </c>
      <c r="D52" s="65" t="n">
        <v>0.01</v>
      </c>
      <c r="E52" s="65" t="n">
        <f aca="false">C52*D52</f>
        <v>0.24</v>
      </c>
      <c r="F52" s="75" t="n">
        <f aca="false">E52/16.33</f>
        <v>0.0146968769136559</v>
      </c>
      <c r="G52" s="72" t="n">
        <f aca="false">72.7*F52/(C52+1)</f>
        <v>0.0427385180649114</v>
      </c>
      <c r="H52" s="64" t="n">
        <f aca="false">G52/3</f>
        <v>0.0142461726883038</v>
      </c>
      <c r="I52" s="65" t="n">
        <v>5</v>
      </c>
      <c r="J52" s="64" t="n">
        <f aca="false">I52*H52</f>
        <v>0.0712308634415189</v>
      </c>
      <c r="L52" s="74" t="n">
        <v>1</v>
      </c>
    </row>
    <row r="53" customFormat="false" ht="15" hidden="false" customHeight="true" outlineLevel="0" collapsed="false">
      <c r="B53" s="64" t="s">
        <v>256</v>
      </c>
      <c r="C53" s="65" t="n">
        <v>18</v>
      </c>
      <c r="D53" s="65" t="n">
        <v>0.1</v>
      </c>
      <c r="E53" s="65" t="n">
        <f aca="false">C53*D53</f>
        <v>1.8</v>
      </c>
      <c r="F53" s="75" t="n">
        <f aca="false">E53/16.33</f>
        <v>0.110226576852419</v>
      </c>
      <c r="G53" s="72" t="n">
        <f aca="false">72.7*F53/(C53+1)</f>
        <v>0.421761691430045</v>
      </c>
      <c r="H53" s="64" t="n">
        <f aca="false">G53/3</f>
        <v>0.140587230476682</v>
      </c>
      <c r="I53" s="65" t="n">
        <v>4</v>
      </c>
      <c r="J53" s="64" t="n">
        <f aca="false">I53*H53</f>
        <v>0.562348921906727</v>
      </c>
      <c r="L53" s="74" t="n">
        <v>2</v>
      </c>
    </row>
    <row r="54" customFormat="false" ht="15" hidden="false" customHeight="true" outlineLevel="0" collapsed="false">
      <c r="B54" s="64" t="s">
        <v>257</v>
      </c>
      <c r="C54" s="65" t="n">
        <v>27</v>
      </c>
      <c r="D54" s="65" t="n">
        <v>0.12</v>
      </c>
      <c r="E54" s="65" t="n">
        <f aca="false">C54*D54</f>
        <v>3.24</v>
      </c>
      <c r="F54" s="75" t="n">
        <f aca="false">E54/16.33</f>
        <v>0.198407838334354</v>
      </c>
      <c r="G54" s="72" t="n">
        <f aca="false">72.7*F54/(C54+1)</f>
        <v>0.515151780246698</v>
      </c>
      <c r="H54" s="64" t="n">
        <f aca="false">G54/3</f>
        <v>0.171717260082233</v>
      </c>
      <c r="I54" s="65" t="n">
        <v>6</v>
      </c>
      <c r="J54" s="64" t="n">
        <f aca="false">I54*H54</f>
        <v>1.0303035604934</v>
      </c>
      <c r="L54" s="74" t="n">
        <v>2</v>
      </c>
    </row>
    <row r="55" customFormat="false" ht="15" hidden="false" customHeight="true" outlineLevel="0" collapsed="false">
      <c r="B55" s="64" t="s">
        <v>326</v>
      </c>
      <c r="C55" s="65" t="n">
        <v>15</v>
      </c>
      <c r="D55" s="65" t="n">
        <v>0.23</v>
      </c>
      <c r="E55" s="65" t="n">
        <f aca="false">C55*D55</f>
        <v>3.45</v>
      </c>
      <c r="F55" s="75" t="n">
        <f aca="false">E55/16.33</f>
        <v>0.211267605633803</v>
      </c>
      <c r="G55" s="72" t="n">
        <f aca="false">72.7*F55/(C55+1)</f>
        <v>0.959947183098593</v>
      </c>
      <c r="H55" s="64" t="n">
        <f aca="false">G55/3</f>
        <v>0.319982394366197</v>
      </c>
      <c r="I55" s="65" t="n">
        <v>3</v>
      </c>
      <c r="J55" s="64" t="n">
        <f aca="false">I55*H55</f>
        <v>0.959947183098593</v>
      </c>
      <c r="L55" s="74" t="n">
        <v>1</v>
      </c>
    </row>
    <row r="56" customFormat="false" ht="15" hidden="false" customHeight="true" outlineLevel="0" collapsed="false">
      <c r="B56" s="64" t="s">
        <v>260</v>
      </c>
      <c r="C56" s="65" t="n">
        <v>12</v>
      </c>
      <c r="D56" s="65" t="n">
        <v>0.3</v>
      </c>
      <c r="E56" s="65" t="n">
        <f aca="false">C56*D56</f>
        <v>3.6</v>
      </c>
      <c r="F56" s="75" t="n">
        <f aca="false">E56/16.33</f>
        <v>0.220453153704838</v>
      </c>
      <c r="G56" s="72" t="n">
        <f aca="false">72.7*F56/(C56+1)</f>
        <v>1.23284186725706</v>
      </c>
      <c r="H56" s="64" t="n">
        <f aca="false">G56/3</f>
        <v>0.410947289085685</v>
      </c>
      <c r="I56" s="65" t="n">
        <v>3</v>
      </c>
      <c r="J56" s="64" t="n">
        <f aca="false">I56*H56</f>
        <v>1.23284186725706</v>
      </c>
      <c r="L56" s="74" t="n">
        <v>3</v>
      </c>
    </row>
    <row r="57" customFormat="false" ht="15" hidden="false" customHeight="true" outlineLevel="0" collapsed="false">
      <c r="B57" s="64" t="s">
        <v>261</v>
      </c>
      <c r="C57" s="65" t="n">
        <v>8</v>
      </c>
      <c r="D57" s="65" t="n">
        <v>0.5</v>
      </c>
      <c r="E57" s="65" t="n">
        <f aca="false">C57*D57</f>
        <v>4</v>
      </c>
      <c r="F57" s="75" t="n">
        <f aca="false">E57/16.33</f>
        <v>0.244947948560931</v>
      </c>
      <c r="G57" s="72" t="n">
        <f aca="false">72.7*F57/(C57+1)</f>
        <v>1.97863509559774</v>
      </c>
      <c r="H57" s="64" t="n">
        <f aca="false">G57/3</f>
        <v>0.659545031865914</v>
      </c>
      <c r="I57" s="65" t="n">
        <v>2</v>
      </c>
      <c r="J57" s="64" t="n">
        <f aca="false">I57*H57</f>
        <v>1.31909006373183</v>
      </c>
      <c r="L57" s="74" t="n">
        <v>6</v>
      </c>
    </row>
    <row r="58" customFormat="false" ht="15" hidden="false" customHeight="true" outlineLevel="0" collapsed="false">
      <c r="B58" s="64" t="s">
        <v>327</v>
      </c>
      <c r="C58" s="65"/>
      <c r="D58" s="65"/>
      <c r="E58" s="64" t="n">
        <v>16.33</v>
      </c>
      <c r="F58" s="64"/>
      <c r="G58" s="76" t="n">
        <f aca="false">C20</f>
        <v>0.257324198103659</v>
      </c>
      <c r="H58" s="76" t="n">
        <f aca="false">G58/3</f>
        <v>0.0857747327012195</v>
      </c>
      <c r="I58" s="65" t="n">
        <v>60</v>
      </c>
      <c r="J58" s="64" t="n">
        <f aca="false">I58*H58</f>
        <v>5.14648396207317</v>
      </c>
      <c r="L58" s="74" t="n">
        <v>1</v>
      </c>
    </row>
    <row r="59" customFormat="false" ht="15" hidden="false" customHeight="true" outlineLevel="0" collapsed="false">
      <c r="I59" s="62" t="s">
        <v>328</v>
      </c>
      <c r="J59" s="64" t="n">
        <f aca="false">SUM(J52:J58)</f>
        <v>10.3222464220023</v>
      </c>
    </row>
  </sheetData>
  <mergeCells count="4">
    <mergeCell ref="B5:D5"/>
    <mergeCell ref="B14:D14"/>
    <mergeCell ref="B31:D31"/>
    <mergeCell ref="B32:D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100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2012-11-07T23:47:02Z</dcterms:created>
  <dc:creator>O'Loughlin, Mike</dc:creator>
  <dc:language>en-US</dc:language>
  <cp:lastPrinted>2012-11-21T02:05:46Z</cp:lastPrinted>
  <dcterms:modified xsi:type="dcterms:W3CDTF">2016-02-19T16:46:28Z</dcterms:modified>
  <cp:revision>8</cp:revision>
</cp:coreProperties>
</file>